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156" windowWidth="6936" windowHeight="4992" firstSheet="4" activeTab="7"/>
  </bookViews>
  <sheets>
    <sheet name="Z1)" sheetId="17" r:id="rId1"/>
    <sheet name="Z2" sheetId="18" state="hidden" r:id="rId2"/>
    <sheet name="Z2." sheetId="19" r:id="rId3"/>
    <sheet name="Z3" sheetId="23" r:id="rId4"/>
    <sheet name="Z4" sheetId="20" r:id="rId5"/>
    <sheet name="Z5" sheetId="21" state="hidden" r:id="rId6"/>
    <sheet name="Resum" sheetId="22" r:id="rId7"/>
    <sheet name="SUKAMULYA GABUNG" sheetId="1" r:id="rId8"/>
    <sheet name="KERTAJATI  2017" sheetId="12" r:id="rId9"/>
    <sheet name="BANTARJATI" sheetId="16" r:id="rId10"/>
    <sheet name="KERTASARI" sheetId="14" r:id="rId11"/>
    <sheet name="SUKAKERTA" sheetId="1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___cc1" hidden="1">{"Valuation",#N/A,TRUE,"Valuation Summary";"Financial Statements",#N/A,TRUE,"Results";"Results",#N/A,TRUE,"Results";"Ratios",#N/A,TRUE,"Results";"P2 Summary",#N/A,TRUE,"Results"}</definedName>
    <definedName name="____cc1" hidden="1">{"Valuation",#N/A,TRUE,"Valuation Summary";"Financial Statements",#N/A,TRUE,"Results";"Results",#N/A,TRUE,"Results";"Ratios",#N/A,TRUE,"Results";"P2 Summary",#N/A,TRUE,"Results"}</definedName>
    <definedName name="___cc1" hidden="1">{"Valuation",#N/A,TRUE,"Valuation Summary";"Financial Statements",#N/A,TRUE,"Results";"Results",#N/A,TRUE,"Results";"Ratios",#N/A,TRUE,"Results";"P2 Summary",#N/A,TRUE,"Results"}</definedName>
    <definedName name="__123Graph_A" localSheetId="0" hidden="1">[1]urugan!#REF!</definedName>
    <definedName name="__123Graph_A" localSheetId="1" hidden="1">[1]urugan!#REF!</definedName>
    <definedName name="__123Graph_A" localSheetId="2" hidden="1">[1]urugan!#REF!</definedName>
    <definedName name="__123Graph_A" localSheetId="3" hidden="1">[1]urugan!#REF!</definedName>
    <definedName name="__123Graph_A" localSheetId="4" hidden="1">[1]urugan!#REF!</definedName>
    <definedName name="__123Graph_A" localSheetId="5" hidden="1">[1]urugan!#REF!</definedName>
    <definedName name="__123Graph_A" hidden="1">[1]urugan!#REF!</definedName>
    <definedName name="__123Graph_B" localSheetId="0" hidden="1">[1]urugan!#REF!</definedName>
    <definedName name="__123Graph_B" localSheetId="1" hidden="1">[1]urugan!#REF!</definedName>
    <definedName name="__123Graph_B" localSheetId="2" hidden="1">[1]urugan!#REF!</definedName>
    <definedName name="__123Graph_B" localSheetId="3" hidden="1">[1]urugan!#REF!</definedName>
    <definedName name="__123Graph_B" localSheetId="4" hidden="1">[1]urugan!#REF!</definedName>
    <definedName name="__123Graph_B" localSheetId="5" hidden="1">[1]urugan!#REF!</definedName>
    <definedName name="__123Graph_B" hidden="1">[1]urugan!#REF!</definedName>
    <definedName name="__123Graph_X" localSheetId="0" hidden="1">[1]urugan!#REF!</definedName>
    <definedName name="__123Graph_X" localSheetId="1" hidden="1">[1]urugan!#REF!</definedName>
    <definedName name="__123Graph_X" localSheetId="2" hidden="1">[1]urugan!#REF!</definedName>
    <definedName name="__123Graph_X" localSheetId="3" hidden="1">[1]urugan!#REF!</definedName>
    <definedName name="__123Graph_X" localSheetId="4" hidden="1">[1]urugan!#REF!</definedName>
    <definedName name="__123Graph_X" localSheetId="5" hidden="1">[1]urugan!#REF!</definedName>
    <definedName name="__123Graph_X" hidden="1">[1]urugan!#REF!</definedName>
    <definedName name="__cc1" hidden="1">{"Valuation",#N/A,TRUE,"Valuation Summary";"Financial Statements",#N/A,TRUE,"Results";"Results",#N/A,TRUE,"Results";"Ratios",#N/A,TRUE,"Results";"P2 Summary",#N/A,TRUE,"Results"}</definedName>
    <definedName name="_1__123Graph_ACHART_1" hidden="1">[2]Data!$B$2:$B$73</definedName>
    <definedName name="_10__123Graph_ACHART_115" hidden="1">'[3]TON  per Jam'!$C$41:$Z$41</definedName>
    <definedName name="_100__123Graph_ACHART_39" hidden="1">'[4]DATA LTW'!$R$43:$AC$43</definedName>
    <definedName name="_101__123Graph_ACHART_4" hidden="1">[2]Data!$H$38:$H$73</definedName>
    <definedName name="_102__123Graph_ACHART_40" hidden="1">'[4]DATA LTW'!$R$71:$AC$71</definedName>
    <definedName name="_103__123Graph_ACHART_41" hidden="1">'[4]DATA LTW'!$E$44:$P$44</definedName>
    <definedName name="_104__123Graph_ACHART_42" hidden="1">'[4]DATA LTW'!$E$72:$P$72</definedName>
    <definedName name="_105__123Graph_ACHART_43" hidden="1">'[4]DATA LTW'!$R$44:$AC$44</definedName>
    <definedName name="_106__123Graph_ACHART_44" hidden="1">'[4]DATA LTW'!$R$72:$AC$72</definedName>
    <definedName name="_107__123Graph_ACHART_45" hidden="1">'[4]DATA LTW'!$E$46:$P$46</definedName>
    <definedName name="_108__123Graph_ACHART_46" hidden="1">'[4]DATA LTW'!$E$74:$P$74</definedName>
    <definedName name="_109__123Graph_ACHART_47" hidden="1">'[4]DATA LTW'!$R$46:$AC$46</definedName>
    <definedName name="_11__123Graph_ACHART_116" hidden="1">'[3]TON  per Jam'!$C$42:$Z$42</definedName>
    <definedName name="_110__123Graph_ACHART_48" hidden="1">'[4]DATA LTW'!$R$74:$AC$74</definedName>
    <definedName name="_111__123Graph_ACHART_49" hidden="1">'[4]DATA LTW'!$E$47:$P$47</definedName>
    <definedName name="_112__123Graph_ACHART_5" hidden="1">[2]Data!$C$2:$C$73</definedName>
    <definedName name="_113__123Graph_ACHART_50" hidden="1">'[4]DATA LTW'!$E$75:$P$75</definedName>
    <definedName name="_114__123Graph_ACHART_51" hidden="1">'[4]DATA LTW'!$R$47:$AC$47</definedName>
    <definedName name="_115__123Graph_ACHART_52" hidden="1">'[4]DATA LTW'!$R$75:$AC$75</definedName>
    <definedName name="_116__123Graph_ACHART_53" hidden="1">'[4]DATA LTW'!$E$25:$P$25</definedName>
    <definedName name="_117__123Graph_ACHART_54" hidden="1">'[4]DATA LTW'!$E$53:$P$53</definedName>
    <definedName name="_118__123Graph_ACHART_55" hidden="1">'[4]DATA LTW'!$R$25:$AC$25</definedName>
    <definedName name="_119__123Graph_ACHART_56" hidden="1">'[4]DATA LTW'!$R$53:$AC$53</definedName>
    <definedName name="_12__123Graph_ACHART_117" hidden="1">'[3]TON  per Jam'!$C$43:$Z$43</definedName>
    <definedName name="_120__123Graph_ACHART_57" hidden="1">'[4]DATA LTW'!$E$26:$P$26</definedName>
    <definedName name="_121__123Graph_ACHART_58" hidden="1">'[4]DATA LTW'!$E$54:$P$54</definedName>
    <definedName name="_122__123Graph_ACHART_59" hidden="1">'[4]DATA LTW'!$R$26:$AC$26</definedName>
    <definedName name="_123__123Graph_ACHART_6" hidden="1">[2]Data!$D$2:$D$73</definedName>
    <definedName name="_124__123Graph_ACHART_60" hidden="1">'[4]DATA LTW'!$R$54:$AC$54</definedName>
    <definedName name="_125__123Graph_ACHART_61" hidden="1">'[4]DATA LTW'!$E$37:$P$37</definedName>
    <definedName name="_126__123Graph_ACHART_62" hidden="1">'[5]Data SRL'!$C$8:$C$131</definedName>
    <definedName name="_127__123Graph_ACHART_63" hidden="1">'[4]DATA LTW'!$R$37:$AC$37</definedName>
    <definedName name="_128__123Graph_ACHART_64" hidden="1">'[5]Data SRL'!$F$8:$F$379</definedName>
    <definedName name="_129__123Graph_ACHART_65" hidden="1">'[5]Data SRL'!$I$8:$I$379</definedName>
    <definedName name="_13__123Graph_ACHART_118" hidden="1">'[3]TON  per Jam'!$C$44:$Z$44</definedName>
    <definedName name="_130__123Graph_ACHART_68" hidden="1">'[5]Data SRL'!$N$8:$N$100</definedName>
    <definedName name="_131__123Graph_ACHART_69" hidden="1">'[5]Data SRL'!$M$8:$M$379</definedName>
    <definedName name="_132__123Graph_ACHART_7" hidden="1">[2]Data!$I$38:$I$73</definedName>
    <definedName name="_133__123Graph_ACHART_70" hidden="1">'[5]Data SRL'!$S$8:$S$379</definedName>
    <definedName name="_134__123Graph_ACHART_71" hidden="1">'[5]Data SRL'!$Q$39:$Q$379</definedName>
    <definedName name="_135__123Graph_ACHART_72" hidden="1">'[5]Data SRL'!$T$8:$T$379</definedName>
    <definedName name="_136__123Graph_ACHART_73" hidden="1">'[5]Data SRL'!$AC$8:$AC$131</definedName>
    <definedName name="_137__123Graph_ACHART_74" hidden="1">'[5]Data SRL'!$AH$8:$AH$100</definedName>
    <definedName name="_138__123Graph_ACHART_75" hidden="1">'[5]Data SRL'!$AK$8:$AK$100</definedName>
    <definedName name="_139__123Graph_ACHART_77" hidden="1">'[5]Data SRL'!$AN$8:$AN$193</definedName>
    <definedName name="_14__123Graph_ACHART_119" hidden="1">'[3]TON  per Jam'!$C$46:$Z$46</definedName>
    <definedName name="_140__123Graph_ACHART_78" hidden="1">'[5]Data SRL'!$AS$8:$AS$100</definedName>
    <definedName name="_141__123Graph_ACHART_79" hidden="1">'[5]Data SRL'!$AZ$8:$AZ$100</definedName>
    <definedName name="_142__123Graph_ACHART_8" hidden="1">[2]Data!$E$2:$E$73</definedName>
    <definedName name="_143__123Graph_ACHART_81" hidden="1">'[5]Data SRL'!$BD$8:$BD$100</definedName>
    <definedName name="_144__123Graph_ACHART_85" hidden="1">'[5]Data Prod_Graf'!$B$3:$M$3</definedName>
    <definedName name="_145__123Graph_ACHART_9" hidden="1">[2]Data!$J$38:$J$73</definedName>
    <definedName name="_146__123Graph_BCHART_1" hidden="1">'[5]Data SRL'!$BL$9:$BL$100</definedName>
    <definedName name="_149__123Graph_BCHART_10" localSheetId="0" hidden="1">'[6]PABRIK (2)'!#REF!</definedName>
    <definedName name="_149__123Graph_BCHART_10" localSheetId="1" hidden="1">'[6]PABRIK (2)'!#REF!</definedName>
    <definedName name="_149__123Graph_BCHART_10" localSheetId="2" hidden="1">'[6]PABRIK (2)'!#REF!</definedName>
    <definedName name="_149__123Graph_BCHART_10" localSheetId="3" hidden="1">'[6]PABRIK (2)'!#REF!</definedName>
    <definedName name="_149__123Graph_BCHART_10" localSheetId="4" hidden="1">'[6]PABRIK (2)'!#REF!</definedName>
    <definedName name="_149__123Graph_BCHART_10" localSheetId="5" hidden="1">'[6]PABRIK (2)'!#REF!</definedName>
    <definedName name="_149__123Graph_BCHART_10" hidden="1">'[6]PABRIK (2)'!#REF!</definedName>
    <definedName name="_15__123Graph_ACHART_12" hidden="1">[2]Data!$K$38:$K$73</definedName>
    <definedName name="_152__123Graph_BCHART_11" localSheetId="0" hidden="1">'[6]PABRIK (2)'!#REF!</definedName>
    <definedName name="_152__123Graph_BCHART_11" localSheetId="1" hidden="1">'[6]PABRIK (2)'!#REF!</definedName>
    <definedName name="_152__123Graph_BCHART_11" localSheetId="2" hidden="1">'[6]PABRIK (2)'!#REF!</definedName>
    <definedName name="_152__123Graph_BCHART_11" localSheetId="3" hidden="1">'[6]PABRIK (2)'!#REF!</definedName>
    <definedName name="_152__123Graph_BCHART_11" localSheetId="4" hidden="1">'[6]PABRIK (2)'!#REF!</definedName>
    <definedName name="_152__123Graph_BCHART_11" localSheetId="5" hidden="1">'[6]PABRIK (2)'!#REF!</definedName>
    <definedName name="_152__123Graph_BCHART_11" hidden="1">'[6]PABRIK (2)'!#REF!</definedName>
    <definedName name="_155__123Graph_BCHART_12" localSheetId="0" hidden="1">'[6]PABRIK (2)'!#REF!</definedName>
    <definedName name="_155__123Graph_BCHART_12" localSheetId="1" hidden="1">'[6]PABRIK (2)'!#REF!</definedName>
    <definedName name="_155__123Graph_BCHART_12" localSheetId="2" hidden="1">'[6]PABRIK (2)'!#REF!</definedName>
    <definedName name="_155__123Graph_BCHART_12" localSheetId="3" hidden="1">'[6]PABRIK (2)'!#REF!</definedName>
    <definedName name="_155__123Graph_BCHART_12" localSheetId="4" hidden="1">'[6]PABRIK (2)'!#REF!</definedName>
    <definedName name="_155__123Graph_BCHART_12" localSheetId="5" hidden="1">'[6]PABRIK (2)'!#REF!</definedName>
    <definedName name="_155__123Graph_BCHART_12" hidden="1">'[6]PABRIK (2)'!#REF!</definedName>
    <definedName name="_156__123Graph_BCHART_13" hidden="1">[2]Data!$N$50:$N$61</definedName>
    <definedName name="_157__123Graph_BCHART_14" hidden="1">[2]Data!$D$62:$D$73</definedName>
    <definedName name="_158__123Graph_BCHART_15" hidden="1">[2]Data!$B$62:$B$73</definedName>
    <definedName name="_16__123Graph_ACHART_120" hidden="1">'[3]TON  per Jam'!$C$47:$Z$47</definedName>
    <definedName name="_161__123Graph_BCHART_16" localSheetId="0" hidden="1">'[6]PABRIK (2)'!#REF!</definedName>
    <definedName name="_161__123Graph_BCHART_16" localSheetId="1" hidden="1">'[6]PABRIK (2)'!#REF!</definedName>
    <definedName name="_161__123Graph_BCHART_16" localSheetId="2" hidden="1">'[6]PABRIK (2)'!#REF!</definedName>
    <definedName name="_161__123Graph_BCHART_16" localSheetId="3" hidden="1">'[6]PABRIK (2)'!#REF!</definedName>
    <definedName name="_161__123Graph_BCHART_16" localSheetId="4" hidden="1">'[6]PABRIK (2)'!#REF!</definedName>
    <definedName name="_161__123Graph_BCHART_16" localSheetId="5" hidden="1">'[6]PABRIK (2)'!#REF!</definedName>
    <definedName name="_161__123Graph_BCHART_16" hidden="1">'[6]PABRIK (2)'!#REF!</definedName>
    <definedName name="_162__123Graph_BCHART_17" hidden="1">[2]Data!$M$62:$M$73</definedName>
    <definedName name="_165__123Graph_BCHART_18" localSheetId="0" hidden="1">'[6]PABRIK (2)'!#REF!</definedName>
    <definedName name="_165__123Graph_BCHART_18" localSheetId="1" hidden="1">'[6]PABRIK (2)'!#REF!</definedName>
    <definedName name="_165__123Graph_BCHART_18" localSheetId="2" hidden="1">'[6]PABRIK (2)'!#REF!</definedName>
    <definedName name="_165__123Graph_BCHART_18" localSheetId="3" hidden="1">'[6]PABRIK (2)'!#REF!</definedName>
    <definedName name="_165__123Graph_BCHART_18" localSheetId="4" hidden="1">'[6]PABRIK (2)'!#REF!</definedName>
    <definedName name="_165__123Graph_BCHART_18" localSheetId="5" hidden="1">'[6]PABRIK (2)'!#REF!</definedName>
    <definedName name="_165__123Graph_BCHART_18" hidden="1">'[6]PABRIK (2)'!#REF!</definedName>
    <definedName name="_168__123Graph_BCHART_19" localSheetId="0" hidden="1">'[6]PABRIK (2)'!#REF!</definedName>
    <definedName name="_168__123Graph_BCHART_19" localSheetId="1" hidden="1">'[6]PABRIK (2)'!#REF!</definedName>
    <definedName name="_168__123Graph_BCHART_19" localSheetId="2" hidden="1">'[6]PABRIK (2)'!#REF!</definedName>
    <definedName name="_168__123Graph_BCHART_19" localSheetId="3" hidden="1">'[6]PABRIK (2)'!#REF!</definedName>
    <definedName name="_168__123Graph_BCHART_19" localSheetId="4" hidden="1">'[6]PABRIK (2)'!#REF!</definedName>
    <definedName name="_168__123Graph_BCHART_19" localSheetId="5" hidden="1">'[6]PABRIK (2)'!#REF!</definedName>
    <definedName name="_168__123Graph_BCHART_19" hidden="1">'[6]PABRIK (2)'!#REF!</definedName>
    <definedName name="_169__123Graph_BCHART_2" hidden="1">'[5]Data SRL'!$D$8:$D$379</definedName>
    <definedName name="_17__123Graph_ACHART_13" hidden="1">[2]Data!$M$50:$M$61</definedName>
    <definedName name="_172__123Graph_BCHART_20" localSheetId="0" hidden="1">'[6]PABRIK (2)'!#REF!</definedName>
    <definedName name="_172__123Graph_BCHART_20" localSheetId="1" hidden="1">'[6]PABRIK (2)'!#REF!</definedName>
    <definedName name="_172__123Graph_BCHART_20" localSheetId="2" hidden="1">'[6]PABRIK (2)'!#REF!</definedName>
    <definedName name="_172__123Graph_BCHART_20" localSheetId="3" hidden="1">'[6]PABRIK (2)'!#REF!</definedName>
    <definedName name="_172__123Graph_BCHART_20" localSheetId="4" hidden="1">'[6]PABRIK (2)'!#REF!</definedName>
    <definedName name="_172__123Graph_BCHART_20" localSheetId="5" hidden="1">'[6]PABRIK (2)'!#REF!</definedName>
    <definedName name="_172__123Graph_BCHART_20" hidden="1">'[6]PABRIK (2)'!#REF!</definedName>
    <definedName name="_173__123Graph_BCHART_21" hidden="1">'[6]PABRIK (2)'!$C$9:$C$287</definedName>
    <definedName name="_174__123Graph_BCHART_22" hidden="1">'[6]PABRIK (2)'!$F$9:$F$287</definedName>
    <definedName name="_175__123Graph_BCHART_23" hidden="1">'[6]PABRIK (2)'!$L$9:$L$287</definedName>
    <definedName name="_176__123Graph_BCHART_24" hidden="1">'[6]PABRIK (2)'!$O$9:$O$287</definedName>
    <definedName name="_177__123Graph_BCHART_25" hidden="1">'[6]PABRIK (2)'!$I$9:$I$287</definedName>
    <definedName name="_178__123Graph_BCHART_26" hidden="1">'[6]PABRIK (2)'!$R$9:$R$287</definedName>
    <definedName name="_179__123Graph_BCHART_27" hidden="1">'[6]PABRIK (2)'!$U$9:$U$287</definedName>
    <definedName name="_18__123Graph_ACHART_135" hidden="1">'[3]TON  per Jam'!$C$8:$Z$8</definedName>
    <definedName name="_180__123Graph_BCHART_28" hidden="1">'[6]PABRIK (2)'!$X$9:$X$287</definedName>
    <definedName name="_181__123Graph_BCHART_29" hidden="1">'[6]PABRIK (2)'!$AD$9:$AD$287</definedName>
    <definedName name="_184__123Graph_BCHART_3" localSheetId="0" hidden="1">'[6]PABRIK (2)'!#REF!</definedName>
    <definedName name="_184__123Graph_BCHART_3" localSheetId="1" hidden="1">'[6]PABRIK (2)'!#REF!</definedName>
    <definedName name="_184__123Graph_BCHART_3" localSheetId="2" hidden="1">'[6]PABRIK (2)'!#REF!</definedName>
    <definedName name="_184__123Graph_BCHART_3" localSheetId="3" hidden="1">'[6]PABRIK (2)'!#REF!</definedName>
    <definedName name="_184__123Graph_BCHART_3" localSheetId="4" hidden="1">'[6]PABRIK (2)'!#REF!</definedName>
    <definedName name="_184__123Graph_BCHART_3" localSheetId="5" hidden="1">'[6]PABRIK (2)'!#REF!</definedName>
    <definedName name="_184__123Graph_BCHART_3" hidden="1">'[6]PABRIK (2)'!#REF!</definedName>
    <definedName name="_185__123Graph_BCHART_30" hidden="1">'[4]DATA LTW'!$AE$68:$AP$68</definedName>
    <definedName name="_186__123Graph_BCHART_31" hidden="1">'[4]DATA LTW'!$AR$40:$BC$40</definedName>
    <definedName name="_187__123Graph_BCHART_32" hidden="1">'[4]DATA LTW'!$AR$68:$BC$68</definedName>
    <definedName name="_188__123Graph_BCHART_33" hidden="1">'[4]DATA LTW'!$AE$41:$AP$41</definedName>
    <definedName name="_189__123Graph_BCHART_34" hidden="1">'[4]DATA LTW'!$AE$69:$AP$69</definedName>
    <definedName name="_19__123Graph_ACHART_136" hidden="1">'[3]TON  per Jam'!$C$10:$Z$10</definedName>
    <definedName name="_190__123Graph_BCHART_35" hidden="1">'[4]DATA LTW'!$AR$41:$BC$41</definedName>
    <definedName name="_191__123Graph_BCHART_36" hidden="1">'[4]DATA LTW'!$AR$69:$BC$69</definedName>
    <definedName name="_192__123Graph_BCHART_37" hidden="1">'[4]DATA LTW'!$AE$43:$AP$43</definedName>
    <definedName name="_193__123Graph_BCHART_38" hidden="1">'[4]DATA LTW'!$AE$71:$AP$71</definedName>
    <definedName name="_194__123Graph_BCHART_39" hidden="1">'[4]DATA LTW'!$AR$43:$BC$43</definedName>
    <definedName name="_197__123Graph_BCHART_4" localSheetId="0" hidden="1">'[6]PABRIK (2)'!#REF!</definedName>
    <definedName name="_197__123Graph_BCHART_4" localSheetId="1" hidden="1">'[6]PABRIK (2)'!#REF!</definedName>
    <definedName name="_197__123Graph_BCHART_4" localSheetId="2" hidden="1">'[6]PABRIK (2)'!#REF!</definedName>
    <definedName name="_197__123Graph_BCHART_4" localSheetId="3" hidden="1">'[6]PABRIK (2)'!#REF!</definedName>
    <definedName name="_197__123Graph_BCHART_4" localSheetId="4" hidden="1">'[6]PABRIK (2)'!#REF!</definedName>
    <definedName name="_197__123Graph_BCHART_4" localSheetId="5" hidden="1">'[6]PABRIK (2)'!#REF!</definedName>
    <definedName name="_197__123Graph_BCHART_4" hidden="1">'[6]PABRIK (2)'!#REF!</definedName>
    <definedName name="_198__123Graph_BCHART_40" hidden="1">'[4]DATA LTW'!$AR$71:$BC$71</definedName>
    <definedName name="_199__123Graph_BCHART_41" hidden="1">'[4]DATA LTW'!$AE$44:$AP$44</definedName>
    <definedName name="_20__123Graph_ACHART_137" hidden="1">'[3]TON  per Jam'!$C$11:$Z$11</definedName>
    <definedName name="_200__123Graph_BCHART_42" hidden="1">'[4]DATA LTW'!$AE$72:$AP$72</definedName>
    <definedName name="_201__123Graph_BCHART_43" hidden="1">'[4]DATA LTW'!$AR$44:$BC$44</definedName>
    <definedName name="_202__123Graph_BCHART_44" hidden="1">'[4]DATA LTW'!$AR$72:$BC$72</definedName>
    <definedName name="_203__123Graph_BCHART_45" hidden="1">'[4]DATA LTW'!$AE$46:$AP$46</definedName>
    <definedName name="_204__123Graph_BCHART_46" hidden="1">'[4]DATA LTW'!$AE$74:$AP$74</definedName>
    <definedName name="_205__123Graph_BCHART_47" hidden="1">'[4]DATA LTW'!$AR$46:$BC$46</definedName>
    <definedName name="_206__123Graph_BCHART_48" hidden="1">'[4]DATA LTW'!$AR$74:$BC$74</definedName>
    <definedName name="_207__123Graph_BCHART_49" hidden="1">'[4]DATA LTW'!$AE$47:$AP$47</definedName>
    <definedName name="_208__123Graph_BCHART_5" hidden="1">'[5]Data SRL'!$BL$9:$BL$100</definedName>
    <definedName name="_209__123Graph_BCHART_50" hidden="1">'[4]DATA LTW'!$AE$75:$AP$75</definedName>
    <definedName name="_21__123Graph_ACHART_138" hidden="1">'[3]TON  per Jam'!$C$12:$Z$12</definedName>
    <definedName name="_210__123Graph_BCHART_51" hidden="1">'[4]DATA LTW'!$AR$47:$BC$47</definedName>
    <definedName name="_211__123Graph_BCHART_52" hidden="1">'[4]DATA LTW'!$AR$75:$BC$75</definedName>
    <definedName name="_212__123Graph_BCHART_53" hidden="1">'[4]DATA LTW'!$AE$25:$AP$25</definedName>
    <definedName name="_213__123Graph_BCHART_54" hidden="1">'[4]DATA LTW'!$AE$53:$AP$53</definedName>
    <definedName name="_214__123Graph_BCHART_55" hidden="1">'[4]DATA LTW'!$AR$25:$BC$25</definedName>
    <definedName name="_215__123Graph_BCHART_56" hidden="1">'[4]DATA LTW'!$AR$53:$BC$53</definedName>
    <definedName name="_216__123Graph_BCHART_57" hidden="1">'[4]DATA LTW'!$AE$26:$AP$26</definedName>
    <definedName name="_217__123Graph_BCHART_58" hidden="1">'[4]DATA LTW'!$AE$54:$AP$54</definedName>
    <definedName name="_218__123Graph_BCHART_59" hidden="1">'[4]DATA LTW'!$AR$26:$BC$26</definedName>
    <definedName name="_219__123Graph_BCHART_6" hidden="1">[7]PK!$B$29:$M$29</definedName>
    <definedName name="_22__123Graph_ACHART_139" hidden="1">'[3]TON  per Jam'!$C$13:$Z$13</definedName>
    <definedName name="_220__123Graph_BCHART_60" hidden="1">'[4]DATA LTW'!$AR$54:$BC$54</definedName>
    <definedName name="_221__123Graph_BCHART_61" hidden="1">'[4]DATA LTW'!$AE$37:$AP$37</definedName>
    <definedName name="_222__123Graph_BCHART_62" hidden="1">'[5]Data SRL'!$D$8:$D$131</definedName>
    <definedName name="_223__123Graph_BCHART_63" hidden="1">'[4]DATA LTW'!$AR$37:$BC$37</definedName>
    <definedName name="_224__123Graph_BCHART_64" hidden="1">'[5]Data SRL'!$G$8:$G$379</definedName>
    <definedName name="_225__123Graph_BCHART_68" hidden="1">'[5]Data SRL'!$W$8:$W$100</definedName>
    <definedName name="_226__123Graph_BCHART_69" hidden="1">'[5]Data SRL'!$V$8:$V$379</definedName>
    <definedName name="_227__123Graph_BCHART_7" hidden="1">'[5]Data SRL'!$CT$8:$CT$379</definedName>
    <definedName name="_228__123Graph_BCHART_70" hidden="1">'[5]Data SRL'!$AB$8:$AB$379</definedName>
    <definedName name="_229__123Graph_BCHART_71" hidden="1">'[5]Data SRL'!$Y$8:$Y$379</definedName>
    <definedName name="_23__123Graph_ACHART_14" hidden="1">[2]Data!$O$50:$O$61</definedName>
    <definedName name="_230__123Graph_BCHART_72" hidden="1">'[5]Data SRL'!$U$8:$U$379</definedName>
    <definedName name="_231__123Graph_BCHART_73" hidden="1">'[5]Data SRL'!$AD$8:$AD$131</definedName>
    <definedName name="_232__123Graph_BCHART_74" hidden="1">'[5]Data SRL'!$AI$8:$AI$100</definedName>
    <definedName name="_233__123Graph_BCHART_75" hidden="1">'[5]Data SRL'!$AL$8:$AL$100</definedName>
    <definedName name="_234__123Graph_BCHART_77" hidden="1">'[5]Data SRL'!$AO$8:$AO$193</definedName>
    <definedName name="_235__123Graph_BCHART_78" hidden="1">'[5]Data SRL'!$AT$9:$AT$100</definedName>
    <definedName name="_236__123Graph_BCHART_79" hidden="1">'[5]Data SRL'!$BA$8:$BA$100</definedName>
    <definedName name="_239__123Graph_BCHART_8" localSheetId="0" hidden="1">'[6]PABRIK (2)'!#REF!</definedName>
    <definedName name="_239__123Graph_BCHART_8" localSheetId="1" hidden="1">'[6]PABRIK (2)'!#REF!</definedName>
    <definedName name="_239__123Graph_BCHART_8" localSheetId="2" hidden="1">'[6]PABRIK (2)'!#REF!</definedName>
    <definedName name="_239__123Graph_BCHART_8" localSheetId="3" hidden="1">'[6]PABRIK (2)'!#REF!</definedName>
    <definedName name="_239__123Graph_BCHART_8" localSheetId="4" hidden="1">'[6]PABRIK (2)'!#REF!</definedName>
    <definedName name="_239__123Graph_BCHART_8" localSheetId="5" hidden="1">'[6]PABRIK (2)'!#REF!</definedName>
    <definedName name="_239__123Graph_BCHART_8" hidden="1">'[6]PABRIK (2)'!#REF!</definedName>
    <definedName name="_24__123Graph_ACHART_140" hidden="1">'[3]TON  per Jam'!$C$14:$Z$14</definedName>
    <definedName name="_240__123Graph_BCHART_81" hidden="1">'[5]Data SRL'!$BE$8:$BE$100</definedName>
    <definedName name="_241__123Graph_BCHART_85" hidden="1">'[5]Data Prod_Graf'!$B$4:$M$4</definedName>
    <definedName name="_242__123Graph_BCHART_86" hidden="1">'[5]Data Prod_Graf'!$B$12:$M$12</definedName>
    <definedName name="_243__123Graph_BCHART_87" hidden="1">'[5]Data Prod_Graf'!$B$21:$M$21</definedName>
    <definedName name="_244__123Graph_BCHART_88" hidden="1">'[5]Data Prod_Graf'!$B$29:$M$29</definedName>
    <definedName name="_247__123Graph_BCHART_9" localSheetId="0" hidden="1">'[6]PABRIK (2)'!#REF!</definedName>
    <definedName name="_247__123Graph_BCHART_9" localSheetId="1" hidden="1">'[6]PABRIK (2)'!#REF!</definedName>
    <definedName name="_247__123Graph_BCHART_9" localSheetId="2" hidden="1">'[6]PABRIK (2)'!#REF!</definedName>
    <definedName name="_247__123Graph_BCHART_9" localSheetId="3" hidden="1">'[6]PABRIK (2)'!#REF!</definedName>
    <definedName name="_247__123Graph_BCHART_9" localSheetId="4" hidden="1">'[6]PABRIK (2)'!#REF!</definedName>
    <definedName name="_247__123Graph_BCHART_9" localSheetId="5" hidden="1">'[6]PABRIK (2)'!#REF!</definedName>
    <definedName name="_247__123Graph_BCHART_9" hidden="1">'[6]PABRIK (2)'!#REF!</definedName>
    <definedName name="_248__123Graph_CCHART_1" hidden="1">'[5]Data SRL'!$BM$9:$BM$100</definedName>
    <definedName name="_249__123Graph_CCHART_10" hidden="1">'[6]PABRIK (2)'!$AF$9:$AF$287</definedName>
    <definedName name="_25__123Graph_ACHART_141" hidden="1">'[3]TON  per Jam'!$C$15:$Z$15</definedName>
    <definedName name="_250__123Graph_CCHART_11" hidden="1">'[6]PABRIK (2)'!$AF$9:$AF$287</definedName>
    <definedName name="_251__123Graph_CCHART_12" hidden="1">'[6]PABRIK (2)'!$AF$9:$AF$287</definedName>
    <definedName name="_252__123Graph_CCHART_13" hidden="1">'[6]PABRIK (2)'!$AF$9:$AF$287</definedName>
    <definedName name="_253__123Graph_CCHART_14" hidden="1">'[6]PABRIK (2)'!$AF$9:$AF$287</definedName>
    <definedName name="_254__123Graph_CCHART_15" hidden="1">[2]Data!$P$50:$P$61</definedName>
    <definedName name="_255__123Graph_CCHART_16" hidden="1">'[6]PABRIK (2)'!$AF$9:$AF$287</definedName>
    <definedName name="_256__123Graph_CCHART_17" hidden="1">'[6]PABRIK (2)'!$AF$9:$AF$287</definedName>
    <definedName name="_257__123Graph_CCHART_18" hidden="1">'[6]PABRIK (2)'!$AF$9:$AF$287</definedName>
    <definedName name="_258__123Graph_CCHART_19" hidden="1">'[6]PABRIK (2)'!$AF$9:$AF$287</definedName>
    <definedName name="_259__123Graph_CCHART_2" hidden="1">'[5]Data SRL'!$AR$8:$AR$379</definedName>
    <definedName name="_26__123Graph_ACHART_142" hidden="1">'[3]TON  per Jam'!$C$17:$Z$17</definedName>
    <definedName name="_260__123Graph_CCHART_20" hidden="1">'[6]PABRIK (2)'!$AF$9:$AF$287</definedName>
    <definedName name="_261__123Graph_CCHART_21" hidden="1">'[6]PABRIK (2)'!$AF$9:$AF$287</definedName>
    <definedName name="_262__123Graph_CCHART_22" hidden="1">'[6]PABRIK (2)'!$AF$9:$AF$287</definedName>
    <definedName name="_263__123Graph_CCHART_23" hidden="1">'[6]PABRIK (2)'!$AF$9:$AF$287</definedName>
    <definedName name="_264__123Graph_CCHART_24" hidden="1">'[6]PABRIK (2)'!$AF$9:$AF$287</definedName>
    <definedName name="_265__123Graph_CCHART_25" hidden="1">'[6]PABRIK (2)'!$AF$9:$AF$287</definedName>
    <definedName name="_266__123Graph_CCHART_26" hidden="1">'[6]PABRIK (2)'!$AF$9:$AF$287</definedName>
    <definedName name="_267__123Graph_CCHART_27" hidden="1">'[6]PABRIK (2)'!$AF$9:$AF$287</definedName>
    <definedName name="_268__123Graph_CCHART_28" hidden="1">'[6]PABRIK (2)'!$AF$9:$AF$287</definedName>
    <definedName name="_269__123Graph_CCHART_29" hidden="1">'[6]PABRIK (2)'!$AF$9:$AF$287</definedName>
    <definedName name="_27__123Graph_ACHART_143" hidden="1">'[3]TON  per Jam'!$C$18:$Z$18</definedName>
    <definedName name="_270__123Graph_CCHART_3" hidden="1">'[5]Data SRL'!$L$8:$L$100</definedName>
    <definedName name="_271__123Graph_CCHART_30" hidden="1">'[4]DATA LTW'!$BE$68:$BP$68</definedName>
    <definedName name="_272__123Graph_CCHART_31" hidden="1">'[4]DATA LTW'!$BR$40:$CC$40</definedName>
    <definedName name="_273__123Graph_CCHART_32" hidden="1">'[4]DATA LTW'!$BR$68:$CC$68</definedName>
    <definedName name="_274__123Graph_CCHART_33" hidden="1">'[4]DATA LTW'!$BE$41:$BP$41</definedName>
    <definedName name="_275__123Graph_CCHART_34" hidden="1">'[4]DATA LTW'!$BE$69:$BP$69</definedName>
    <definedName name="_276__123Graph_CCHART_35" hidden="1">'[4]DATA LTW'!$BR$41:$CC$41</definedName>
    <definedName name="_277__123Graph_CCHART_36" hidden="1">'[4]DATA LTW'!$BR$69:$CC$69</definedName>
    <definedName name="_278__123Graph_CCHART_37" hidden="1">'[4]DATA LTW'!$BE$43:$BP$43</definedName>
    <definedName name="_279__123Graph_CCHART_38" hidden="1">'[4]DATA LTW'!$BE$71:$BP$71</definedName>
    <definedName name="_28__123Graph_ACHART_144" hidden="1">'[3]TON  per Jam'!$C$19:$Z$19</definedName>
    <definedName name="_280__123Graph_CCHART_39" hidden="1">'[4]DATA LTW'!$BR$43:$CC$43</definedName>
    <definedName name="_281__123Graph_CCHART_4" hidden="1">'[5]Data SRL'!$BM$8:$BM$100</definedName>
    <definedName name="_282__123Graph_CCHART_40" hidden="1">'[4]DATA LTW'!$BR$71:$CC$71</definedName>
    <definedName name="_283__123Graph_CCHART_41" hidden="1">'[4]DATA LTW'!$BE$44:$BP$44</definedName>
    <definedName name="_284__123Graph_CCHART_42" hidden="1">'[4]DATA LTW'!$BE$72:$BP$72</definedName>
    <definedName name="_285__123Graph_CCHART_43" hidden="1">'[4]DATA LTW'!$BR$44:$CC$44</definedName>
    <definedName name="_286__123Graph_CCHART_44" hidden="1">'[4]DATA LTW'!$BR$72:$CC$72</definedName>
    <definedName name="_287__123Graph_CCHART_45" hidden="1">'[4]DATA LTW'!$BE$46:$BP$46</definedName>
    <definedName name="_288__123Graph_CCHART_46" hidden="1">'[4]DATA LTW'!$BE$74:$BP$74</definedName>
    <definedName name="_289__123Graph_CCHART_47" hidden="1">'[4]DATA LTW'!$BR$46:$CC$46</definedName>
    <definedName name="_29__123Graph_ACHART_145" hidden="1">'[3]TON  per Jam'!$C$20:$Z$20</definedName>
    <definedName name="_290__123Graph_CCHART_48" hidden="1">'[4]DATA LTW'!$BR$74:$CC$74</definedName>
    <definedName name="_291__123Graph_CCHART_49" hidden="1">'[4]DATA LTW'!$BE$47:$BP$47</definedName>
    <definedName name="_292__123Graph_CCHART_5" hidden="1">[6]PO!$B$59:$M$59</definedName>
    <definedName name="_293__123Graph_CCHART_50" hidden="1">'[4]DATA LTW'!$BE$75:$BP$75</definedName>
    <definedName name="_294__123Graph_CCHART_51" hidden="1">'[4]DATA LTW'!$BR$47:$CC$47</definedName>
    <definedName name="_295__123Graph_CCHART_52" hidden="1">'[4]DATA LTW'!$BR$75:$CC$75</definedName>
    <definedName name="_296__123Graph_CCHART_53" hidden="1">'[4]DATA LTW'!$BE$25:$BP$25</definedName>
    <definedName name="_297__123Graph_CCHART_54" hidden="1">'[4]DATA LTW'!$BE$53:$BP$53</definedName>
    <definedName name="_298__123Graph_CCHART_55" hidden="1">'[4]DATA LTW'!$BR$25:$CC$25</definedName>
    <definedName name="_299__123Graph_CCHART_56" hidden="1">'[4]DATA LTW'!$BR$53:$CC$53</definedName>
    <definedName name="_30__123Graph_ACHART_146" hidden="1">'[3]TON  per Jam'!$C$21:$Z$21</definedName>
    <definedName name="_300__123Graph_CCHART_57" hidden="1">'[4]DATA LTW'!$BE$26:$BP$26</definedName>
    <definedName name="_301__123Graph_CCHART_58" hidden="1">'[4]DATA LTW'!$BE$54:$BP$54</definedName>
    <definedName name="_302__123Graph_CCHART_59" hidden="1">'[4]DATA LTW'!$BR$26:$CC$26</definedName>
    <definedName name="_303__123Graph_CCHART_6" hidden="1">'[5]Data SRL'!$L$8:$L$100</definedName>
    <definedName name="_304__123Graph_CCHART_60" hidden="1">'[4]DATA LTW'!$BR$54:$CC$54</definedName>
    <definedName name="_305__123Graph_CCHART_61" hidden="1">'[4]DATA LTW'!$BE$37:$BP$37</definedName>
    <definedName name="_306__123Graph_CCHART_62" hidden="1">'[4]DATA LTW'!$BE$65:$BP$65</definedName>
    <definedName name="_307__123Graph_CCHART_63" hidden="1">'[4]DATA LTW'!$BR$37:$CC$37</definedName>
    <definedName name="_308__123Graph_CCHART_64" hidden="1">'[5]Data SRL'!$H$8:$H$379</definedName>
    <definedName name="_309__123Graph_CCHART_68" hidden="1">'[5]Data SRL'!$AC$8:$AC$100</definedName>
    <definedName name="_31__123Graph_ACHART_147" hidden="1">'[3]TON  per Jam'!$C$48:$Z$48</definedName>
    <definedName name="_31_12_1993" localSheetId="0">#REF!</definedName>
    <definedName name="_31_12_1993" localSheetId="1">#REF!</definedName>
    <definedName name="_31_12_1993" localSheetId="2">#REF!</definedName>
    <definedName name="_31_12_1993" localSheetId="3">#REF!</definedName>
    <definedName name="_31_12_1993" localSheetId="4">#REF!</definedName>
    <definedName name="_31_12_1993" localSheetId="5">#REF!</definedName>
    <definedName name="_31_12_1993">#REF!</definedName>
    <definedName name="_310__123Graph_CCHART_7" hidden="1">[7]PK!$B$63:$M$63</definedName>
    <definedName name="_311__123Graph_CCHART_73" hidden="1">'[5]Data SRL'!$AE$8:$AE$131</definedName>
    <definedName name="_312__123Graph_CCHART_75" hidden="1">'[5]Data SRL'!$AM$8:$AM$100</definedName>
    <definedName name="_313__123Graph_CCHART_77" hidden="1">'[5]Data SRL'!$AP$8:$AP$193</definedName>
    <definedName name="_314__123Graph_CCHART_78" hidden="1">'[5]Data SRL'!$AU$9:$AU$100</definedName>
    <definedName name="_315__123Graph_CCHART_79" hidden="1">'[5]Data SRL'!$BB$8:$BB$100</definedName>
    <definedName name="_316__123Graph_CCHART_8" hidden="1">'[6]PABRIK (2)'!$AF$9:$AF$287</definedName>
    <definedName name="_317__123Graph_CCHART_81" hidden="1">'[5]Data SRL'!$AY$8:$AY$100</definedName>
    <definedName name="_318__123Graph_CCHART_85" hidden="1">'[5]Data Prod_Graf'!$B$5:$M$5</definedName>
    <definedName name="_319__123Graph_CCHART_86" hidden="1">'[5]Data Prod_Graf'!$B$13:$M$13</definedName>
    <definedName name="_32__123Graph_ACHART_148" hidden="1">'[3]TON  per Jam'!$C$22:$Z$22</definedName>
    <definedName name="_320__123Graph_CCHART_87" hidden="1">'[5]Data Prod_Graf'!$B$22:$M$22</definedName>
    <definedName name="_321__123Graph_CCHART_88" hidden="1">'[5]Data Prod_Graf'!$B$30:$M$30</definedName>
    <definedName name="_322__123Graph_CCHART_9" hidden="1">'[6]PABRIK (2)'!$AF$9:$AF$287</definedName>
    <definedName name="_323__123Graph_DCHART_1" hidden="1">'[5]Data SRL'!$BN$9:$BN$100</definedName>
    <definedName name="_324__123Graph_DCHART_15" hidden="1">[2]Data!$Q$50:$Q$61</definedName>
    <definedName name="_325__123Graph_DCHART_2" hidden="1">'[5]Data SRL'!$J$8:$J$379</definedName>
    <definedName name="_328__123Graph_DCHART_4" localSheetId="0" hidden="1">[8]Karung!#REF!</definedName>
    <definedName name="_328__123Graph_DCHART_4" localSheetId="1" hidden="1">[8]Karung!#REF!</definedName>
    <definedName name="_328__123Graph_DCHART_4" localSheetId="2" hidden="1">[8]Karung!#REF!</definedName>
    <definedName name="_328__123Graph_DCHART_4" localSheetId="3" hidden="1">[8]Karung!#REF!</definedName>
    <definedName name="_328__123Graph_DCHART_4" localSheetId="4" hidden="1">[8]Karung!#REF!</definedName>
    <definedName name="_328__123Graph_DCHART_4" localSheetId="5" hidden="1">[8]Karung!#REF!</definedName>
    <definedName name="_328__123Graph_DCHART_4" hidden="1">[8]Karung!#REF!</definedName>
    <definedName name="_329__123Graph_DCHART_5" hidden="1">'[5]Data SRL'!$BN$9:$BN$100</definedName>
    <definedName name="_33__123Graph_ACHART_149" hidden="1">'[3]TON  per Jam'!$C$24:$Z$24</definedName>
    <definedName name="_330__123Graph_DCHART_6" hidden="1">'[5]Data SRL'!$CV$8:$CV$100</definedName>
    <definedName name="_331__123Graph_DCHART_7" hidden="1">[7]PK!$B$64:$M$64</definedName>
    <definedName name="_332__123Graph_DCHART_77" hidden="1">'[5]Data SRL'!$AQ$8:$AQ$193</definedName>
    <definedName name="_333__123Graph_DCHART_78" hidden="1">'[5]Data SRL'!$BJ$8:$BJ$100</definedName>
    <definedName name="_334__123Graph_DCHART_79" hidden="1">'[5]Data SRL'!$BC$8:$BC$100</definedName>
    <definedName name="_337__123Graph_DCHART_8" localSheetId="0" hidden="1">[8]Karung!#REF!</definedName>
    <definedName name="_337__123Graph_DCHART_8" localSheetId="1" hidden="1">[8]Karung!#REF!</definedName>
    <definedName name="_337__123Graph_DCHART_8" localSheetId="2" hidden="1">[8]Karung!#REF!</definedName>
    <definedName name="_337__123Graph_DCHART_8" localSheetId="3" hidden="1">[8]Karung!#REF!</definedName>
    <definedName name="_337__123Graph_DCHART_8" localSheetId="4" hidden="1">[8]Karung!#REF!</definedName>
    <definedName name="_337__123Graph_DCHART_8" localSheetId="5" hidden="1">[8]Karung!#REF!</definedName>
    <definedName name="_337__123Graph_DCHART_8" hidden="1">[8]Karung!#REF!</definedName>
    <definedName name="_338__123Graph_DCHART_81" hidden="1">'[5]Data SRL'!$BH$8:$BH$100</definedName>
    <definedName name="_339__123Graph_DCHART_85" hidden="1">'[5]Data Prod_Graf'!$B$6:$M$6</definedName>
    <definedName name="_34__123Graph_ACHART_15" hidden="1">[2]Data!$B$50:$B$61</definedName>
    <definedName name="_340__123Graph_DCHART_86" hidden="1">'[5]Data Prod_Graf'!$B$14:$M$14</definedName>
    <definedName name="_341__123Graph_DCHART_87" hidden="1">'[5]Data Prod_Graf'!$B$23:$M$23</definedName>
    <definedName name="_342__123Graph_DCHART_88" hidden="1">'[5]Data Prod_Graf'!$B$31:$M$31</definedName>
    <definedName name="_343__123Graph_ECHART_1" hidden="1">'[5]Data SRL'!$BO$9:$BO$100</definedName>
    <definedName name="_344__123Graph_ECHART_2" hidden="1">'[5]Data SRL'!$CS$8:$CS$379</definedName>
    <definedName name="_345__123Graph_ECHART_3" hidden="1">'[5]Data SRL'!$N$8:$N$100</definedName>
    <definedName name="_346__123Graph_ECHART_4" hidden="1">'[5]Data SRL'!$BO$9:$BO$100</definedName>
    <definedName name="_347__123Graph_ECHART_6" hidden="1">'[5]Data SRL'!$CW$8:$CW$100</definedName>
    <definedName name="_348__123Graph_ECHART_7" hidden="1">[7]PK!$B$65:$M$65</definedName>
    <definedName name="_349__123Graph_ECHART_85" hidden="1">'[5]Data Prod_Graf'!$B$7:$M$7</definedName>
    <definedName name="_35__123Graph_ACHART_150" hidden="1">'[3]TON  per Jam'!$C$25:$Z$25</definedName>
    <definedName name="_350__123Graph_ECHART_86" hidden="1">'[5]Data Prod_Graf'!$B$15:$M$15</definedName>
    <definedName name="_351__123Graph_ECHART_87" hidden="1">'[5]Data Prod_Graf'!$B$24:$M$24</definedName>
    <definedName name="_352__123Graph_ECHART_88" hidden="1">'[5]Data Prod_Graf'!$B$32:$M$32</definedName>
    <definedName name="_353__123Graph_FCHART_1" hidden="1">'[5]Data SRL'!$BP$9:$BP$100</definedName>
    <definedName name="_354__123Graph_FCHART_5" hidden="1">'[5]Data SRL'!$BP$9:$BP$100</definedName>
    <definedName name="_355__123Graph_FCHART_6" hidden="1">[7]PK!$B$33:$M$33</definedName>
    <definedName name="_356__123Graph_FCHART_7" hidden="1">[7]PK!$B$66:$M$66</definedName>
    <definedName name="_357__123Graph_FCHART_78" hidden="1">'[5]Data SRL'!$AX$8:$AX$100</definedName>
    <definedName name="_358__123Graph_FCHART_86" hidden="1">'[5]Data Prod_Graf'!$B$16:$M$16</definedName>
    <definedName name="_359__123Graph_FCHART_87" hidden="1">'[5]Data Prod_Graf'!$B$25:$M$25</definedName>
    <definedName name="_36__123Graph_ACHART_151" hidden="1">'[3]TON  per Jam'!$C$26:$Z$26</definedName>
    <definedName name="_360__123Graph_XCHART_1" hidden="1">[2]Data!$A$2:$A$73</definedName>
    <definedName name="_361__123Graph_XCHART_10" hidden="1">'[6]PABRIK (2)'!$A$9:$A$380</definedName>
    <definedName name="_362__123Graph_XCHART_11" hidden="1">'[6]PABRIK (2)'!$A$9:$A$380</definedName>
    <definedName name="_365__123Graph_XCHART_113" localSheetId="0" hidden="1">'[3]TON  per Jam'!#REF!</definedName>
    <definedName name="_365__123Graph_XCHART_113" localSheetId="1" hidden="1">'[3]TON  per Jam'!#REF!</definedName>
    <definedName name="_365__123Graph_XCHART_113" localSheetId="2" hidden="1">'[3]TON  per Jam'!#REF!</definedName>
    <definedName name="_365__123Graph_XCHART_113" localSheetId="3" hidden="1">'[3]TON  per Jam'!#REF!</definedName>
    <definedName name="_365__123Graph_XCHART_113" localSheetId="4" hidden="1">'[3]TON  per Jam'!#REF!</definedName>
    <definedName name="_365__123Graph_XCHART_113" localSheetId="5" hidden="1">'[3]TON  per Jam'!#REF!</definedName>
    <definedName name="_365__123Graph_XCHART_113" hidden="1">'[3]TON  per Jam'!#REF!</definedName>
    <definedName name="_368__123Graph_XCHART_114" localSheetId="0" hidden="1">'[3]TON  per Jam'!#REF!</definedName>
    <definedName name="_368__123Graph_XCHART_114" localSheetId="1" hidden="1">'[3]TON  per Jam'!#REF!</definedName>
    <definedName name="_368__123Graph_XCHART_114" localSheetId="2" hidden="1">'[3]TON  per Jam'!#REF!</definedName>
    <definedName name="_368__123Graph_XCHART_114" localSheetId="3" hidden="1">'[3]TON  per Jam'!#REF!</definedName>
    <definedName name="_368__123Graph_XCHART_114" localSheetId="4" hidden="1">'[3]TON  per Jam'!#REF!</definedName>
    <definedName name="_368__123Graph_XCHART_114" localSheetId="5" hidden="1">'[3]TON  per Jam'!#REF!</definedName>
    <definedName name="_368__123Graph_XCHART_114" hidden="1">'[3]TON  per Jam'!#REF!</definedName>
    <definedName name="_37__123Graph_ACHART_152" hidden="1">'[3]TON  per Jam'!$C$27:$Z$27</definedName>
    <definedName name="_371__123Graph_XCHART_115" localSheetId="0" hidden="1">'[3]TON  per Jam'!#REF!</definedName>
    <definedName name="_371__123Graph_XCHART_115" localSheetId="1" hidden="1">'[3]TON  per Jam'!#REF!</definedName>
    <definedName name="_371__123Graph_XCHART_115" localSheetId="2" hidden="1">'[3]TON  per Jam'!#REF!</definedName>
    <definedName name="_371__123Graph_XCHART_115" localSheetId="3" hidden="1">'[3]TON  per Jam'!#REF!</definedName>
    <definedName name="_371__123Graph_XCHART_115" localSheetId="4" hidden="1">'[3]TON  per Jam'!#REF!</definedName>
    <definedName name="_371__123Graph_XCHART_115" localSheetId="5" hidden="1">'[3]TON  per Jam'!#REF!</definedName>
    <definedName name="_371__123Graph_XCHART_115" hidden="1">'[3]TON  per Jam'!#REF!</definedName>
    <definedName name="_374__123Graph_XCHART_116" localSheetId="0" hidden="1">'[3]TON  per Jam'!#REF!</definedName>
    <definedName name="_374__123Graph_XCHART_116" localSheetId="1" hidden="1">'[3]TON  per Jam'!#REF!</definedName>
    <definedName name="_374__123Graph_XCHART_116" localSheetId="2" hidden="1">'[3]TON  per Jam'!#REF!</definedName>
    <definedName name="_374__123Graph_XCHART_116" localSheetId="3" hidden="1">'[3]TON  per Jam'!#REF!</definedName>
    <definedName name="_374__123Graph_XCHART_116" localSheetId="4" hidden="1">'[3]TON  per Jam'!#REF!</definedName>
    <definedName name="_374__123Graph_XCHART_116" localSheetId="5" hidden="1">'[3]TON  per Jam'!#REF!</definedName>
    <definedName name="_374__123Graph_XCHART_116" hidden="1">'[3]TON  per Jam'!#REF!</definedName>
    <definedName name="_377__123Graph_XCHART_117" localSheetId="0" hidden="1">'[3]TON  per Jam'!#REF!</definedName>
    <definedName name="_377__123Graph_XCHART_117" localSheetId="1" hidden="1">'[3]TON  per Jam'!#REF!</definedName>
    <definedName name="_377__123Graph_XCHART_117" localSheetId="2" hidden="1">'[3]TON  per Jam'!#REF!</definedName>
    <definedName name="_377__123Graph_XCHART_117" localSheetId="3" hidden="1">'[3]TON  per Jam'!#REF!</definedName>
    <definedName name="_377__123Graph_XCHART_117" localSheetId="4" hidden="1">'[3]TON  per Jam'!#REF!</definedName>
    <definedName name="_377__123Graph_XCHART_117" localSheetId="5" hidden="1">'[3]TON  per Jam'!#REF!</definedName>
    <definedName name="_377__123Graph_XCHART_117" hidden="1">'[3]TON  per Jam'!#REF!</definedName>
    <definedName name="_38__123Graph_ACHART_153" hidden="1">'[3]TON  per Jam'!$C$28:$Z$28</definedName>
    <definedName name="_380__123Graph_XCHART_118" localSheetId="0" hidden="1">'[3]TON  per Jam'!#REF!</definedName>
    <definedName name="_380__123Graph_XCHART_118" localSheetId="1" hidden="1">'[3]TON  per Jam'!#REF!</definedName>
    <definedName name="_380__123Graph_XCHART_118" localSheetId="2" hidden="1">'[3]TON  per Jam'!#REF!</definedName>
    <definedName name="_380__123Graph_XCHART_118" localSheetId="3" hidden="1">'[3]TON  per Jam'!#REF!</definedName>
    <definedName name="_380__123Graph_XCHART_118" localSheetId="4" hidden="1">'[3]TON  per Jam'!#REF!</definedName>
    <definedName name="_380__123Graph_XCHART_118" localSheetId="5" hidden="1">'[3]TON  per Jam'!#REF!</definedName>
    <definedName name="_380__123Graph_XCHART_118" hidden="1">'[3]TON  per Jam'!#REF!</definedName>
    <definedName name="_383__123Graph_XCHART_119" localSheetId="0" hidden="1">'[3]TON  per Jam'!#REF!</definedName>
    <definedName name="_383__123Graph_XCHART_119" localSheetId="1" hidden="1">'[3]TON  per Jam'!#REF!</definedName>
    <definedName name="_383__123Graph_XCHART_119" localSheetId="2" hidden="1">'[3]TON  per Jam'!#REF!</definedName>
    <definedName name="_383__123Graph_XCHART_119" localSheetId="3" hidden="1">'[3]TON  per Jam'!#REF!</definedName>
    <definedName name="_383__123Graph_XCHART_119" localSheetId="4" hidden="1">'[3]TON  per Jam'!#REF!</definedName>
    <definedName name="_383__123Graph_XCHART_119" localSheetId="5" hidden="1">'[3]TON  per Jam'!#REF!</definedName>
    <definedName name="_383__123Graph_XCHART_119" hidden="1">'[3]TON  per Jam'!#REF!</definedName>
    <definedName name="_384__123Graph_XCHART_12" hidden="1">'[6]PABRIK (2)'!$A$9:$A$380</definedName>
    <definedName name="_387__123Graph_XCHART_120" localSheetId="0" hidden="1">'[3]TON  per Jam'!#REF!</definedName>
    <definedName name="_387__123Graph_XCHART_120" localSheetId="1" hidden="1">'[3]TON  per Jam'!#REF!</definedName>
    <definedName name="_387__123Graph_XCHART_120" localSheetId="2" hidden="1">'[3]TON  per Jam'!#REF!</definedName>
    <definedName name="_387__123Graph_XCHART_120" localSheetId="3" hidden="1">'[3]TON  per Jam'!#REF!</definedName>
    <definedName name="_387__123Graph_XCHART_120" localSheetId="4" hidden="1">'[3]TON  per Jam'!#REF!</definedName>
    <definedName name="_387__123Graph_XCHART_120" localSheetId="5" hidden="1">'[3]TON  per Jam'!#REF!</definedName>
    <definedName name="_387__123Graph_XCHART_120" hidden="1">'[3]TON  per Jam'!#REF!</definedName>
    <definedName name="_388__123Graph_XCHART_13" hidden="1">[2]Data!$L$50:$L$61</definedName>
    <definedName name="_389__123Graph_XCHART_135" hidden="1">'[3]TON  per Jam'!$C$7:$Z$7</definedName>
    <definedName name="_39__123Graph_ACHART_154" hidden="1">'[3]TON  per Jam'!$C$29:$Z$29</definedName>
    <definedName name="_390__123Graph_XCHART_136" hidden="1">'[3]TON  per Jam'!$C$7:$Z$7</definedName>
    <definedName name="_391__123Graph_XCHART_137" hidden="1">'[3]TON  per Jam'!$C$7:$Z$7</definedName>
    <definedName name="_392__123Graph_XCHART_138" hidden="1">'[3]TON  per Jam'!$C$7:$Z$7</definedName>
    <definedName name="_393__123Graph_XCHART_139" hidden="1">'[3]TON  per Jam'!$C$7:$Z$7</definedName>
    <definedName name="_394__123Graph_XCHART_14" hidden="1">[2]Data!$L$50:$L$61</definedName>
    <definedName name="_395__123Graph_XCHART_140" hidden="1">'[3]TON  per Jam'!$C$7:$Z$7</definedName>
    <definedName name="_396__123Graph_XCHART_141" hidden="1">'[3]TON  per Jam'!$C$7:$Z$7</definedName>
    <definedName name="_397__123Graph_XCHART_142" hidden="1">'[3]TON  per Jam'!$C$7:$Z$7</definedName>
    <definedName name="_398__123Graph_XCHART_143" hidden="1">'[3]TON  per Jam'!$C$7:$Z$7</definedName>
    <definedName name="_399__123Graph_XCHART_144" hidden="1">'[3]TON  per Jam'!$C$7:$Z$7</definedName>
    <definedName name="_4__123Graph_ACHART_10" localSheetId="0" hidden="1">'[6]PABRIK (2)'!#REF!</definedName>
    <definedName name="_4__123Graph_ACHART_10" localSheetId="1" hidden="1">'[6]PABRIK (2)'!#REF!</definedName>
    <definedName name="_4__123Graph_ACHART_10" localSheetId="2" hidden="1">'[6]PABRIK (2)'!#REF!</definedName>
    <definedName name="_4__123Graph_ACHART_10" localSheetId="3" hidden="1">'[6]PABRIK (2)'!#REF!</definedName>
    <definedName name="_4__123Graph_ACHART_10" localSheetId="4" hidden="1">'[6]PABRIK (2)'!#REF!</definedName>
    <definedName name="_4__123Graph_ACHART_10" localSheetId="5" hidden="1">'[6]PABRIK (2)'!#REF!</definedName>
    <definedName name="_4__123Graph_ACHART_10" hidden="1">'[6]PABRIK (2)'!#REF!</definedName>
    <definedName name="_40__123Graph_ACHART_155" hidden="1">'[3]TON  per Jam'!$C$31:$Z$31</definedName>
    <definedName name="_400__123Graph_XCHART_145" hidden="1">'[3]TON  per Jam'!$C$7:$Z$7</definedName>
    <definedName name="_401__123Graph_XCHART_146" hidden="1">'[3]TON  per Jam'!$C$7:$Z$7</definedName>
    <definedName name="_404__123Graph_XCHART_147" localSheetId="0" hidden="1">'[3]TON  per Jam'!#REF!</definedName>
    <definedName name="_404__123Graph_XCHART_147" localSheetId="1" hidden="1">'[3]TON  per Jam'!#REF!</definedName>
    <definedName name="_404__123Graph_XCHART_147" localSheetId="2" hidden="1">'[3]TON  per Jam'!#REF!</definedName>
    <definedName name="_404__123Graph_XCHART_147" localSheetId="3" hidden="1">'[3]TON  per Jam'!#REF!</definedName>
    <definedName name="_404__123Graph_XCHART_147" localSheetId="4" hidden="1">'[3]TON  per Jam'!#REF!</definedName>
    <definedName name="_404__123Graph_XCHART_147" localSheetId="5" hidden="1">'[3]TON  per Jam'!#REF!</definedName>
    <definedName name="_404__123Graph_XCHART_147" hidden="1">'[3]TON  per Jam'!#REF!</definedName>
    <definedName name="_405__123Graph_XCHART_148" hidden="1">'[3]TON  per Jam'!$C$7:$Z$7</definedName>
    <definedName name="_406__123Graph_XCHART_149" hidden="1">'[3]TON  per Jam'!$C$7:$Z$7</definedName>
    <definedName name="_407__123Graph_XCHART_15" hidden="1">[2]Data!$L$50:$L$61</definedName>
    <definedName name="_408__123Graph_XCHART_150" hidden="1">'[3]TON  per Jam'!$C$7:$Z$7</definedName>
    <definedName name="_409__123Graph_XCHART_151" hidden="1">'[3]TON  per Jam'!$C$7:$Z$7</definedName>
    <definedName name="_41__123Graph_ACHART_156" hidden="1">'[3]TON  per Jam'!$C$32:$Z$32</definedName>
    <definedName name="_410__123Graph_XCHART_152" hidden="1">'[3]TON  per Jam'!$C$7:$Z$7</definedName>
    <definedName name="_411__123Graph_XCHART_153" hidden="1">'[3]TON  per Jam'!$C$7:$Z$7</definedName>
    <definedName name="_412__123Graph_XCHART_154" hidden="1">'[3]TON  per Jam'!$C$7:$Z$7</definedName>
    <definedName name="_413__123Graph_XCHART_155" hidden="1">'[3]TON  per Jam'!$C$7:$Z$7</definedName>
    <definedName name="_414__123Graph_XCHART_156" hidden="1">'[3]TON  per Jam'!$C$7:$Z$7</definedName>
    <definedName name="_415__123Graph_XCHART_157" hidden="1">'[3]TON  per Jam'!$C$7:$Z$7</definedName>
    <definedName name="_416__123Graph_XCHART_158" hidden="1">'[3]TON  per Jam'!$C$7:$Z$7</definedName>
    <definedName name="_417__123Graph_XCHART_159" hidden="1">'[3]TON  per Jam'!$C$7:$Z$7</definedName>
    <definedName name="_418__123Graph_XCHART_16" hidden="1">[2]Data!$L$62:$L$73</definedName>
    <definedName name="_419__123Graph_XCHART_160" hidden="1">'[3]TON  per Jam'!$C$7:$Z$7</definedName>
    <definedName name="_42__123Graph_ACHART_157" hidden="1">'[3]TON  per Jam'!$C$33:$Z$33</definedName>
    <definedName name="_420__123Graph_XCHART_17" hidden="1">[2]Data!$L$62:$L$73</definedName>
    <definedName name="_421__123Graph_XCHART_18" hidden="1">'[6]PABRIK (2)'!$A$9:$A$380</definedName>
    <definedName name="_424__123Graph_XCHART_183" localSheetId="0" hidden="1">'[3]TON  per Jam'!#REF!</definedName>
    <definedName name="_424__123Graph_XCHART_183" localSheetId="1" hidden="1">'[3]TON  per Jam'!#REF!</definedName>
    <definedName name="_424__123Graph_XCHART_183" localSheetId="2" hidden="1">'[3]TON  per Jam'!#REF!</definedName>
    <definedName name="_424__123Graph_XCHART_183" localSheetId="3" hidden="1">'[3]TON  per Jam'!#REF!</definedName>
    <definedName name="_424__123Graph_XCHART_183" localSheetId="4" hidden="1">'[3]TON  per Jam'!#REF!</definedName>
    <definedName name="_424__123Graph_XCHART_183" localSheetId="5" hidden="1">'[3]TON  per Jam'!#REF!</definedName>
    <definedName name="_424__123Graph_XCHART_183" hidden="1">'[3]TON  per Jam'!#REF!</definedName>
    <definedName name="_425__123Graph_XCHART_19" hidden="1">'[6]PABRIK (2)'!$A$9:$A$380</definedName>
    <definedName name="_426__123Graph_XCHART_2" hidden="1">[2]Data!$A$38:$A$73</definedName>
    <definedName name="_427__123Graph_XCHART_20" hidden="1">'[6]PABRIK (2)'!$A$9:$A$380</definedName>
    <definedName name="_428__123Graph_XCHART_21" hidden="1">'[6]PABRIK (2)'!$A$9:$A$380</definedName>
    <definedName name="_43__123Graph_ACHART_158" hidden="1">'[3]TON  per Jam'!$C$34:$Z$34</definedName>
    <definedName name="_431__123Graph_XCHART_214" localSheetId="0" hidden="1">'[3]TON  per Jam'!#REF!</definedName>
    <definedName name="_431__123Graph_XCHART_214" localSheetId="1" hidden="1">'[3]TON  per Jam'!#REF!</definedName>
    <definedName name="_431__123Graph_XCHART_214" localSheetId="2" hidden="1">'[3]TON  per Jam'!#REF!</definedName>
    <definedName name="_431__123Graph_XCHART_214" localSheetId="3" hidden="1">'[3]TON  per Jam'!#REF!</definedName>
    <definedName name="_431__123Graph_XCHART_214" localSheetId="4" hidden="1">'[3]TON  per Jam'!#REF!</definedName>
    <definedName name="_431__123Graph_XCHART_214" localSheetId="5" hidden="1">'[3]TON  per Jam'!#REF!</definedName>
    <definedName name="_431__123Graph_XCHART_214" hidden="1">'[3]TON  per Jam'!#REF!</definedName>
    <definedName name="_434__123Graph_XCHART_215" localSheetId="0" hidden="1">'[3]TON  per Jam'!#REF!</definedName>
    <definedName name="_434__123Graph_XCHART_215" localSheetId="1" hidden="1">'[3]TON  per Jam'!#REF!</definedName>
    <definedName name="_434__123Graph_XCHART_215" localSheetId="2" hidden="1">'[3]TON  per Jam'!#REF!</definedName>
    <definedName name="_434__123Graph_XCHART_215" localSheetId="3" hidden="1">'[3]TON  per Jam'!#REF!</definedName>
    <definedName name="_434__123Graph_XCHART_215" localSheetId="4" hidden="1">'[3]TON  per Jam'!#REF!</definedName>
    <definedName name="_434__123Graph_XCHART_215" localSheetId="5" hidden="1">'[3]TON  per Jam'!#REF!</definedName>
    <definedName name="_434__123Graph_XCHART_215" hidden="1">'[3]TON  per Jam'!#REF!</definedName>
    <definedName name="_437__123Graph_XCHART_216" localSheetId="0" hidden="1">'[3]TON  per Jam'!#REF!</definedName>
    <definedName name="_437__123Graph_XCHART_216" localSheetId="1" hidden="1">'[3]TON  per Jam'!#REF!</definedName>
    <definedName name="_437__123Graph_XCHART_216" localSheetId="2" hidden="1">'[3]TON  per Jam'!#REF!</definedName>
    <definedName name="_437__123Graph_XCHART_216" localSheetId="3" hidden="1">'[3]TON  per Jam'!#REF!</definedName>
    <definedName name="_437__123Graph_XCHART_216" localSheetId="4" hidden="1">'[3]TON  per Jam'!#REF!</definedName>
    <definedName name="_437__123Graph_XCHART_216" localSheetId="5" hidden="1">'[3]TON  per Jam'!#REF!</definedName>
    <definedName name="_437__123Graph_XCHART_216" hidden="1">'[3]TON  per Jam'!#REF!</definedName>
    <definedName name="_44__123Graph_ACHART_159" hidden="1">'[3]TON  per Jam'!$C$35:$Z$35</definedName>
    <definedName name="_440__123Graph_XCHART_217" localSheetId="0" hidden="1">'[3]TON  per Jam'!#REF!</definedName>
    <definedName name="_440__123Graph_XCHART_217" localSheetId="1" hidden="1">'[3]TON  per Jam'!#REF!</definedName>
    <definedName name="_440__123Graph_XCHART_217" localSheetId="2" hidden="1">'[3]TON  per Jam'!#REF!</definedName>
    <definedName name="_440__123Graph_XCHART_217" localSheetId="3" hidden="1">'[3]TON  per Jam'!#REF!</definedName>
    <definedName name="_440__123Graph_XCHART_217" localSheetId="4" hidden="1">'[3]TON  per Jam'!#REF!</definedName>
    <definedName name="_440__123Graph_XCHART_217" localSheetId="5" hidden="1">'[3]TON  per Jam'!#REF!</definedName>
    <definedName name="_440__123Graph_XCHART_217" hidden="1">'[3]TON  per Jam'!#REF!</definedName>
    <definedName name="_443__123Graph_XCHART_218" localSheetId="0" hidden="1">'[3]TON  per Jam'!#REF!</definedName>
    <definedName name="_443__123Graph_XCHART_218" localSheetId="1" hidden="1">'[3]TON  per Jam'!#REF!</definedName>
    <definedName name="_443__123Graph_XCHART_218" localSheetId="2" hidden="1">'[3]TON  per Jam'!#REF!</definedName>
    <definedName name="_443__123Graph_XCHART_218" localSheetId="3" hidden="1">'[3]TON  per Jam'!#REF!</definedName>
    <definedName name="_443__123Graph_XCHART_218" localSheetId="4" hidden="1">'[3]TON  per Jam'!#REF!</definedName>
    <definedName name="_443__123Graph_XCHART_218" localSheetId="5" hidden="1">'[3]TON  per Jam'!#REF!</definedName>
    <definedName name="_443__123Graph_XCHART_218" hidden="1">'[3]TON  per Jam'!#REF!</definedName>
    <definedName name="_446__123Graph_XCHART_219" localSheetId="0" hidden="1">'[3]TON  per Jam'!#REF!</definedName>
    <definedName name="_446__123Graph_XCHART_219" localSheetId="1" hidden="1">'[3]TON  per Jam'!#REF!</definedName>
    <definedName name="_446__123Graph_XCHART_219" localSheetId="2" hidden="1">'[3]TON  per Jam'!#REF!</definedName>
    <definedName name="_446__123Graph_XCHART_219" localSheetId="3" hidden="1">'[3]TON  per Jam'!#REF!</definedName>
    <definedName name="_446__123Graph_XCHART_219" localSheetId="4" hidden="1">'[3]TON  per Jam'!#REF!</definedName>
    <definedName name="_446__123Graph_XCHART_219" localSheetId="5" hidden="1">'[3]TON  per Jam'!#REF!</definedName>
    <definedName name="_446__123Graph_XCHART_219" hidden="1">'[3]TON  per Jam'!#REF!</definedName>
    <definedName name="_447__123Graph_XCHART_22" hidden="1">'[6]PABRIK (2)'!$A$9:$A$380</definedName>
    <definedName name="_45__123Graph_ACHART_16" hidden="1">[2]Data!$K$62:$K$73</definedName>
    <definedName name="_450__123Graph_XCHART_220" localSheetId="0" hidden="1">'[3]TON  per Jam'!#REF!</definedName>
    <definedName name="_450__123Graph_XCHART_220" localSheetId="1" hidden="1">'[3]TON  per Jam'!#REF!</definedName>
    <definedName name="_450__123Graph_XCHART_220" localSheetId="2" hidden="1">'[3]TON  per Jam'!#REF!</definedName>
    <definedName name="_450__123Graph_XCHART_220" localSheetId="3" hidden="1">'[3]TON  per Jam'!#REF!</definedName>
    <definedName name="_450__123Graph_XCHART_220" localSheetId="4" hidden="1">'[3]TON  per Jam'!#REF!</definedName>
    <definedName name="_450__123Graph_XCHART_220" localSheetId="5" hidden="1">'[3]TON  per Jam'!#REF!</definedName>
    <definedName name="_450__123Graph_XCHART_220" hidden="1">'[3]TON  per Jam'!#REF!</definedName>
    <definedName name="_453__123Graph_XCHART_221" localSheetId="0" hidden="1">'[3]TON  per Jam'!#REF!</definedName>
    <definedName name="_453__123Graph_XCHART_221" localSheetId="1" hidden="1">'[3]TON  per Jam'!#REF!</definedName>
    <definedName name="_453__123Graph_XCHART_221" localSheetId="2" hidden="1">'[3]TON  per Jam'!#REF!</definedName>
    <definedName name="_453__123Graph_XCHART_221" localSheetId="3" hidden="1">'[3]TON  per Jam'!#REF!</definedName>
    <definedName name="_453__123Graph_XCHART_221" localSheetId="4" hidden="1">'[3]TON  per Jam'!#REF!</definedName>
    <definedName name="_453__123Graph_XCHART_221" localSheetId="5" hidden="1">'[3]TON  per Jam'!#REF!</definedName>
    <definedName name="_453__123Graph_XCHART_221" hidden="1">'[3]TON  per Jam'!#REF!</definedName>
    <definedName name="_456__123Graph_XCHART_222" localSheetId="0" hidden="1">'[3]TON  per Jam'!#REF!</definedName>
    <definedName name="_456__123Graph_XCHART_222" localSheetId="1" hidden="1">'[3]TON  per Jam'!#REF!</definedName>
    <definedName name="_456__123Graph_XCHART_222" localSheetId="2" hidden="1">'[3]TON  per Jam'!#REF!</definedName>
    <definedName name="_456__123Graph_XCHART_222" localSheetId="3" hidden="1">'[3]TON  per Jam'!#REF!</definedName>
    <definedName name="_456__123Graph_XCHART_222" localSheetId="4" hidden="1">'[3]TON  per Jam'!#REF!</definedName>
    <definedName name="_456__123Graph_XCHART_222" localSheetId="5" hidden="1">'[3]TON  per Jam'!#REF!</definedName>
    <definedName name="_456__123Graph_XCHART_222" hidden="1">'[3]TON  per Jam'!#REF!</definedName>
    <definedName name="_459__123Graph_XCHART_223" localSheetId="0" hidden="1">'[3]TON  per Jam'!#REF!</definedName>
    <definedName name="_459__123Graph_XCHART_223" localSheetId="1" hidden="1">'[3]TON  per Jam'!#REF!</definedName>
    <definedName name="_459__123Graph_XCHART_223" localSheetId="2" hidden="1">'[3]TON  per Jam'!#REF!</definedName>
    <definedName name="_459__123Graph_XCHART_223" localSheetId="3" hidden="1">'[3]TON  per Jam'!#REF!</definedName>
    <definedName name="_459__123Graph_XCHART_223" localSheetId="4" hidden="1">'[3]TON  per Jam'!#REF!</definedName>
    <definedName name="_459__123Graph_XCHART_223" localSheetId="5" hidden="1">'[3]TON  per Jam'!#REF!</definedName>
    <definedName name="_459__123Graph_XCHART_223" hidden="1">'[3]TON  per Jam'!#REF!</definedName>
    <definedName name="_46__123Graph_ACHART_160" hidden="1">'[3]TON  per Jam'!$C$36:$Z$36</definedName>
    <definedName name="_462__123Graph_XCHART_224" localSheetId="0" hidden="1">'[3]TON  per Jam'!#REF!</definedName>
    <definedName name="_462__123Graph_XCHART_224" localSheetId="1" hidden="1">'[3]TON  per Jam'!#REF!</definedName>
    <definedName name="_462__123Graph_XCHART_224" localSheetId="2" hidden="1">'[3]TON  per Jam'!#REF!</definedName>
    <definedName name="_462__123Graph_XCHART_224" localSheetId="3" hidden="1">'[3]TON  per Jam'!#REF!</definedName>
    <definedName name="_462__123Graph_XCHART_224" localSheetId="4" hidden="1">'[3]TON  per Jam'!#REF!</definedName>
    <definedName name="_462__123Graph_XCHART_224" localSheetId="5" hidden="1">'[3]TON  per Jam'!#REF!</definedName>
    <definedName name="_462__123Graph_XCHART_224" hidden="1">'[3]TON  per Jam'!#REF!</definedName>
    <definedName name="_465__123Graph_XCHART_225" localSheetId="0" hidden="1">'[3]TON  per Jam'!#REF!</definedName>
    <definedName name="_465__123Graph_XCHART_225" localSheetId="1" hidden="1">'[3]TON  per Jam'!#REF!</definedName>
    <definedName name="_465__123Graph_XCHART_225" localSheetId="2" hidden="1">'[3]TON  per Jam'!#REF!</definedName>
    <definedName name="_465__123Graph_XCHART_225" localSheetId="3" hidden="1">'[3]TON  per Jam'!#REF!</definedName>
    <definedName name="_465__123Graph_XCHART_225" localSheetId="4" hidden="1">'[3]TON  per Jam'!#REF!</definedName>
    <definedName name="_465__123Graph_XCHART_225" localSheetId="5" hidden="1">'[3]TON  per Jam'!#REF!</definedName>
    <definedName name="_465__123Graph_XCHART_225" hidden="1">'[3]TON  per Jam'!#REF!</definedName>
    <definedName name="_468__123Graph_XCHART_226" localSheetId="0" hidden="1">'[3]TON  per Jam'!#REF!</definedName>
    <definedName name="_468__123Graph_XCHART_226" localSheetId="1" hidden="1">'[3]TON  per Jam'!#REF!</definedName>
    <definedName name="_468__123Graph_XCHART_226" localSheetId="2" hidden="1">'[3]TON  per Jam'!#REF!</definedName>
    <definedName name="_468__123Graph_XCHART_226" localSheetId="3" hidden="1">'[3]TON  per Jam'!#REF!</definedName>
    <definedName name="_468__123Graph_XCHART_226" localSheetId="4" hidden="1">'[3]TON  per Jam'!#REF!</definedName>
    <definedName name="_468__123Graph_XCHART_226" localSheetId="5" hidden="1">'[3]TON  per Jam'!#REF!</definedName>
    <definedName name="_468__123Graph_XCHART_226" hidden="1">'[3]TON  per Jam'!#REF!</definedName>
    <definedName name="_47__123Graph_ACHART_17" hidden="1">[2]Data!$F$62:$F$73</definedName>
    <definedName name="_471__123Graph_XCHART_227" localSheetId="0" hidden="1">'[3]TON  per Jam'!#REF!</definedName>
    <definedName name="_471__123Graph_XCHART_227" localSheetId="1" hidden="1">'[3]TON  per Jam'!#REF!</definedName>
    <definedName name="_471__123Graph_XCHART_227" localSheetId="2" hidden="1">'[3]TON  per Jam'!#REF!</definedName>
    <definedName name="_471__123Graph_XCHART_227" localSheetId="3" hidden="1">'[3]TON  per Jam'!#REF!</definedName>
    <definedName name="_471__123Graph_XCHART_227" localSheetId="4" hidden="1">'[3]TON  per Jam'!#REF!</definedName>
    <definedName name="_471__123Graph_XCHART_227" localSheetId="5" hidden="1">'[3]TON  per Jam'!#REF!</definedName>
    <definedName name="_471__123Graph_XCHART_227" hidden="1">'[3]TON  per Jam'!#REF!</definedName>
    <definedName name="_474__123Graph_XCHART_228" localSheetId="0" hidden="1">'[3]TON  per Jam'!#REF!</definedName>
    <definedName name="_474__123Graph_XCHART_228" localSheetId="1" hidden="1">'[3]TON  per Jam'!#REF!</definedName>
    <definedName name="_474__123Graph_XCHART_228" localSheetId="2" hidden="1">'[3]TON  per Jam'!#REF!</definedName>
    <definedName name="_474__123Graph_XCHART_228" localSheetId="3" hidden="1">'[3]TON  per Jam'!#REF!</definedName>
    <definedName name="_474__123Graph_XCHART_228" localSheetId="4" hidden="1">'[3]TON  per Jam'!#REF!</definedName>
    <definedName name="_474__123Graph_XCHART_228" localSheetId="5" hidden="1">'[3]TON  per Jam'!#REF!</definedName>
    <definedName name="_474__123Graph_XCHART_228" hidden="1">'[3]TON  per Jam'!#REF!</definedName>
    <definedName name="_475__123Graph_XCHART_23" hidden="1">'[6]PABRIK (2)'!$A$9:$A$380</definedName>
    <definedName name="_476__123Graph_XCHART_24" hidden="1">'[6]PABRIK (2)'!$A$9:$A$380</definedName>
    <definedName name="_479__123Graph_XCHART_241" localSheetId="0" hidden="1">'[3]TON  per Jam'!#REF!</definedName>
    <definedName name="_479__123Graph_XCHART_241" localSheetId="1" hidden="1">'[3]TON  per Jam'!#REF!</definedName>
    <definedName name="_479__123Graph_XCHART_241" localSheetId="2" hidden="1">'[3]TON  per Jam'!#REF!</definedName>
    <definedName name="_479__123Graph_XCHART_241" localSheetId="3" hidden="1">'[3]TON  per Jam'!#REF!</definedName>
    <definedName name="_479__123Graph_XCHART_241" localSheetId="4" hidden="1">'[3]TON  per Jam'!#REF!</definedName>
    <definedName name="_479__123Graph_XCHART_241" localSheetId="5" hidden="1">'[3]TON  per Jam'!#REF!</definedName>
    <definedName name="_479__123Graph_XCHART_241" hidden="1">'[3]TON  per Jam'!#REF!</definedName>
    <definedName name="_48__123Graph_ACHART_171" hidden="1">'[3]TON  per Jam'!$C$49:$Z$49</definedName>
    <definedName name="_482__123Graph_XCHART_242" localSheetId="0" hidden="1">'[3]TON  per Jam'!#REF!</definedName>
    <definedName name="_482__123Graph_XCHART_242" localSheetId="1" hidden="1">'[3]TON  per Jam'!#REF!</definedName>
    <definedName name="_482__123Graph_XCHART_242" localSheetId="2" hidden="1">'[3]TON  per Jam'!#REF!</definedName>
    <definedName name="_482__123Graph_XCHART_242" localSheetId="3" hidden="1">'[3]TON  per Jam'!#REF!</definedName>
    <definedName name="_482__123Graph_XCHART_242" localSheetId="4" hidden="1">'[3]TON  per Jam'!#REF!</definedName>
    <definedName name="_482__123Graph_XCHART_242" localSheetId="5" hidden="1">'[3]TON  per Jam'!#REF!</definedName>
    <definedName name="_482__123Graph_XCHART_242" hidden="1">'[3]TON  per Jam'!#REF!</definedName>
    <definedName name="_485__123Graph_XCHART_243" localSheetId="0" hidden="1">'[3]TON  per Jam'!#REF!</definedName>
    <definedName name="_485__123Graph_XCHART_243" localSheetId="1" hidden="1">'[3]TON  per Jam'!#REF!</definedName>
    <definedName name="_485__123Graph_XCHART_243" localSheetId="2" hidden="1">'[3]TON  per Jam'!#REF!</definedName>
    <definedName name="_485__123Graph_XCHART_243" localSheetId="3" hidden="1">'[3]TON  per Jam'!#REF!</definedName>
    <definedName name="_485__123Graph_XCHART_243" localSheetId="4" hidden="1">'[3]TON  per Jam'!#REF!</definedName>
    <definedName name="_485__123Graph_XCHART_243" localSheetId="5" hidden="1">'[3]TON  per Jam'!#REF!</definedName>
    <definedName name="_485__123Graph_XCHART_243" hidden="1">'[3]TON  per Jam'!#REF!</definedName>
    <definedName name="_488__123Graph_XCHART_244" localSheetId="0" hidden="1">'[3]TON  per Jam'!#REF!</definedName>
    <definedName name="_488__123Graph_XCHART_244" localSheetId="1" hidden="1">'[3]TON  per Jam'!#REF!</definedName>
    <definedName name="_488__123Graph_XCHART_244" localSheetId="2" hidden="1">'[3]TON  per Jam'!#REF!</definedName>
    <definedName name="_488__123Graph_XCHART_244" localSheetId="3" hidden="1">'[3]TON  per Jam'!#REF!</definedName>
    <definedName name="_488__123Graph_XCHART_244" localSheetId="4" hidden="1">'[3]TON  per Jam'!#REF!</definedName>
    <definedName name="_488__123Graph_XCHART_244" localSheetId="5" hidden="1">'[3]TON  per Jam'!#REF!</definedName>
    <definedName name="_488__123Graph_XCHART_244" hidden="1">'[3]TON  per Jam'!#REF!</definedName>
    <definedName name="_489__123Graph_XCHART_25" hidden="1">'[6]PABRIK (2)'!$A$9:$A$380</definedName>
    <definedName name="_492__123Graph_XCHART_254" localSheetId="0" hidden="1">'[3]TON  per Jam'!#REF!</definedName>
    <definedName name="_492__123Graph_XCHART_254" localSheetId="1" hidden="1">'[3]TON  per Jam'!#REF!</definedName>
    <definedName name="_492__123Graph_XCHART_254" localSheetId="2" hidden="1">'[3]TON  per Jam'!#REF!</definedName>
    <definedName name="_492__123Graph_XCHART_254" localSheetId="3" hidden="1">'[3]TON  per Jam'!#REF!</definedName>
    <definedName name="_492__123Graph_XCHART_254" localSheetId="4" hidden="1">'[3]TON  per Jam'!#REF!</definedName>
    <definedName name="_492__123Graph_XCHART_254" localSheetId="5" hidden="1">'[3]TON  per Jam'!#REF!</definedName>
    <definedName name="_492__123Graph_XCHART_254" hidden="1">'[3]TON  per Jam'!#REF!</definedName>
    <definedName name="_493__123Graph_XCHART_26" hidden="1">'[6]PABRIK (2)'!$A$9:$A$380</definedName>
    <definedName name="_494__123Graph_XCHART_27" hidden="1">'[6]PABRIK (2)'!$A$9:$A$380</definedName>
    <definedName name="_495__123Graph_XCHART_28" hidden="1">'[6]PABRIK (2)'!$A$9:$A$380</definedName>
    <definedName name="_496__123Graph_XCHART_29" hidden="1">'[6]PABRIK (2)'!$A$9:$A$380</definedName>
    <definedName name="_497__123Graph_XCHART_3" hidden="1">[2]Data!$A$38:$A$73</definedName>
    <definedName name="_498__123Graph_XCHART_30" hidden="1">'[4]DATA LTW'!$E$4:$AC$4</definedName>
    <definedName name="_499__123Graph_XCHART_31" hidden="1">'[4]DATA LTW'!$E$4:$AC$4</definedName>
    <definedName name="_500__123Graph_XCHART_32" hidden="1">'[4]DATA LTW'!$E$4:$AC$4</definedName>
    <definedName name="_501__123Graph_XCHART_33" hidden="1">'[4]DATA LTW'!$E$4:$AC$4</definedName>
    <definedName name="_502__123Graph_XCHART_34" hidden="1">'[4]DATA LTW'!$E$4:$AC$4</definedName>
    <definedName name="_503__123Graph_XCHART_35" hidden="1">'[4]DATA LTW'!$E$4:$AC$4</definedName>
    <definedName name="_504__123Graph_XCHART_36" hidden="1">'[4]DATA LTW'!$E$4:$AC$4</definedName>
    <definedName name="_505__123Graph_XCHART_37" hidden="1">'[4]DATA LTW'!$E$4:$AC$4</definedName>
    <definedName name="_506__123Graph_XCHART_38" hidden="1">'[4]DATA LTW'!$E$4:$AC$4</definedName>
    <definedName name="_507__123Graph_XCHART_39" hidden="1">'[4]DATA LTW'!$E$4:$AC$4</definedName>
    <definedName name="_508__123Graph_XCHART_4" hidden="1">[2]Data!$A$38:$A$73</definedName>
    <definedName name="_509__123Graph_XCHART_40" hidden="1">'[4]DATA LTW'!$E$4:$AC$4</definedName>
    <definedName name="_51__123Graph_ACHART_18" localSheetId="0" hidden="1">'[6]PABRIK (2)'!#REF!</definedName>
    <definedName name="_51__123Graph_ACHART_18" localSheetId="1" hidden="1">'[6]PABRIK (2)'!#REF!</definedName>
    <definedName name="_51__123Graph_ACHART_18" localSheetId="2" hidden="1">'[6]PABRIK (2)'!#REF!</definedName>
    <definedName name="_51__123Graph_ACHART_18" localSheetId="3" hidden="1">'[6]PABRIK (2)'!#REF!</definedName>
    <definedName name="_51__123Graph_ACHART_18" localSheetId="4" hidden="1">'[6]PABRIK (2)'!#REF!</definedName>
    <definedName name="_51__123Graph_ACHART_18" localSheetId="5" hidden="1">'[6]PABRIK (2)'!#REF!</definedName>
    <definedName name="_51__123Graph_ACHART_18" hidden="1">'[6]PABRIK (2)'!#REF!</definedName>
    <definedName name="_510__123Graph_XCHART_41" hidden="1">'[4]DATA LTW'!$E$4:$AC$4</definedName>
    <definedName name="_511__123Graph_XCHART_42" hidden="1">'[4]DATA LTW'!$E$4:$AC$4</definedName>
    <definedName name="_512__123Graph_XCHART_43" hidden="1">'[4]DATA LTW'!$E$4:$AC$4</definedName>
    <definedName name="_513__123Graph_XCHART_44" hidden="1">'[4]DATA LTW'!$E$4:$AC$4</definedName>
    <definedName name="_514__123Graph_XCHART_45" hidden="1">'[4]DATA LTW'!$E$4:$AC$4</definedName>
    <definedName name="_515__123Graph_XCHART_46" hidden="1">'[4]DATA LTW'!$E$4:$AC$4</definedName>
    <definedName name="_516__123Graph_XCHART_47" hidden="1">'[4]DATA LTW'!$E$4:$AC$4</definedName>
    <definedName name="_517__123Graph_XCHART_48" hidden="1">'[4]DATA LTW'!$E$4:$AC$4</definedName>
    <definedName name="_518__123Graph_XCHART_49" hidden="1">'[4]DATA LTW'!$E$4:$AC$4</definedName>
    <definedName name="_519__123Graph_XCHART_5" hidden="1">[2]Data!$A$2:$A$73</definedName>
    <definedName name="_52__123Graph_ACHART_183" hidden="1">'[3]TON  per Jam'!$C$50:$Z$50</definedName>
    <definedName name="_520__123Graph_XCHART_50" hidden="1">'[4]DATA LTW'!$E$4:$AC$4</definedName>
    <definedName name="_521__123Graph_XCHART_51" hidden="1">'[4]DATA LTW'!$E$4:$AC$4</definedName>
    <definedName name="_522__123Graph_XCHART_52" hidden="1">'[4]DATA LTW'!$E$4:$AC$4</definedName>
    <definedName name="_523__123Graph_XCHART_53" hidden="1">'[4]DATA LTW'!$E$4:$AC$4</definedName>
    <definedName name="_524__123Graph_XCHART_54" hidden="1">'[4]DATA LTW'!$E$4:$AC$4</definedName>
    <definedName name="_525__123Graph_XCHART_55" hidden="1">'[4]DATA LTW'!$E$4:$AC$4</definedName>
    <definedName name="_526__123Graph_XCHART_56" hidden="1">'[4]DATA LTW'!$E$4:$AC$4</definedName>
    <definedName name="_527__123Graph_XCHART_57" hidden="1">'[4]DATA LTW'!$E$4:$AC$4</definedName>
    <definedName name="_528__123Graph_XCHART_58" hidden="1">'[4]DATA LTW'!$E$4:$AC$4</definedName>
    <definedName name="_529__123Graph_XCHART_59" hidden="1">'[4]DATA LTW'!$E$4:$AC$4</definedName>
    <definedName name="_530__123Graph_XCHART_6" hidden="1">[2]Data!$A$2:$A$73</definedName>
    <definedName name="_531__123Graph_XCHART_60" hidden="1">'[4]DATA LTW'!$E$4:$AC$4</definedName>
    <definedName name="_532__123Graph_XCHART_61" hidden="1">'[4]DATA LTW'!$E$4:$AC$4</definedName>
    <definedName name="_533__123Graph_XCHART_62" hidden="1">'[5]Data SRL'!$B$8:$B$131</definedName>
    <definedName name="_534__123Graph_XCHART_63" hidden="1">'[4]DATA LTW'!$E$4:$AC$4</definedName>
    <definedName name="_535__123Graph_XCHART_64" hidden="1">'[5]Data SRL'!$B$8:$B$379</definedName>
    <definedName name="_536__123Graph_XCHART_65" hidden="1">'[5]Data SRL'!$B$8:$B$379</definedName>
    <definedName name="_537__123Graph_XCHART_68" hidden="1">'[5]Data SRL'!$B$8:$B$100</definedName>
    <definedName name="_538__123Graph_XCHART_69" hidden="1">'[5]Data SRL'!$B$8:$B$379</definedName>
    <definedName name="_539__123Graph_XCHART_7" hidden="1">[2]Data!$A$38:$A$73</definedName>
    <definedName name="_540__123Graph_XCHART_70" hidden="1">'[5]Data SRL'!$B$8:$B$379</definedName>
    <definedName name="_541__123Graph_XCHART_71" hidden="1">'[5]Data SRL'!$B$8:$B$379</definedName>
    <definedName name="_542__123Graph_XCHART_72" hidden="1">'[5]Data SRL'!$B$8:$B$379</definedName>
    <definedName name="_543__123Graph_XCHART_73" hidden="1">'[5]Data SRL'!$B$8:$B$131</definedName>
    <definedName name="_544__123Graph_XCHART_74" hidden="1">'[5]Data SRL'!$B$8:$B$100</definedName>
    <definedName name="_545__123Graph_XCHART_75" hidden="1">'[5]Data SRL'!$B$8:$B$100</definedName>
    <definedName name="_546__123Graph_XCHART_77" hidden="1">'[5]Data SRL'!$B$8:$B$193</definedName>
    <definedName name="_547__123Graph_XCHART_78" hidden="1">'[5]Data SRL'!$B$8:$B$100</definedName>
    <definedName name="_548__123Graph_XCHART_79" hidden="1">'[5]Data SRL'!$B$8:$B$100</definedName>
    <definedName name="_549__123Graph_XCHART_8" hidden="1">[2]Data!$A$2:$A$73</definedName>
    <definedName name="_55__123Graph_ACHART_19" localSheetId="0" hidden="1">'[6]PABRIK (2)'!#REF!</definedName>
    <definedName name="_55__123Graph_ACHART_19" localSheetId="1" hidden="1">'[6]PABRIK (2)'!#REF!</definedName>
    <definedName name="_55__123Graph_ACHART_19" localSheetId="2" hidden="1">'[6]PABRIK (2)'!#REF!</definedName>
    <definedName name="_55__123Graph_ACHART_19" localSheetId="3" hidden="1">'[6]PABRIK (2)'!#REF!</definedName>
    <definedName name="_55__123Graph_ACHART_19" localSheetId="4" hidden="1">'[6]PABRIK (2)'!#REF!</definedName>
    <definedName name="_55__123Graph_ACHART_19" localSheetId="5" hidden="1">'[6]PABRIK (2)'!#REF!</definedName>
    <definedName name="_55__123Graph_ACHART_19" hidden="1">'[6]PABRIK (2)'!#REF!</definedName>
    <definedName name="_550__123Graph_XCHART_81" hidden="1">'[5]Data SRL'!$B$8:$B$100</definedName>
    <definedName name="_551__123Graph_XCHART_86" hidden="1">'[5]Data Prod_Graf'!$B$11:$M$11</definedName>
    <definedName name="_552__123Graph_XCHART_87" hidden="1">'[5]Data Prod_Graf'!$B$20:$M$20</definedName>
    <definedName name="_553__123Graph_XCHART_88" hidden="1">'[5]Data Prod_Graf'!$B$28:$M$28</definedName>
    <definedName name="_554__123Graph_XCHART_9" hidden="1">[2]Data!$A$38:$A$73</definedName>
    <definedName name="_56__123Graph_ACHART_2" hidden="1">[2]Data!$F$38:$F$73</definedName>
    <definedName name="_59__123Graph_ACHART_20" localSheetId="0" hidden="1">'[6]PABRIK (2)'!#REF!</definedName>
    <definedName name="_59__123Graph_ACHART_20" localSheetId="1" hidden="1">'[6]PABRIK (2)'!#REF!</definedName>
    <definedName name="_59__123Graph_ACHART_20" localSheetId="2" hidden="1">'[6]PABRIK (2)'!#REF!</definedName>
    <definedName name="_59__123Graph_ACHART_20" localSheetId="3" hidden="1">'[6]PABRIK (2)'!#REF!</definedName>
    <definedName name="_59__123Graph_ACHART_20" localSheetId="4" hidden="1">'[6]PABRIK (2)'!#REF!</definedName>
    <definedName name="_59__123Graph_ACHART_20" localSheetId="5" hidden="1">'[6]PABRIK (2)'!#REF!</definedName>
    <definedName name="_59__123Graph_ACHART_20" hidden="1">'[6]PABRIK (2)'!#REF!</definedName>
    <definedName name="_60__123Graph_ACHART_21" hidden="1">'[6]PABRIK (2)'!$B$9:$B$287</definedName>
    <definedName name="_61__123Graph_ACHART_213" hidden="1">'[3]TON  per Jam'!$C$51:$Z$51</definedName>
    <definedName name="_62__123Graph_ACHART_214" hidden="1">'[3]TON  per Jam'!$C$53:$Z$53</definedName>
    <definedName name="_63__123Graph_ACHART_215" hidden="1">'[3]TON  per Jam'!$C$54:$Z$54</definedName>
    <definedName name="_64__123Graph_ACHART_216" hidden="1">'[3]TON  per Jam'!$C$55:$Z$55</definedName>
    <definedName name="_65__123Graph_ACHART_217" hidden="1">'[3]TON  per Jam'!$C$56:$Z$56</definedName>
    <definedName name="_66__123Graph_ACHART_218" hidden="1">'[3]TON  per Jam'!$C$57:$Z$57</definedName>
    <definedName name="_67__123Graph_ACHART_219" hidden="1">'[3]TON  per Jam'!$C$58:$Z$58</definedName>
    <definedName name="_68__123Graph_ACHART_22" hidden="1">'[6]PABRIK (2)'!$E$9:$E$287</definedName>
    <definedName name="_69__123Graph_ACHART_220" hidden="1">'[3]TON  per Jam'!$C$60:$Z$60</definedName>
    <definedName name="_7__123Graph_ACHART_11" localSheetId="0" hidden="1">'[6]PABRIK (2)'!#REF!</definedName>
    <definedName name="_7__123Graph_ACHART_11" localSheetId="1" hidden="1">'[6]PABRIK (2)'!#REF!</definedName>
    <definedName name="_7__123Graph_ACHART_11" localSheetId="2" hidden="1">'[6]PABRIK (2)'!#REF!</definedName>
    <definedName name="_7__123Graph_ACHART_11" localSheetId="3" hidden="1">'[6]PABRIK (2)'!#REF!</definedName>
    <definedName name="_7__123Graph_ACHART_11" localSheetId="4" hidden="1">'[6]PABRIK (2)'!#REF!</definedName>
    <definedName name="_7__123Graph_ACHART_11" localSheetId="5" hidden="1">'[6]PABRIK (2)'!#REF!</definedName>
    <definedName name="_7__123Graph_ACHART_11" hidden="1">'[6]PABRIK (2)'!#REF!</definedName>
    <definedName name="_70__123Graph_ACHART_221" hidden="1">'[3]TON  per Jam'!$C$61:$Z$61</definedName>
    <definedName name="_71__123Graph_ACHART_222" hidden="1">'[3]TON  per Jam'!$C$62:$Z$62</definedName>
    <definedName name="_72__123Graph_ACHART_223" hidden="1">'[3]TON  per Jam'!$C$63:$Z$63</definedName>
    <definedName name="_73__123Graph_ACHART_224" hidden="1">'[3]TON  per Jam'!$C$64:$Z$64</definedName>
    <definedName name="_74__123Graph_ACHART_225" hidden="1">'[3]TON  per Jam'!$C$65:$Z$65</definedName>
    <definedName name="_75__123Graph_ACHART_226" hidden="1">'[3]TON  per Jam'!$C$67:$Z$67</definedName>
    <definedName name="_76__123Graph_ACHART_227" hidden="1">'[3]TON  per Jam'!$C$68:$Z$68</definedName>
    <definedName name="_77__123Graph_ACHART_228" hidden="1">'[3]TON  per Jam'!$C$69:$Z$69</definedName>
    <definedName name="_78__123Graph_ACHART_23" hidden="1">'[6]PABRIK (2)'!$K$9:$K$287</definedName>
    <definedName name="_79__123Graph_ACHART_24" hidden="1">'[6]PABRIK (2)'!$N$9:$N$287</definedName>
    <definedName name="_8__123Graph_ACHART_113" hidden="1">'[3]TON  per Jam'!$C$39:$Z$39</definedName>
    <definedName name="_80__123Graph_ACHART_241" hidden="1">'[3]TON  per Jam'!$C$164:$R$164</definedName>
    <definedName name="_81__123Graph_ACHART_242" hidden="1">'[3]TON  per Jam'!$C$166:$S$166</definedName>
    <definedName name="_82__123Graph_ACHART_243" hidden="1">'[3]TON  per Jam'!$C$167:$T$167</definedName>
    <definedName name="_83__123Graph_ACHART_244" hidden="1">'[3]TON  per Jam'!$C$168:$S$168</definedName>
    <definedName name="_84__123Graph_ACHART_25" hidden="1">'[6]PABRIK (2)'!$H$9:$H$287</definedName>
    <definedName name="_85__123Graph_ACHART_254" hidden="1">'[3]TON  per Jam'!$C$70:$Z$70</definedName>
    <definedName name="_86__123Graph_ACHART_26" hidden="1">'[6]PABRIK (2)'!$Q$9:$Q$287</definedName>
    <definedName name="_87__123Graph_ACHART_27" hidden="1">'[6]PABRIK (2)'!$T$9:$T$287</definedName>
    <definedName name="_88__123Graph_ACHART_28" hidden="1">'[6]PABRIK (2)'!$W$9:$W$287</definedName>
    <definedName name="_89__123Graph_ACHART_29" hidden="1">'[6]PABRIK (2)'!$AC$9:$AC$287</definedName>
    <definedName name="_9__123Graph_ACHART_114" hidden="1">'[3]TON  per Jam'!$C$40:$Z$40</definedName>
    <definedName name="_90__123Graph_ACHART_3" hidden="1">[2]Data!$G$38:$G$73</definedName>
    <definedName name="_91__123Graph_ACHART_30" hidden="1">'[4]DATA LTW'!$E$68:$P$68</definedName>
    <definedName name="_92__123Graph_ACHART_31" hidden="1">'[4]DATA LTW'!$R$40:$AC$40</definedName>
    <definedName name="_93__123Graph_ACHART_32" hidden="1">'[4]DATA LTW'!$R$68:$AC$68</definedName>
    <definedName name="_94__123Graph_ACHART_33" hidden="1">'[4]DATA LTW'!$E$41:$P$41</definedName>
    <definedName name="_95__123Graph_ACHART_34" hidden="1">'[4]DATA LTW'!$E$69:$P$69</definedName>
    <definedName name="_96__123Graph_ACHART_35" hidden="1">'[4]DATA LTW'!$R$41:$AC$41</definedName>
    <definedName name="_97__123Graph_ACHART_36" hidden="1">'[4]DATA LTW'!$R$69:$AC$69</definedName>
    <definedName name="_98__123Graph_ACHART_37" hidden="1">'[4]DATA LTW'!$E$43:$P$43</definedName>
    <definedName name="_99__123Graph_ACHART_38" hidden="1">'[4]DATA LTW'!$E$71:$P$71</definedName>
    <definedName name="_cc1" hidden="1">{"Valuation",#N/A,TRUE,"Valuation Summary";"Financial Statements",#N/A,TRUE,"Results";"Results",#N/A,TRUE,"Results";"Ratios",#N/A,TRUE,"Results";"P2 Summary",#N/A,TRUE,"Results"}</definedName>
    <definedName name="_DENGAN_PERBAND" localSheetId="0">[9]NERACA!#REF!</definedName>
    <definedName name="_DENGAN_PERBAND" localSheetId="1">[9]NERACA!#REF!</definedName>
    <definedName name="_DENGAN_PERBAND" localSheetId="2">[9]NERACA!#REF!</definedName>
    <definedName name="_DENGAN_PERBAND" localSheetId="3">[9]NERACA!#REF!</definedName>
    <definedName name="_DENGAN_PERBAND" localSheetId="4">[9]NERACA!#REF!</definedName>
    <definedName name="_DENGAN_PERBAND" localSheetId="5">[9]NERACA!#REF!</definedName>
    <definedName name="_DENGAN_PERBAND">[9]NERACA!#REF!</definedName>
    <definedName name="_Fill" localSheetId="0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hidden="1">#REF!</definedName>
    <definedName name="_xlnm._FilterDatabase" localSheetId="9" hidden="1">BANTARJATI!$V$1:$V$314</definedName>
    <definedName name="_xlnm._FilterDatabase" localSheetId="8" hidden="1">'KERTAJATI  2017'!$V$1:$V$232</definedName>
    <definedName name="_xlnm._FilterDatabase" localSheetId="10" hidden="1">KERTASARI!$V$1:$V$204</definedName>
    <definedName name="_xlnm._FilterDatabase" localSheetId="11" hidden="1">SUKAKERTA!$V$1:$V$222</definedName>
    <definedName name="_xlnm._FilterDatabase" localSheetId="7" hidden="1">'SUKAMULYA GABUNG'!$O$1:$O$1740</definedName>
    <definedName name="_Key1" localSheetId="0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hidden="1">#REF!</definedName>
    <definedName name="_Order1" hidden="1">255</definedName>
    <definedName name="_Order2" hidden="1">255</definedName>
    <definedName name="_Regression_Out" localSheetId="0" hidden="1">'[10]Market Positioning'!#REF!</definedName>
    <definedName name="_Regression_Out" localSheetId="1" hidden="1">'[10]Market Positioning'!#REF!</definedName>
    <definedName name="_Regression_Out" localSheetId="2" hidden="1">'[10]Market Positioning'!#REF!</definedName>
    <definedName name="_Regression_Out" localSheetId="3" hidden="1">'[10]Market Positioning'!#REF!</definedName>
    <definedName name="_Regression_Out" localSheetId="4" hidden="1">'[10]Market Positioning'!#REF!</definedName>
    <definedName name="_Regression_Out" localSheetId="5" hidden="1">'[10]Market Positioning'!#REF!</definedName>
    <definedName name="_Regression_Out" hidden="1">'[10]Market Positioning'!#REF!</definedName>
    <definedName name="_Regression_X" localSheetId="0" hidden="1">[11]Gmd3!#REF!</definedName>
    <definedName name="_Regression_X" localSheetId="1" hidden="1">[11]Gmd3!#REF!</definedName>
    <definedName name="_Regression_X" localSheetId="2" hidden="1">[11]Gmd3!#REF!</definedName>
    <definedName name="_Regression_X" localSheetId="3" hidden="1">[11]Gmd3!#REF!</definedName>
    <definedName name="_Regression_X" localSheetId="4" hidden="1">[11]Gmd3!#REF!</definedName>
    <definedName name="_Regression_X" localSheetId="5" hidden="1">[11]Gmd3!#REF!</definedName>
    <definedName name="_Regression_X" hidden="1">[11]Gmd3!#REF!</definedName>
    <definedName name="_Regression_Y" localSheetId="0" hidden="1">#REF!</definedName>
    <definedName name="_Regression_Y" localSheetId="1" hidden="1">#REF!</definedName>
    <definedName name="_Regression_Y" localSheetId="2" hidden="1">#REF!</definedName>
    <definedName name="_Regression_Y" localSheetId="3" hidden="1">#REF!</definedName>
    <definedName name="_Regression_Y" localSheetId="4" hidden="1">#REF!</definedName>
    <definedName name="_Regression_Y" localSheetId="5" hidden="1">#REF!</definedName>
    <definedName name="_Regression_Y" hidden="1">#REF!</definedName>
    <definedName name="_RP_" localSheetId="0">#REF!</definedName>
    <definedName name="_RP_" localSheetId="1">#REF!</definedName>
    <definedName name="_RP_" localSheetId="2">#REF!</definedName>
    <definedName name="_RP_" localSheetId="3">#REF!</definedName>
    <definedName name="_RP_" localSheetId="4">#REF!</definedName>
    <definedName name="_RP_" localSheetId="5">#REF!</definedName>
    <definedName name="_RP_">#REF!</definedName>
    <definedName name="_Sort" localSheetId="0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hidden="1">#REF!</definedName>
    <definedName name="a">#N/A</definedName>
    <definedName name="a_10" localSheetId="0">IF(Loan_Amount_10*Interest_Rate_10*Loan_Years_10*Loan_Start_10&gt;0,1,0)</definedName>
    <definedName name="a_10" localSheetId="1">IF(Loan_Amount_10*Interest_Rate_10*Loan_Years_10*Loan_Start_10&gt;0,1,0)</definedName>
    <definedName name="a_10" localSheetId="2">IF(Loan_Amount_10*Interest_Rate_10*Loan_Years_10*Loan_Start_10&gt;0,1,0)</definedName>
    <definedName name="a_10" localSheetId="3">IF(Loan_Amount_10*Interest_Rate_10*Loan_Years_10*Loan_Start_10&gt;0,1,0)</definedName>
    <definedName name="a_10" localSheetId="4">IF(Loan_Amount_10*Interest_Rate_10*Loan_Years_10*Loan_Start_10&gt;0,1,0)</definedName>
    <definedName name="a_10" localSheetId="5">IF(Loan_Amount_10*Interest_Rate_10*Loan_Years_10*Loan_Start_10&gt;0,1,0)</definedName>
    <definedName name="a_10">IF(Loan_Amount_10*Interest_Rate_10*Loan_Years_10*Loan_Start_10&gt;0,1,0)</definedName>
    <definedName name="a_11" localSheetId="0">IF(Loan_Amount_11*Interest_Rate_11*Loan_Years_11*Loan_Start_11&gt;0,1,0)</definedName>
    <definedName name="a_11" localSheetId="1">IF(Loan_Amount_11*Interest_Rate_11*Loan_Years_11*Loan_Start_11&gt;0,1,0)</definedName>
    <definedName name="a_11" localSheetId="2">IF(Loan_Amount_11*Interest_Rate_11*Loan_Years_11*Loan_Start_11&gt;0,1,0)</definedName>
    <definedName name="a_11" localSheetId="3">IF(Loan_Amount_11*Interest_Rate_11*Loan_Years_11*Loan_Start_11&gt;0,1,0)</definedName>
    <definedName name="a_11" localSheetId="4">IF(Loan_Amount_11*Interest_Rate_11*Loan_Years_11*Loan_Start_11&gt;0,1,0)</definedName>
    <definedName name="a_11" localSheetId="5">IF(Loan_Amount_11*Interest_Rate_11*Loan_Years_11*Loan_Start_11&gt;0,1,0)</definedName>
    <definedName name="a_11">IF(Loan_Amount_11*Interest_Rate_11*Loan_Years_11*Loan_Start_11&gt;0,1,0)</definedName>
    <definedName name="a_12" localSheetId="0">IF(Loan_Amount_12*Interest_Rate_12*Loan_Years_12*Loan_Start_12&gt;0,1,0)</definedName>
    <definedName name="a_12" localSheetId="1">IF(Loan_Amount_12*Interest_Rate_12*Loan_Years_12*Loan_Start_12&gt;0,1,0)</definedName>
    <definedName name="a_12" localSheetId="2">IF(Loan_Amount_12*Interest_Rate_12*Loan_Years_12*Loan_Start_12&gt;0,1,0)</definedName>
    <definedName name="a_12" localSheetId="3">IF(Loan_Amount_12*Interest_Rate_12*Loan_Years_12*Loan_Start_12&gt;0,1,0)</definedName>
    <definedName name="a_12" localSheetId="4">IF(Loan_Amount_12*Interest_Rate_12*Loan_Years_12*Loan_Start_12&gt;0,1,0)</definedName>
    <definedName name="a_12" localSheetId="5">IF(Loan_Amount_12*Interest_Rate_12*Loan_Years_12*Loan_Start_12&gt;0,1,0)</definedName>
    <definedName name="a_12">IF(Loan_Amount_12*Interest_Rate_12*Loan_Years_12*Loan_Start_12&gt;0,1,0)</definedName>
    <definedName name="AKTIVA" localSheetId="0">[9]NERACA!#REF!</definedName>
    <definedName name="AKTIVA" localSheetId="1">[9]NERACA!#REF!</definedName>
    <definedName name="AKTIVA" localSheetId="2">[9]NERACA!#REF!</definedName>
    <definedName name="AKTIVA" localSheetId="3">[9]NERACA!#REF!</definedName>
    <definedName name="AKTIVA" localSheetId="4">[9]NERACA!#REF!</definedName>
    <definedName name="AKTIVA" localSheetId="5">[9]NERACA!#REF!</definedName>
    <definedName name="AKTIVA">[9]NERACA!#REF!</definedName>
    <definedName name="AKTIVA_LAIN_LAI" localSheetId="0">[9]NERACA!#REF!</definedName>
    <definedName name="AKTIVA_LAIN_LAI" localSheetId="1">[9]NERACA!#REF!</definedName>
    <definedName name="AKTIVA_LAIN_LAI" localSheetId="2">[9]NERACA!#REF!</definedName>
    <definedName name="AKTIVA_LAIN_LAI" localSheetId="3">[9]NERACA!#REF!</definedName>
    <definedName name="AKTIVA_LAIN_LAI" localSheetId="4">[9]NERACA!#REF!</definedName>
    <definedName name="AKTIVA_LAIN_LAI" localSheetId="5">[9]NERACA!#REF!</definedName>
    <definedName name="AKTIVA_LAIN_LAI">[9]NERACA!#REF!</definedName>
    <definedName name="AKTIVA_LANCAR" localSheetId="0">[9]NERACA!#REF!</definedName>
    <definedName name="AKTIVA_LANCAR" localSheetId="1">[9]NERACA!#REF!</definedName>
    <definedName name="AKTIVA_LANCAR" localSheetId="2">[9]NERACA!#REF!</definedName>
    <definedName name="AKTIVA_LANCAR" localSheetId="3">[9]NERACA!#REF!</definedName>
    <definedName name="AKTIVA_LANCAR" localSheetId="4">[9]NERACA!#REF!</definedName>
    <definedName name="AKTIVA_LANCAR" localSheetId="5">[9]NERACA!#REF!</definedName>
    <definedName name="AKTIVA_LANCAR">[9]NERACA!#REF!</definedName>
    <definedName name="AKTIVA_TETAP" localSheetId="0">[9]NERACA!#REF!</definedName>
    <definedName name="AKTIVA_TETAP" localSheetId="1">[9]NERACA!#REF!</definedName>
    <definedName name="AKTIVA_TETAP" localSheetId="2">[9]NERACA!#REF!</definedName>
    <definedName name="AKTIVA_TETAP" localSheetId="3">[9]NERACA!#REF!</definedName>
    <definedName name="AKTIVA_TETAP" localSheetId="4">[9]NERACA!#REF!</definedName>
    <definedName name="AKTIVA_TETAP" localSheetId="5">[9]NERACA!#REF!</definedName>
    <definedName name="AKTIVA_TETAP">[9]NERACA!#REF!</definedName>
    <definedName name="AKUMULASI_PENYU" localSheetId="0">[9]NERACA!#REF!</definedName>
    <definedName name="AKUMULASI_PENYU" localSheetId="1">[9]NERACA!#REF!</definedName>
    <definedName name="AKUMULASI_PENYU" localSheetId="2">[9]NERACA!#REF!</definedName>
    <definedName name="AKUMULASI_PENYU" localSheetId="3">[9]NERACA!#REF!</definedName>
    <definedName name="AKUMULASI_PENYU" localSheetId="4">[9]NERACA!#REF!</definedName>
    <definedName name="AKUMULASI_PENYU" localSheetId="5">[9]NERACA!#REF!</definedName>
    <definedName name="AKUMULASI_PENYU">[9]NERACA!#REF!</definedName>
    <definedName name="Alamat" localSheetId="0">#REF!</definedName>
    <definedName name="Alamat" localSheetId="1">#REF!</definedName>
    <definedName name="Alamat" localSheetId="2">#REF!</definedName>
    <definedName name="Alamat" localSheetId="3">#REF!</definedName>
    <definedName name="Alamat" localSheetId="4">#REF!</definedName>
    <definedName name="Alamat" localSheetId="5">#REF!</definedName>
    <definedName name="Alamat">#REF!</definedName>
    <definedName name="AMORTISASI" localSheetId="0">[9]NERACA!#REF!</definedName>
    <definedName name="AMORTISASI" localSheetId="1">[9]NERACA!#REF!</definedName>
    <definedName name="AMORTISASI" localSheetId="2">[9]NERACA!#REF!</definedName>
    <definedName name="AMORTISASI" localSheetId="3">[9]NERACA!#REF!</definedName>
    <definedName name="AMORTISASI" localSheetId="4">[9]NERACA!#REF!</definedName>
    <definedName name="AMORTISASI" localSheetId="5">[9]NERACA!#REF!</definedName>
    <definedName name="AMORTISASI">[9]NERACA!#REF!</definedName>
    <definedName name="ARUS_KAS" localSheetId="0">#REF!</definedName>
    <definedName name="ARUS_KAS" localSheetId="1">#REF!</definedName>
    <definedName name="ARUS_KAS" localSheetId="2">#REF!</definedName>
    <definedName name="ARUS_KAS" localSheetId="3">#REF!</definedName>
    <definedName name="ARUS_KAS" localSheetId="4">#REF!</definedName>
    <definedName name="ARUS_KAS" localSheetId="5">#REF!</definedName>
    <definedName name="ARUS_KAS">#REF!</definedName>
    <definedName name="AS">#N/A</definedName>
    <definedName name="AS_10" localSheetId="0">IF(Loan_Amount_10*Interest_Rate_10*Loan_Years_10*Loan_Start_10&gt;0,1,0)</definedName>
    <definedName name="AS_10" localSheetId="1">IF(Loan_Amount_10*Interest_Rate_10*Loan_Years_10*Loan_Start_10&gt;0,1,0)</definedName>
    <definedName name="AS_10" localSheetId="2">IF(Loan_Amount_10*Interest_Rate_10*Loan_Years_10*Loan_Start_10&gt;0,1,0)</definedName>
    <definedName name="AS_10" localSheetId="3">IF(Loan_Amount_10*Interest_Rate_10*Loan_Years_10*Loan_Start_10&gt;0,1,0)</definedName>
    <definedName name="AS_10" localSheetId="4">IF(Loan_Amount_10*Interest_Rate_10*Loan_Years_10*Loan_Start_10&gt;0,1,0)</definedName>
    <definedName name="AS_10" localSheetId="5">IF(Loan_Amount_10*Interest_Rate_10*Loan_Years_10*Loan_Start_10&gt;0,1,0)</definedName>
    <definedName name="AS_10">IF(Loan_Amount_10*Interest_Rate_10*Loan_Years_10*Loan_Start_10&gt;0,1,0)</definedName>
    <definedName name="AS_11" localSheetId="0">IF(Loan_Amount_11*Interest_Rate_11*Loan_Years_11*Loan_Start_11&gt;0,1,0)</definedName>
    <definedName name="AS_11" localSheetId="1">IF(Loan_Amount_11*Interest_Rate_11*Loan_Years_11*Loan_Start_11&gt;0,1,0)</definedName>
    <definedName name="AS_11" localSheetId="2">IF(Loan_Amount_11*Interest_Rate_11*Loan_Years_11*Loan_Start_11&gt;0,1,0)</definedName>
    <definedName name="AS_11" localSheetId="3">IF(Loan_Amount_11*Interest_Rate_11*Loan_Years_11*Loan_Start_11&gt;0,1,0)</definedName>
    <definedName name="AS_11" localSheetId="4">IF(Loan_Amount_11*Interest_Rate_11*Loan_Years_11*Loan_Start_11&gt;0,1,0)</definedName>
    <definedName name="AS_11" localSheetId="5">IF(Loan_Amount_11*Interest_Rate_11*Loan_Years_11*Loan_Start_11&gt;0,1,0)</definedName>
    <definedName name="AS_11">IF(Loan_Amount_11*Interest_Rate_11*Loan_Years_11*Loan_Start_11&gt;0,1,0)</definedName>
    <definedName name="AS_12" localSheetId="0">IF(Loan_Amount_12*Interest_Rate_12*Loan_Years_12*Loan_Start_12&gt;0,1,0)</definedName>
    <definedName name="AS_12" localSheetId="1">IF(Loan_Amount_12*Interest_Rate_12*Loan_Years_12*Loan_Start_12&gt;0,1,0)</definedName>
    <definedName name="AS_12" localSheetId="2">IF(Loan_Amount_12*Interest_Rate_12*Loan_Years_12*Loan_Start_12&gt;0,1,0)</definedName>
    <definedName name="AS_12" localSheetId="3">IF(Loan_Amount_12*Interest_Rate_12*Loan_Years_12*Loan_Start_12&gt;0,1,0)</definedName>
    <definedName name="AS_12" localSheetId="4">IF(Loan_Amount_12*Interest_Rate_12*Loan_Years_12*Loan_Start_12&gt;0,1,0)</definedName>
    <definedName name="AS_12" localSheetId="5">IF(Loan_Amount_12*Interest_Rate_12*Loan_Years_12*Loan_Start_12&gt;0,1,0)</definedName>
    <definedName name="AS_12">IF(Loan_Amount_12*Interest_Rate_12*Loan_Years_12*Loan_Start_12&gt;0,1,0)</definedName>
    <definedName name="as_6" localSheetId="0">IF(Loan_Amount_6*Interest_Rate_6*Loan_Years_6*Loan_Start_6&gt;0,1,0)</definedName>
    <definedName name="as_6" localSheetId="1">IF(Loan_Amount_6*Interest_Rate_6*Loan_Years_6*Loan_Start_6&gt;0,1,0)</definedName>
    <definedName name="as_6" localSheetId="2">IF(Loan_Amount_6*Interest_Rate_6*Loan_Years_6*Loan_Start_6&gt;0,1,0)</definedName>
    <definedName name="as_6" localSheetId="3">IF(Loan_Amount_6*Interest_Rate_6*Loan_Years_6*Loan_Start_6&gt;0,1,0)</definedName>
    <definedName name="as_6" localSheetId="4">IF(Loan_Amount_6*Interest_Rate_6*Loan_Years_6*Loan_Start_6&gt;0,1,0)</definedName>
    <definedName name="as_6" localSheetId="5">IF(Loan_Amount_6*Interest_Rate_6*Loan_Years_6*Loan_Start_6&gt;0,1,0)</definedName>
    <definedName name="as_6">IF(Loan_Amount_6*Interest_Rate_6*Loan_Years_6*Loan_Start_6&gt;0,1,0)</definedName>
    <definedName name="AS2DocOpenMode" hidden="1">"AS2DocumentEdit"</definedName>
    <definedName name="BAHAN" localSheetId="0">#REF!</definedName>
    <definedName name="BAHAN" localSheetId="1">#REF!</definedName>
    <definedName name="BAHAN" localSheetId="2">#REF!</definedName>
    <definedName name="BAHAN" localSheetId="3">#REF!</definedName>
    <definedName name="BAHAN" localSheetId="4">#REF!</definedName>
    <definedName name="BAHAN" localSheetId="5">#REF!</definedName>
    <definedName name="BAHAN">#REF!</definedName>
    <definedName name="bangunan" localSheetId="0">'[12]FORM X COST'!#REF!</definedName>
    <definedName name="bangunan" localSheetId="1">'[12]FORM X COST'!#REF!</definedName>
    <definedName name="bangunan" localSheetId="2">'[12]FORM X COST'!#REF!</definedName>
    <definedName name="bangunan" localSheetId="3">'[12]FORM X COST'!#REF!</definedName>
    <definedName name="bangunan" localSheetId="4">'[12]FORM X COST'!#REF!</definedName>
    <definedName name="bangunan" localSheetId="5">'[12]FORM X COST'!#REF!</definedName>
    <definedName name="bangunan">'[12]FORM X COST'!#REF!</definedName>
    <definedName name="bangunan_1" localSheetId="0">#REF!</definedName>
    <definedName name="bangunan_1" localSheetId="1">#REF!</definedName>
    <definedName name="bangunan_1" localSheetId="2">#REF!</definedName>
    <definedName name="bangunan_1" localSheetId="3">#REF!</definedName>
    <definedName name="bangunan_1" localSheetId="4">#REF!</definedName>
    <definedName name="bangunan_1" localSheetId="5">#REF!</definedName>
    <definedName name="bangunan_1">#REF!</definedName>
    <definedName name="Bangunan_2" localSheetId="0">#REF!</definedName>
    <definedName name="Bangunan_2" localSheetId="1">#REF!</definedName>
    <definedName name="Bangunan_2" localSheetId="2">#REF!</definedName>
    <definedName name="Bangunan_2" localSheetId="3">#REF!</definedName>
    <definedName name="Bangunan_2" localSheetId="4">#REF!</definedName>
    <definedName name="Bangunan_2" localSheetId="5">#REF!</definedName>
    <definedName name="Bangunan_2">#REF!</definedName>
    <definedName name="Bangunan_3" localSheetId="0">#REF!</definedName>
    <definedName name="Bangunan_3" localSheetId="1">#REF!</definedName>
    <definedName name="Bangunan_3" localSheetId="2">#REF!</definedName>
    <definedName name="Bangunan_3" localSheetId="3">#REF!</definedName>
    <definedName name="Bangunan_3" localSheetId="4">#REF!</definedName>
    <definedName name="Bangunan_3" localSheetId="5">#REF!</definedName>
    <definedName name="Bangunan_3">#REF!</definedName>
    <definedName name="Bangunan_4" localSheetId="0">#REF!</definedName>
    <definedName name="Bangunan_4" localSheetId="1">#REF!</definedName>
    <definedName name="Bangunan_4" localSheetId="2">#REF!</definedName>
    <definedName name="Bangunan_4" localSheetId="3">#REF!</definedName>
    <definedName name="Bangunan_4" localSheetId="4">#REF!</definedName>
    <definedName name="Bangunan_4" localSheetId="5">#REF!</definedName>
    <definedName name="Bangunan_4">#REF!</definedName>
    <definedName name="bangunan_5" localSheetId="0">#REF!</definedName>
    <definedName name="bangunan_5" localSheetId="1">#REF!</definedName>
    <definedName name="bangunan_5" localSheetId="2">#REF!</definedName>
    <definedName name="bangunan_5" localSheetId="3">#REF!</definedName>
    <definedName name="bangunan_5" localSheetId="4">#REF!</definedName>
    <definedName name="bangunan_5" localSheetId="5">#REF!</definedName>
    <definedName name="bangunan_5">#REF!</definedName>
    <definedName name="Bangunan_6" localSheetId="0">#REF!</definedName>
    <definedName name="Bangunan_6" localSheetId="1">#REF!</definedName>
    <definedName name="Bangunan_6" localSheetId="2">#REF!</definedName>
    <definedName name="Bangunan_6" localSheetId="3">#REF!</definedName>
    <definedName name="Bangunan_6" localSheetId="4">#REF!</definedName>
    <definedName name="Bangunan_6" localSheetId="5">#REF!</definedName>
    <definedName name="Bangunan_6">#REF!</definedName>
    <definedName name="bangunan_7" localSheetId="0">#REF!</definedName>
    <definedName name="bangunan_7" localSheetId="1">#REF!</definedName>
    <definedName name="bangunan_7" localSheetId="2">#REF!</definedName>
    <definedName name="bangunan_7" localSheetId="3">#REF!</definedName>
    <definedName name="bangunan_7" localSheetId="4">#REF!</definedName>
    <definedName name="bangunan_7" localSheetId="5">#REF!</definedName>
    <definedName name="bangunan_7">#REF!</definedName>
    <definedName name="bangunan1">[13]List!$B$22:$B$27</definedName>
    <definedName name="BCT" localSheetId="0">#REF!</definedName>
    <definedName name="BCT" localSheetId="1">#REF!</definedName>
    <definedName name="BCT" localSheetId="2">#REF!</definedName>
    <definedName name="BCT" localSheetId="3">#REF!</definedName>
    <definedName name="BCT" localSheetId="4">#REF!</definedName>
    <definedName name="BCT" localSheetId="5">#REF!</definedName>
    <definedName name="BCT">#REF!</definedName>
    <definedName name="Beg_Bal" localSheetId="0">#REF!</definedName>
    <definedName name="Beg_Bal" localSheetId="1">#REF!</definedName>
    <definedName name="Beg_Bal" localSheetId="2">#REF!</definedName>
    <definedName name="Beg_Bal" localSheetId="3">#REF!</definedName>
    <definedName name="Beg_Bal" localSheetId="4">#REF!</definedName>
    <definedName name="Beg_Bal" localSheetId="5">#REF!</definedName>
    <definedName name="Beg_Bal">#REF!</definedName>
    <definedName name="bentuk">[14]List!$B$11:$B$15</definedName>
    <definedName name="bentuk1">[13]List!$B$12:$B$15</definedName>
    <definedName name="BEP" localSheetId="0">#REF!</definedName>
    <definedName name="BEP" localSheetId="1">#REF!</definedName>
    <definedName name="BEP" localSheetId="2">#REF!</definedName>
    <definedName name="BEP" localSheetId="3">#REF!</definedName>
    <definedName name="BEP" localSheetId="4">#REF!</definedName>
    <definedName name="BEP" localSheetId="5">#REF!</definedName>
    <definedName name="BEP">#REF!</definedName>
    <definedName name="Biaya" localSheetId="0">#REF!</definedName>
    <definedName name="Biaya" localSheetId="1">#REF!</definedName>
    <definedName name="Biaya" localSheetId="2">#REF!</definedName>
    <definedName name="Biaya" localSheetId="3">#REF!</definedName>
    <definedName name="Biaya" localSheetId="4">#REF!</definedName>
    <definedName name="Biaya" localSheetId="5">#REF!</definedName>
    <definedName name="Biaya">#REF!</definedName>
    <definedName name="BIAYA_ASURANSI_" localSheetId="0">[9]NERACA!#REF!</definedName>
    <definedName name="BIAYA_ASURANSI_" localSheetId="1">[9]NERACA!#REF!</definedName>
    <definedName name="BIAYA_ASURANSI_" localSheetId="2">[9]NERACA!#REF!</definedName>
    <definedName name="BIAYA_ASURANSI_" localSheetId="3">[9]NERACA!#REF!</definedName>
    <definedName name="BIAYA_ASURANSI_" localSheetId="4">[9]NERACA!#REF!</definedName>
    <definedName name="BIAYA_ASURANSI_" localSheetId="5">[9]NERACA!#REF!</definedName>
    <definedName name="BIAYA_ASURANSI_">[9]NERACA!#REF!</definedName>
    <definedName name="BIAYA_DIBAYAR_D" localSheetId="0">[9]NERACA!#REF!</definedName>
    <definedName name="BIAYA_DIBAYAR_D" localSheetId="1">[9]NERACA!#REF!</definedName>
    <definedName name="BIAYA_DIBAYAR_D" localSheetId="2">[9]NERACA!#REF!</definedName>
    <definedName name="BIAYA_DIBAYAR_D" localSheetId="3">[9]NERACA!#REF!</definedName>
    <definedName name="BIAYA_DIBAYAR_D" localSheetId="4">[9]NERACA!#REF!</definedName>
    <definedName name="BIAYA_DIBAYAR_D" localSheetId="5">[9]NERACA!#REF!</definedName>
    <definedName name="BIAYA_DIBAYAR_D">[9]NERACA!#REF!</definedName>
    <definedName name="cc" hidden="1">{"Valuation",#N/A,TRUE,"Valuation Summary";"Financial Statements",#N/A,TRUE,"Results";"Results",#N/A,TRUE,"Results";"Ratios",#N/A,TRUE,"Results";"P2 Summary",#N/A,TRUE,"Results"}</definedName>
    <definedName name="Chart" localSheetId="0" hidden="1">#REF!</definedName>
    <definedName name="Chart" localSheetId="1" hidden="1">#REF!</definedName>
    <definedName name="Chart" localSheetId="2" hidden="1">#REF!</definedName>
    <definedName name="Chart" localSheetId="3" hidden="1">#REF!</definedName>
    <definedName name="Chart" localSheetId="4" hidden="1">#REF!</definedName>
    <definedName name="Chart" localSheetId="5" hidden="1">#REF!</definedName>
    <definedName name="Chart" hidden="1">#REF!</definedName>
    <definedName name="chart10" localSheetId="0" hidden="1">#REF!</definedName>
    <definedName name="chart10" localSheetId="1" hidden="1">#REF!</definedName>
    <definedName name="chart10" localSheetId="2" hidden="1">#REF!</definedName>
    <definedName name="chart10" localSheetId="3" hidden="1">#REF!</definedName>
    <definedName name="chart10" localSheetId="4" hidden="1">#REF!</definedName>
    <definedName name="chart10" localSheetId="5" hidden="1">#REF!</definedName>
    <definedName name="chart10" hidden="1">#REF!</definedName>
    <definedName name="chart11" localSheetId="0" hidden="1">#REF!</definedName>
    <definedName name="chart11" localSheetId="1" hidden="1">#REF!</definedName>
    <definedName name="chart11" localSheetId="2" hidden="1">#REF!</definedName>
    <definedName name="chart11" localSheetId="3" hidden="1">#REF!</definedName>
    <definedName name="chart11" localSheetId="4" hidden="1">#REF!</definedName>
    <definedName name="chart11" localSheetId="5" hidden="1">#REF!</definedName>
    <definedName name="chart11" hidden="1">#REF!</definedName>
    <definedName name="chart12" localSheetId="0" hidden="1">#REF!</definedName>
    <definedName name="chart12" localSheetId="1" hidden="1">#REF!</definedName>
    <definedName name="chart12" localSheetId="2" hidden="1">#REF!</definedName>
    <definedName name="chart12" localSheetId="3" hidden="1">#REF!</definedName>
    <definedName name="chart12" localSheetId="4" hidden="1">#REF!</definedName>
    <definedName name="chart12" localSheetId="5" hidden="1">#REF!</definedName>
    <definedName name="chart12" hidden="1">#REF!</definedName>
    <definedName name="chart13" localSheetId="0" hidden="1">#REF!</definedName>
    <definedName name="chart13" localSheetId="1" hidden="1">#REF!</definedName>
    <definedName name="chart13" localSheetId="2" hidden="1">#REF!</definedName>
    <definedName name="chart13" localSheetId="3" hidden="1">#REF!</definedName>
    <definedName name="chart13" localSheetId="4" hidden="1">#REF!</definedName>
    <definedName name="chart13" localSheetId="5" hidden="1">#REF!</definedName>
    <definedName name="chart13" hidden="1">#REF!</definedName>
    <definedName name="chart14" localSheetId="0" hidden="1">#REF!</definedName>
    <definedName name="chart14" localSheetId="1" hidden="1">#REF!</definedName>
    <definedName name="chart14" localSheetId="2" hidden="1">#REF!</definedName>
    <definedName name="chart14" localSheetId="3" hidden="1">#REF!</definedName>
    <definedName name="chart14" localSheetId="4" hidden="1">#REF!</definedName>
    <definedName name="chart14" localSheetId="5" hidden="1">#REF!</definedName>
    <definedName name="chart14" hidden="1">#REF!</definedName>
    <definedName name="chart19" localSheetId="0" hidden="1">#REF!</definedName>
    <definedName name="chart19" localSheetId="1" hidden="1">#REF!</definedName>
    <definedName name="chart19" localSheetId="2" hidden="1">#REF!</definedName>
    <definedName name="chart19" localSheetId="3" hidden="1">#REF!</definedName>
    <definedName name="chart19" localSheetId="4" hidden="1">#REF!</definedName>
    <definedName name="chart19" localSheetId="5" hidden="1">#REF!</definedName>
    <definedName name="chart19" hidden="1">#REF!</definedName>
    <definedName name="chart2" localSheetId="0" hidden="1">#REF!</definedName>
    <definedName name="chart2" localSheetId="1" hidden="1">#REF!</definedName>
    <definedName name="chart2" localSheetId="2" hidden="1">#REF!</definedName>
    <definedName name="chart2" localSheetId="3" hidden="1">#REF!</definedName>
    <definedName name="chart2" localSheetId="4" hidden="1">#REF!</definedName>
    <definedName name="chart2" localSheetId="5" hidden="1">#REF!</definedName>
    <definedName name="chart2" hidden="1">#REF!</definedName>
    <definedName name="chart3" localSheetId="0" hidden="1">#REF!</definedName>
    <definedName name="chart3" localSheetId="1" hidden="1">#REF!</definedName>
    <definedName name="chart3" localSheetId="2" hidden="1">#REF!</definedName>
    <definedName name="chart3" localSheetId="3" hidden="1">#REF!</definedName>
    <definedName name="chart3" localSheetId="4" hidden="1">#REF!</definedName>
    <definedName name="chart3" localSheetId="5" hidden="1">#REF!</definedName>
    <definedName name="chart3" hidden="1">#REF!</definedName>
    <definedName name="chart4" localSheetId="0" hidden="1">#REF!</definedName>
    <definedName name="chart4" localSheetId="1" hidden="1">#REF!</definedName>
    <definedName name="chart4" localSheetId="2" hidden="1">#REF!</definedName>
    <definedName name="chart4" localSheetId="3" hidden="1">#REF!</definedName>
    <definedName name="chart4" localSheetId="4" hidden="1">#REF!</definedName>
    <definedName name="chart4" localSheetId="5" hidden="1">#REF!</definedName>
    <definedName name="chart4" hidden="1">#REF!</definedName>
    <definedName name="chart5" localSheetId="0" hidden="1">#REF!</definedName>
    <definedName name="chart5" localSheetId="1" hidden="1">#REF!</definedName>
    <definedName name="chart5" localSheetId="2" hidden="1">#REF!</definedName>
    <definedName name="chart5" localSheetId="3" hidden="1">#REF!</definedName>
    <definedName name="chart5" localSheetId="4" hidden="1">#REF!</definedName>
    <definedName name="chart5" localSheetId="5" hidden="1">#REF!</definedName>
    <definedName name="chart5" hidden="1">#REF!</definedName>
    <definedName name="chart6" localSheetId="0" hidden="1">#REF!</definedName>
    <definedName name="chart6" localSheetId="1" hidden="1">#REF!</definedName>
    <definedName name="chart6" localSheetId="2" hidden="1">#REF!</definedName>
    <definedName name="chart6" localSheetId="3" hidden="1">#REF!</definedName>
    <definedName name="chart6" localSheetId="4" hidden="1">#REF!</definedName>
    <definedName name="chart6" localSheetId="5" hidden="1">#REF!</definedName>
    <definedName name="chart6" hidden="1">#REF!</definedName>
    <definedName name="chart7" localSheetId="0" hidden="1">#REF!</definedName>
    <definedName name="chart7" localSheetId="1" hidden="1">#REF!</definedName>
    <definedName name="chart7" localSheetId="2" hidden="1">#REF!</definedName>
    <definedName name="chart7" localSheetId="3" hidden="1">#REF!</definedName>
    <definedName name="chart7" localSheetId="4" hidden="1">#REF!</definedName>
    <definedName name="chart7" localSheetId="5" hidden="1">#REF!</definedName>
    <definedName name="chart7" hidden="1">#REF!</definedName>
    <definedName name="chart8" localSheetId="0" hidden="1">#REF!</definedName>
    <definedName name="chart8" localSheetId="1" hidden="1">#REF!</definedName>
    <definedName name="chart8" localSheetId="2" hidden="1">#REF!</definedName>
    <definedName name="chart8" localSheetId="3" hidden="1">#REF!</definedName>
    <definedName name="chart8" localSheetId="4" hidden="1">#REF!</definedName>
    <definedName name="chart8" localSheetId="5" hidden="1">#REF!</definedName>
    <definedName name="chart8" hidden="1">#REF!</definedName>
    <definedName name="chart9" localSheetId="0" hidden="1">#REF!</definedName>
    <definedName name="chart9" localSheetId="1" hidden="1">#REF!</definedName>
    <definedName name="chart9" localSheetId="2" hidden="1">#REF!</definedName>
    <definedName name="chart9" localSheetId="3" hidden="1">#REF!</definedName>
    <definedName name="chart9" localSheetId="4" hidden="1">#REF!</definedName>
    <definedName name="chart9" localSheetId="5" hidden="1">#REF!</definedName>
    <definedName name="chart9" hidden="1">#REF!</definedName>
    <definedName name="chat19" localSheetId="0" hidden="1">#REF!</definedName>
    <definedName name="chat19" localSheetId="1" hidden="1">#REF!</definedName>
    <definedName name="chat19" localSheetId="2" hidden="1">#REF!</definedName>
    <definedName name="chat19" localSheetId="3" hidden="1">#REF!</definedName>
    <definedName name="chat19" localSheetId="4" hidden="1">#REF!</definedName>
    <definedName name="chat19" localSheetId="5" hidden="1">#REF!</definedName>
    <definedName name="chat19" hidden="1">#REF!</definedName>
    <definedName name="COL1STYR">7</definedName>
    <definedName name="COST123" hidden="1">'[5]PK RM'!$B$30:$M$30</definedName>
    <definedName name="CS" hidden="1">'[2]% Lbr vs GP'!$B$32:$M$32</definedName>
    <definedName name="Data" localSheetId="0">#REF!</definedName>
    <definedName name="Data" localSheetId="1">#REF!</definedName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>#REF!</definedName>
    <definedName name="Divisi" localSheetId="0">#REF!</definedName>
    <definedName name="Divisi" localSheetId="1">#REF!</definedName>
    <definedName name="Divisi" localSheetId="2">#REF!</definedName>
    <definedName name="Divisi" localSheetId="3">#REF!</definedName>
    <definedName name="Divisi" localSheetId="4">#REF!</definedName>
    <definedName name="Divisi" localSheetId="5">#REF!</definedName>
    <definedName name="Divisi">#REF!</definedName>
    <definedName name="DR" hidden="1">{"Valuation",#N/A,TRUE,"Valuation Summary";"Financial Statements",#N/A,TRUE,"Results";"Results",#N/A,TRUE,"Results";"Ratios",#N/A,TRUE,"Results";"P2 Summary",#N/A,TRUE,"Results"}</definedName>
    <definedName name="DSC" localSheetId="0">#REF!</definedName>
    <definedName name="DSC" localSheetId="1">#REF!</definedName>
    <definedName name="DSC" localSheetId="2">#REF!</definedName>
    <definedName name="DSC" localSheetId="3">#REF!</definedName>
    <definedName name="DSC" localSheetId="4">#REF!</definedName>
    <definedName name="DSC" localSheetId="5">#REF!</definedName>
    <definedName name="DSC">#REF!</definedName>
    <definedName name="End_Bal" localSheetId="0">#REF!</definedName>
    <definedName name="End_Bal" localSheetId="1">#REF!</definedName>
    <definedName name="End_Bal" localSheetId="2">#REF!</definedName>
    <definedName name="End_Bal" localSheetId="3">#REF!</definedName>
    <definedName name="End_Bal" localSheetId="4">#REF!</definedName>
    <definedName name="End_Bal" localSheetId="5">#REF!</definedName>
    <definedName name="End_Bal">#REF!</definedName>
    <definedName name="Extra_Pay" localSheetId="0">#REF!</definedName>
    <definedName name="Extra_Pay" localSheetId="1">#REF!</definedName>
    <definedName name="Extra_Pay" localSheetId="2">#REF!</definedName>
    <definedName name="Extra_Pay" localSheetId="3">#REF!</definedName>
    <definedName name="Extra_Pay" localSheetId="4">#REF!</definedName>
    <definedName name="Extra_Pay" localSheetId="5">#REF!</definedName>
    <definedName name="Extra_Pay">#REF!</definedName>
    <definedName name="FORM_NONPERUMAHAN" localSheetId="0">#REF!</definedName>
    <definedName name="FORM_NONPERUMAHAN" localSheetId="1">#REF!</definedName>
    <definedName name="FORM_NONPERUMAHAN" localSheetId="2">#REF!</definedName>
    <definedName name="FORM_NONPERUMAHAN" localSheetId="3">#REF!</definedName>
    <definedName name="FORM_NONPERUMAHAN" localSheetId="4">#REF!</definedName>
    <definedName name="FORM_NONPERUMAHAN" localSheetId="5">#REF!</definedName>
    <definedName name="FORM_NONPERUMAHAN">#REF!</definedName>
    <definedName name="FORM_PERUMAHAN" localSheetId="0">#REF!</definedName>
    <definedName name="FORM_PERUMAHAN" localSheetId="1">#REF!</definedName>
    <definedName name="FORM_PERUMAHAN" localSheetId="2">#REF!</definedName>
    <definedName name="FORM_PERUMAHAN" localSheetId="3">#REF!</definedName>
    <definedName name="FORM_PERUMAHAN" localSheetId="4">#REF!</definedName>
    <definedName name="FORM_PERUMAHAN" localSheetId="5">#REF!</definedName>
    <definedName name="FORM_PERUMAHAN">#REF!</definedName>
    <definedName name="Foto" localSheetId="0" hidden="1">[11]Gmd3!#REF!</definedName>
    <definedName name="Foto" localSheetId="1" hidden="1">[11]Gmd3!#REF!</definedName>
    <definedName name="Foto" localSheetId="2" hidden="1">[11]Gmd3!#REF!</definedName>
    <definedName name="Foto" localSheetId="3" hidden="1">[11]Gmd3!#REF!</definedName>
    <definedName name="Foto" localSheetId="4" hidden="1">[11]Gmd3!#REF!</definedName>
    <definedName name="Foto" localSheetId="5" hidden="1">[11]Gmd3!#REF!</definedName>
    <definedName name="Foto" hidden="1">[11]Gmd3!#REF!</definedName>
    <definedName name="foto2">#N/A</definedName>
    <definedName name="foto2_11">NA()</definedName>
    <definedName name="foto2_12">NA()</definedName>
    <definedName name="Full_Print" localSheetId="0">#REF!</definedName>
    <definedName name="Full_Print" localSheetId="1">#REF!</definedName>
    <definedName name="Full_Print" localSheetId="2">#REF!</definedName>
    <definedName name="Full_Print" localSheetId="3">#REF!</definedName>
    <definedName name="Full_Print" localSheetId="4">#REF!</definedName>
    <definedName name="Full_Print" localSheetId="5">#REF!</definedName>
    <definedName name="Full_Print">#REF!</definedName>
    <definedName name="Gebangsari">#N/A</definedName>
    <definedName name="Gebangsari_11" localSheetId="0">IF(Loan_Amount_11*Interest_Rate_11*Loan_Years_11*Loan_Start_11&gt;0,1,0)</definedName>
    <definedName name="Gebangsari_11" localSheetId="1">IF(Loan_Amount_11*Interest_Rate_11*Loan_Years_11*Loan_Start_11&gt;0,1,0)</definedName>
    <definedName name="Gebangsari_11" localSheetId="2">IF(Loan_Amount_11*Interest_Rate_11*Loan_Years_11*Loan_Start_11&gt;0,1,0)</definedName>
    <definedName name="Gebangsari_11" localSheetId="3">IF(Loan_Amount_11*Interest_Rate_11*Loan_Years_11*Loan_Start_11&gt;0,1,0)</definedName>
    <definedName name="Gebangsari_11" localSheetId="4">IF(Loan_Amount_11*Interest_Rate_11*Loan_Years_11*Loan_Start_11&gt;0,1,0)</definedName>
    <definedName name="Gebangsari_11" localSheetId="5">IF(Loan_Amount_11*Interest_Rate_11*Loan_Years_11*Loan_Start_11&gt;0,1,0)</definedName>
    <definedName name="Gebangsari_11">IF(Loan_Amount_11*Interest_Rate_11*Loan_Years_11*Loan_Start_11&gt;0,1,0)</definedName>
    <definedName name="Gebangsari_12" localSheetId="0">IF(Loan_Amount_12*Interest_Rate_12*Loan_Years_12*Loan_Start_12&gt;0,1,0)</definedName>
    <definedName name="Gebangsari_12" localSheetId="1">IF(Loan_Amount_12*Interest_Rate_12*Loan_Years_12*Loan_Start_12&gt;0,1,0)</definedName>
    <definedName name="Gebangsari_12" localSheetId="2">IF(Loan_Amount_12*Interest_Rate_12*Loan_Years_12*Loan_Start_12&gt;0,1,0)</definedName>
    <definedName name="Gebangsari_12" localSheetId="3">IF(Loan_Amount_12*Interest_Rate_12*Loan_Years_12*Loan_Start_12&gt;0,1,0)</definedName>
    <definedName name="Gebangsari_12" localSheetId="4">IF(Loan_Amount_12*Interest_Rate_12*Loan_Years_12*Loan_Start_12&gt;0,1,0)</definedName>
    <definedName name="Gebangsari_12" localSheetId="5">IF(Loan_Amount_12*Interest_Rate_12*Loan_Years_12*Loan_Start_12&gt;0,1,0)</definedName>
    <definedName name="Gebangsari_12">IF(Loan_Amount_12*Interest_Rate_12*Loan_Years_12*Loan_Start_12&gt;0,1,0)</definedName>
    <definedName name="HARGA_BAHAN">#N/A</definedName>
    <definedName name="HARGA_BAHAN_2">NA()</definedName>
    <definedName name="HARGA_BAHAN_6">NA()</definedName>
    <definedName name="HARGA_PEROLEHAN" localSheetId="0">[9]NERACA!#REF!</definedName>
    <definedName name="HARGA_PEROLEHAN" localSheetId="1">[9]NERACA!#REF!</definedName>
    <definedName name="HARGA_PEROLEHAN" localSheetId="2">[9]NERACA!#REF!</definedName>
    <definedName name="HARGA_PEROLEHAN" localSheetId="3">[9]NERACA!#REF!</definedName>
    <definedName name="HARGA_PEROLEHAN" localSheetId="4">[9]NERACA!#REF!</definedName>
    <definedName name="HARGA_PEROLEHAN" localSheetId="5">[9]NERACA!#REF!</definedName>
    <definedName name="HARGA_PEROLEHAN">[9]NERACA!#REF!</definedName>
    <definedName name="Hari1" localSheetId="0">#REF!</definedName>
    <definedName name="Hari1" localSheetId="1">#REF!</definedName>
    <definedName name="Hari1" localSheetId="2">#REF!</definedName>
    <definedName name="Hari1" localSheetId="3">#REF!</definedName>
    <definedName name="Hari1" localSheetId="4">#REF!</definedName>
    <definedName name="Hari1" localSheetId="5">#REF!</definedName>
    <definedName name="Hari1">#REF!</definedName>
    <definedName name="Hari2" localSheetId="0">#REF!</definedName>
    <definedName name="Hari2" localSheetId="1">#REF!</definedName>
    <definedName name="Hari2" localSheetId="2">#REF!</definedName>
    <definedName name="Hari2" localSheetId="3">#REF!</definedName>
    <definedName name="Hari2" localSheetId="4">#REF!</definedName>
    <definedName name="Hari2" localSheetId="5">#REF!</definedName>
    <definedName name="Hari2">#REF!</definedName>
    <definedName name="Harta" localSheetId="0">[9]NERACA!#REF!</definedName>
    <definedName name="Harta" localSheetId="1">[9]NERACA!#REF!</definedName>
    <definedName name="Harta" localSheetId="2">[9]NERACA!#REF!</definedName>
    <definedName name="Harta" localSheetId="3">[9]NERACA!#REF!</definedName>
    <definedName name="Harta" localSheetId="4">[9]NERACA!#REF!</definedName>
    <definedName name="Harta" localSheetId="5">[9]NERACA!#REF!</definedName>
    <definedName name="Harta">[9]NERACA!#REF!</definedName>
    <definedName name="Header_Row" localSheetId="0">ROW(#REF!)</definedName>
    <definedName name="Header_Row" localSheetId="1">ROW(#REF!)</definedName>
    <definedName name="Header_Row" localSheetId="2">ROW(#REF!)</definedName>
    <definedName name="Header_Row" localSheetId="3">ROW(#REF!)</definedName>
    <definedName name="Header_Row" localSheetId="4">ROW(#REF!)</definedName>
    <definedName name="Header_Row" localSheetId="5">ROW(#REF!)</definedName>
    <definedName name="Header_Row">ROW(#REF!)</definedName>
    <definedName name="Header_Row_1" localSheetId="0">ROW(#REF!)</definedName>
    <definedName name="Header_Row_1" localSheetId="1">ROW(#REF!)</definedName>
    <definedName name="Header_Row_1" localSheetId="2">ROW(#REF!)</definedName>
    <definedName name="Header_Row_1" localSheetId="3">ROW(#REF!)</definedName>
    <definedName name="Header_Row_1" localSheetId="4">ROW(#REF!)</definedName>
    <definedName name="Header_Row_1" localSheetId="5">ROW(#REF!)</definedName>
    <definedName name="Header_Row_1">ROW(#REF!)</definedName>
    <definedName name="Header_Row_10" localSheetId="0">ROW(#REF!)</definedName>
    <definedName name="Header_Row_10" localSheetId="1">ROW(#REF!)</definedName>
    <definedName name="Header_Row_10" localSheetId="2">ROW(#REF!)</definedName>
    <definedName name="Header_Row_10" localSheetId="3">ROW(#REF!)</definedName>
    <definedName name="Header_Row_10" localSheetId="4">ROW(#REF!)</definedName>
    <definedName name="Header_Row_10" localSheetId="5">ROW(#REF!)</definedName>
    <definedName name="Header_Row_10">ROW(#REF!)</definedName>
    <definedName name="Header_Row_11" localSheetId="0">ROW(#REF!)</definedName>
    <definedName name="Header_Row_11" localSheetId="1">ROW(#REF!)</definedName>
    <definedName name="Header_Row_11" localSheetId="2">ROW(#REF!)</definedName>
    <definedName name="Header_Row_11" localSheetId="3">ROW(#REF!)</definedName>
    <definedName name="Header_Row_11" localSheetId="4">ROW(#REF!)</definedName>
    <definedName name="Header_Row_11" localSheetId="5">ROW(#REF!)</definedName>
    <definedName name="Header_Row_11">ROW(#REF!)</definedName>
    <definedName name="Header_Row_12" localSheetId="0">ROW(#REF!)</definedName>
    <definedName name="Header_Row_12" localSheetId="1">ROW(#REF!)</definedName>
    <definedName name="Header_Row_12" localSheetId="2">ROW(#REF!)</definedName>
    <definedName name="Header_Row_12" localSheetId="3">ROW(#REF!)</definedName>
    <definedName name="Header_Row_12" localSheetId="4">ROW(#REF!)</definedName>
    <definedName name="Header_Row_12" localSheetId="5">ROW(#REF!)</definedName>
    <definedName name="Header_Row_12">ROW(#REF!)</definedName>
    <definedName name="Header_Row_2" localSheetId="0">ROW(#REF!)</definedName>
    <definedName name="Header_Row_2" localSheetId="1">ROW(#REF!)</definedName>
    <definedName name="Header_Row_2" localSheetId="2">ROW(#REF!)</definedName>
    <definedName name="Header_Row_2" localSheetId="3">ROW(#REF!)</definedName>
    <definedName name="Header_Row_2" localSheetId="4">ROW(#REF!)</definedName>
    <definedName name="Header_Row_2" localSheetId="5">ROW(#REF!)</definedName>
    <definedName name="Header_Row_2">ROW(#REF!)</definedName>
    <definedName name="Header_Row_6" localSheetId="0">ROW(#REF!)</definedName>
    <definedName name="Header_Row_6" localSheetId="1">ROW(#REF!)</definedName>
    <definedName name="Header_Row_6" localSheetId="2">ROW(#REF!)</definedName>
    <definedName name="Header_Row_6" localSheetId="3">ROW(#REF!)</definedName>
    <definedName name="Header_Row_6" localSheetId="4">ROW(#REF!)</definedName>
    <definedName name="Header_Row_6" localSheetId="5">ROW(#REF!)</definedName>
    <definedName name="Header_Row_6">ROW(#REF!)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utang" localSheetId="0">[9]NERACA!#REF!</definedName>
    <definedName name="Hutang" localSheetId="1">[9]NERACA!#REF!</definedName>
    <definedName name="Hutang" localSheetId="2">[9]NERACA!#REF!</definedName>
    <definedName name="Hutang" localSheetId="3">[9]NERACA!#REF!</definedName>
    <definedName name="Hutang" localSheetId="4">[9]NERACA!#REF!</definedName>
    <definedName name="Hutang" localSheetId="5">[9]NERACA!#REF!</definedName>
    <definedName name="Hutang">[9]NERACA!#REF!</definedName>
    <definedName name="HUTANG_KPD_PEM." localSheetId="0">#REF!</definedName>
    <definedName name="HUTANG_KPD_PEM." localSheetId="1">#REF!</definedName>
    <definedName name="HUTANG_KPD_PEM." localSheetId="2">#REF!</definedName>
    <definedName name="HUTANG_KPD_PEM." localSheetId="3">#REF!</definedName>
    <definedName name="HUTANG_KPD_PEM." localSheetId="4">#REF!</definedName>
    <definedName name="HUTANG_KPD_PEM." localSheetId="5">#REF!</definedName>
    <definedName name="HUTANG_KPD_PEM.">#REF!</definedName>
    <definedName name="HUTANG_L_C" localSheetId="0">#REF!</definedName>
    <definedName name="HUTANG_L_C" localSheetId="1">#REF!</definedName>
    <definedName name="HUTANG_L_C" localSheetId="2">#REF!</definedName>
    <definedName name="HUTANG_L_C" localSheetId="3">#REF!</definedName>
    <definedName name="HUTANG_L_C" localSheetId="4">#REF!</definedName>
    <definedName name="HUTANG_L_C" localSheetId="5">#REF!</definedName>
    <definedName name="HUTANG_L_C">#REF!</definedName>
    <definedName name="Iktisar" localSheetId="0">DATE(YEAR('Z1)'!Loan_Start),MONTH('Z1)'!Loan_Start)+Payment_Number,DAY('Z1)'!Loan_Start))</definedName>
    <definedName name="Iktisar" localSheetId="1">DATE(YEAR('Z2'!Loan_Start),MONTH('Z2'!Loan_Start)+Payment_Number,DAY('Z2'!Loan_Start))</definedName>
    <definedName name="Iktisar" localSheetId="2">DATE(YEAR(Z2.!Loan_Start),MONTH(Z2.!Loan_Start)+Payment_Number,DAY(Z2.!Loan_Start))</definedName>
    <definedName name="Iktisar" localSheetId="3">DATE(YEAR('Z3'!Loan_Start),MONTH('Z3'!Loan_Start)+Payment_Number,DAY('Z3'!Loan_Start))</definedName>
    <definedName name="Iktisar" localSheetId="4">DATE(YEAR('Z4'!Loan_Start),MONTH('Z4'!Loan_Start)+Payment_Number,DAY('Z4'!Loan_Start))</definedName>
    <definedName name="Iktisar" localSheetId="5">DATE(YEAR('Z5'!Loan_Start),MONTH('Z5'!Loan_Start)+Payment_Number,DAY('Z5'!Loan_Start))</definedName>
    <definedName name="Iktisar">#N/A</definedName>
    <definedName name="Int" localSheetId="0">#REF!</definedName>
    <definedName name="Int" localSheetId="1">#REF!</definedName>
    <definedName name="Int" localSheetId="2">#REF!</definedName>
    <definedName name="Int" localSheetId="3">#REF!</definedName>
    <definedName name="Int" localSheetId="4">#REF!</definedName>
    <definedName name="Int" localSheetId="5">#REF!</definedName>
    <definedName name="Int">#REF!</definedName>
    <definedName name="Interest_Rate" localSheetId="0">#REF!</definedName>
    <definedName name="Interest_Rate" localSheetId="1">#REF!</definedName>
    <definedName name="Interest_Rate" localSheetId="2">#REF!</definedName>
    <definedName name="Interest_Rate" localSheetId="3">#REF!</definedName>
    <definedName name="Interest_Rate" localSheetId="4">#REF!</definedName>
    <definedName name="Interest_Rate" localSheetId="5">#REF!</definedName>
    <definedName name="Interest_Rate">#REF!</definedName>
    <definedName name="I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jenis">[14]List!$B$1:$B$9</definedName>
    <definedName name="jenis1">[13]List!$B$1:$B$10</definedName>
    <definedName name="JUMLAH" localSheetId="0">#REF!</definedName>
    <definedName name="JUMLAH" localSheetId="1">#REF!</definedName>
    <definedName name="JUMLAH" localSheetId="2">#REF!</definedName>
    <definedName name="JUMLAH" localSheetId="3">#REF!</definedName>
    <definedName name="JUMLAH" localSheetId="4">#REF!</definedName>
    <definedName name="JUMLAH" localSheetId="5">#REF!</definedName>
    <definedName name="JUMLAH">#REF!</definedName>
    <definedName name="JUMLAH__AKTIVA_" localSheetId="0">[9]NERACA!#REF!</definedName>
    <definedName name="JUMLAH__AKTIVA_" localSheetId="1">[9]NERACA!#REF!</definedName>
    <definedName name="JUMLAH__AKTIVA_" localSheetId="2">[9]NERACA!#REF!</definedName>
    <definedName name="JUMLAH__AKTIVA_" localSheetId="3">[9]NERACA!#REF!</definedName>
    <definedName name="JUMLAH__AKTIVA_" localSheetId="4">[9]NERACA!#REF!</definedName>
    <definedName name="JUMLAH__AKTIVA_" localSheetId="5">[9]NERACA!#REF!</definedName>
    <definedName name="JUMLAH__AKTIVA_">[9]NERACA!#REF!</definedName>
    <definedName name="JUMLAH_AKTIVA_L" localSheetId="0">[9]NERACA!#REF!</definedName>
    <definedName name="JUMLAH_AKTIVA_L" localSheetId="1">[9]NERACA!#REF!</definedName>
    <definedName name="JUMLAH_AKTIVA_L" localSheetId="2">[9]NERACA!#REF!</definedName>
    <definedName name="JUMLAH_AKTIVA_L" localSheetId="3">[9]NERACA!#REF!</definedName>
    <definedName name="JUMLAH_AKTIVA_L" localSheetId="4">[9]NERACA!#REF!</definedName>
    <definedName name="JUMLAH_AKTIVA_L" localSheetId="5">[9]NERACA!#REF!</definedName>
    <definedName name="JUMLAH_AKTIVA_L">[9]NERACA!#REF!</definedName>
    <definedName name="KAS_DAN_SETARA_" localSheetId="0">[9]NERACA!#REF!</definedName>
    <definedName name="KAS_DAN_SETARA_" localSheetId="1">[9]NERACA!#REF!</definedName>
    <definedName name="KAS_DAN_SETARA_" localSheetId="2">[9]NERACA!#REF!</definedName>
    <definedName name="KAS_DAN_SETARA_" localSheetId="3">[9]NERACA!#REF!</definedName>
    <definedName name="KAS_DAN_SETARA_" localSheetId="4">[9]NERACA!#REF!</definedName>
    <definedName name="KAS_DAN_SETARA_" localSheetId="5">[9]NERACA!#REF!</definedName>
    <definedName name="KAS_DAN_SETARA_">[9]NERACA!#REF!</definedName>
    <definedName name="kayu" localSheetId="0">#REF!</definedName>
    <definedName name="kayu" localSheetId="1">#REF!</definedName>
    <definedName name="kayu" localSheetId="2">#REF!</definedName>
    <definedName name="kayu" localSheetId="3">#REF!</definedName>
    <definedName name="kayu" localSheetId="4">#REF!</definedName>
    <definedName name="kayu" localSheetId="5">#REF!</definedName>
    <definedName name="kayu">[15]Fktr_bangunan!$C$15:$D$18</definedName>
    <definedName name="KEUANGAN" localSheetId="0">#REF!</definedName>
    <definedName name="KEUANGAN" localSheetId="1">#REF!</definedName>
    <definedName name="KEUANGAN" localSheetId="2">#REF!</definedName>
    <definedName name="KEUANGAN" localSheetId="3">#REF!</definedName>
    <definedName name="KEUANGAN" localSheetId="4">#REF!</definedName>
    <definedName name="KEUANGAN" localSheetId="5">#REF!</definedName>
    <definedName name="KEUANGAN">#REF!</definedName>
    <definedName name="Kode" localSheetId="0">#REF!</definedName>
    <definedName name="Kode" localSheetId="1">#REF!</definedName>
    <definedName name="Kode" localSheetId="2">#REF!</definedName>
    <definedName name="Kode" localSheetId="3">#REF!</definedName>
    <definedName name="Kode" localSheetId="4">#REF!</definedName>
    <definedName name="Kode" localSheetId="5">#REF!</definedName>
    <definedName name="Kode">#REF!</definedName>
    <definedName name="Kode_k" localSheetId="0">#REF!</definedName>
    <definedName name="Kode_k" localSheetId="1">#REF!</definedName>
    <definedName name="Kode_k" localSheetId="2">#REF!</definedName>
    <definedName name="Kode_k" localSheetId="3">#REF!</definedName>
    <definedName name="Kode_k" localSheetId="4">#REF!</definedName>
    <definedName name="Kode_k" localSheetId="5">#REF!</definedName>
    <definedName name="Kode_k">#REF!</definedName>
    <definedName name="kondisi" localSheetId="0">#REF!</definedName>
    <definedName name="kondisi" localSheetId="1">#REF!</definedName>
    <definedName name="kondisi" localSheetId="2">#REF!</definedName>
    <definedName name="kondisi" localSheetId="3">#REF!</definedName>
    <definedName name="kondisi" localSheetId="4">#REF!</definedName>
    <definedName name="kondisi" localSheetId="5">#REF!</definedName>
    <definedName name="kondisi">[15]Fktr_bangunan!$C$28:$D$30</definedName>
    <definedName name="konstruksi" localSheetId="0">#REF!</definedName>
    <definedName name="konstruksi" localSheetId="1">#REF!</definedName>
    <definedName name="konstruksi" localSheetId="2">#REF!</definedName>
    <definedName name="konstruksi" localSheetId="3">#REF!</definedName>
    <definedName name="konstruksi" localSheetId="4">#REF!</definedName>
    <definedName name="konstruksi" localSheetId="5">#REF!</definedName>
    <definedName name="konstruksi">[15]Fktr_bangunan!$C$10:$D$13</definedName>
    <definedName name="Kontraktor" localSheetId="0">#REF!</definedName>
    <definedName name="Kontraktor" localSheetId="1">#REF!</definedName>
    <definedName name="Kontraktor" localSheetId="2">#REF!</definedName>
    <definedName name="Kontraktor" localSheetId="3">#REF!</definedName>
    <definedName name="Kontraktor" localSheetId="4">#REF!</definedName>
    <definedName name="Kontraktor" localSheetId="5">#REF!</definedName>
    <definedName name="Kontraktor">#REF!</definedName>
    <definedName name="KREDIT_BANK" localSheetId="0">#REF!</definedName>
    <definedName name="KREDIT_BANK" localSheetId="1">#REF!</definedName>
    <definedName name="KREDIT_BANK" localSheetId="2">#REF!</definedName>
    <definedName name="KREDIT_BANK" localSheetId="3">#REF!</definedName>
    <definedName name="KREDIT_BANK" localSheetId="4">#REF!</definedName>
    <definedName name="KREDIT_BANK" localSheetId="5">#REF!</definedName>
    <definedName name="KREDIT_BANK">#REF!</definedName>
    <definedName name="Kriteria1" localSheetId="0">#REF!</definedName>
    <definedName name="Kriteria1" localSheetId="1">#REF!</definedName>
    <definedName name="Kriteria1" localSheetId="2">#REF!</definedName>
    <definedName name="Kriteria1" localSheetId="3">#REF!</definedName>
    <definedName name="Kriteria1" localSheetId="4">#REF!</definedName>
    <definedName name="Kriteria1" localSheetId="5">#REF!</definedName>
    <definedName name="Kriteria1">#REF!</definedName>
    <definedName name="Kriteria2" localSheetId="0">#REF!</definedName>
    <definedName name="Kriteria2" localSheetId="1">#REF!</definedName>
    <definedName name="Kriteria2" localSheetId="2">#REF!</definedName>
    <definedName name="Kriteria2" localSheetId="3">#REF!</definedName>
    <definedName name="Kriteria2" localSheetId="4">#REF!</definedName>
    <definedName name="Kriteria2" localSheetId="5">#REF!</definedName>
    <definedName name="Kriteria2">#REF!</definedName>
    <definedName name="kualitas" localSheetId="0">#REF!</definedName>
    <definedName name="kualitas" localSheetId="1">#REF!</definedName>
    <definedName name="kualitas" localSheetId="2">#REF!</definedName>
    <definedName name="kualitas" localSheetId="3">#REF!</definedName>
    <definedName name="kualitas" localSheetId="4">#REF!</definedName>
    <definedName name="kualitas" localSheetId="5">#REF!</definedName>
    <definedName name="kualitas">[15]Faktor_tan!$D$23:$E$26</definedName>
    <definedName name="LABA_RUGI" localSheetId="0">#REF!</definedName>
    <definedName name="LABA_RUGI" localSheetId="1">#REF!</definedName>
    <definedName name="LABA_RUGI" localSheetId="2">#REF!</definedName>
    <definedName name="LABA_RUGI" localSheetId="3">#REF!</definedName>
    <definedName name="LABA_RUGI" localSheetId="4">#REF!</definedName>
    <definedName name="LABA_RUGI" localSheetId="5">#REF!</definedName>
    <definedName name="LABA_RUGI">#REF!</definedName>
    <definedName name="lantai" localSheetId="0">#REF!</definedName>
    <definedName name="lantai" localSheetId="1">#REF!</definedName>
    <definedName name="lantai" localSheetId="2">#REF!</definedName>
    <definedName name="lantai" localSheetId="3">#REF!</definedName>
    <definedName name="lantai" localSheetId="4">#REF!</definedName>
    <definedName name="lantai" localSheetId="5">#REF!</definedName>
    <definedName name="lantai">[15]Fktr_bangunan!$C$20:$D$22</definedName>
    <definedName name="Last_Row" localSheetId="0">IF('Z1)'!Values_Entered,'Z1)'!Header_Row+'Z1)'!Number_of_Payments,'Z1)'!Header_Row)</definedName>
    <definedName name="Last_Row" localSheetId="1">IF('Z2'!Values_Entered,'Z2'!Header_Row+'Z2'!Number_of_Payments,'Z2'!Header_Row)</definedName>
    <definedName name="Last_Row" localSheetId="2">IF(Z2.!Values_Entered,Z2.!Header_Row+Z2.!Number_of_Payments,Z2.!Header_Row)</definedName>
    <definedName name="Last_Row" localSheetId="3">IF('Z3'!Values_Entered,'Z3'!Header_Row+'Z3'!Number_of_Payments,'Z3'!Header_Row)</definedName>
    <definedName name="Last_Row" localSheetId="4">IF('Z4'!Values_Entered,'Z4'!Header_Row+'Z4'!Number_of_Payments,'Z4'!Header_Row)</definedName>
    <definedName name="Last_Row" localSheetId="5">IF('Z5'!Values_Entered,'Z5'!Header_Row+'Z5'!Number_of_Payments,'Z5'!Header_Row)</definedName>
    <definedName name="Last_Row">#N/A</definedName>
    <definedName name="Last_Row_1">#N/A</definedName>
    <definedName name="Last_Row_10">#N/A</definedName>
    <definedName name="Last_Row_11">#N/A</definedName>
    <definedName name="Last_Row_12">#N/A</definedName>
    <definedName name="Last_Row_2">#N/A</definedName>
    <definedName name="Last_Row_6">#N/A</definedName>
    <definedName name="LEMBANG" localSheetId="0" hidden="1">[11]Gmd3!#REF!</definedName>
    <definedName name="LEMBANG" localSheetId="1" hidden="1">[11]Gmd3!#REF!</definedName>
    <definedName name="LEMBANG" localSheetId="2" hidden="1">[11]Gmd3!#REF!</definedName>
    <definedName name="LEMBANG" localSheetId="3" hidden="1">[11]Gmd3!#REF!</definedName>
    <definedName name="LEMBANG" localSheetId="4" hidden="1">[11]Gmd3!#REF!</definedName>
    <definedName name="LEMBANG" localSheetId="5" hidden="1">[11]Gmd3!#REF!</definedName>
    <definedName name="LEMBANG" hidden="1">[11]Gmd3!#REF!</definedName>
    <definedName name="LIHAT_CATATAN_A" localSheetId="0">[9]NERACA!#REF!</definedName>
    <definedName name="LIHAT_CATATAN_A" localSheetId="1">[9]NERACA!#REF!</definedName>
    <definedName name="LIHAT_CATATAN_A" localSheetId="2">[9]NERACA!#REF!</definedName>
    <definedName name="LIHAT_CATATAN_A" localSheetId="3">[9]NERACA!#REF!</definedName>
    <definedName name="LIHAT_CATATAN_A" localSheetId="4">[9]NERACA!#REF!</definedName>
    <definedName name="LIHAT_CATATAN_A" localSheetId="5">[9]NERACA!#REF!</definedName>
    <definedName name="LIHAT_CATATAN_A">[9]NERACA!#REF!</definedName>
    <definedName name="List_Kelas">OFFSET('[16] list'!$A$1,1,0,COUNTA('[16] list'!$A:$A)-1,1)</definedName>
    <definedName name="list_ruang">OFFSET('[17] ruang'!$D$1,1,0,COUNTA('[17] ruang'!$D:$D)-1,1)</definedName>
    <definedName name="Loan_Amount" localSheetId="0">#REF!</definedName>
    <definedName name="Loan_Amount" localSheetId="1">#REF!</definedName>
    <definedName name="Loan_Amount" localSheetId="2">#REF!</definedName>
    <definedName name="Loan_Amount" localSheetId="3">#REF!</definedName>
    <definedName name="Loan_Amount" localSheetId="4">#REF!</definedName>
    <definedName name="Loan_Amount" localSheetId="5">#REF!</definedName>
    <definedName name="Loan_Amount">#REF!</definedName>
    <definedName name="Loan_Start" localSheetId="0">#REF!</definedName>
    <definedName name="Loan_Start" localSheetId="1">#REF!</definedName>
    <definedName name="Loan_Start" localSheetId="2">#REF!</definedName>
    <definedName name="Loan_Start" localSheetId="3">#REF!</definedName>
    <definedName name="Loan_Start" localSheetId="4">#REF!</definedName>
    <definedName name="Loan_Start" localSheetId="5">#REF!</definedName>
    <definedName name="Loan_Start">#REF!</definedName>
    <definedName name="Loan_Years" localSheetId="0">#REF!</definedName>
    <definedName name="Loan_Years" localSheetId="1">#REF!</definedName>
    <definedName name="Loan_Years" localSheetId="2">#REF!</definedName>
    <definedName name="Loan_Years" localSheetId="3">#REF!</definedName>
    <definedName name="Loan_Years" localSheetId="4">#REF!</definedName>
    <definedName name="Loan_Years" localSheetId="5">#REF!</definedName>
    <definedName name="Loan_Years">#REF!</definedName>
    <definedName name="lokasi" localSheetId="0">#REF!</definedName>
    <definedName name="lokasi" localSheetId="1">#REF!</definedName>
    <definedName name="lokasi" localSheetId="2">#REF!</definedName>
    <definedName name="lokasi" localSheetId="3">#REF!</definedName>
    <definedName name="lokasi" localSheetId="4">#REF!</definedName>
    <definedName name="lokasi" localSheetId="5">#REF!</definedName>
    <definedName name="lokasi">[15]Faktor_tan!$D$18:$E$21</definedName>
    <definedName name="marketability" localSheetId="0">#REF!</definedName>
    <definedName name="marketability" localSheetId="1">#REF!</definedName>
    <definedName name="marketability" localSheetId="2">#REF!</definedName>
    <definedName name="marketability" localSheetId="3">#REF!</definedName>
    <definedName name="marketability" localSheetId="4">#REF!</definedName>
    <definedName name="marketability" localSheetId="5">#REF!</definedName>
    <definedName name="marketability">#REF!</definedName>
    <definedName name="MODAL_KERJA" localSheetId="0">#REF!</definedName>
    <definedName name="MODAL_KERJA" localSheetId="1">#REF!</definedName>
    <definedName name="MODAL_KERJA" localSheetId="2">#REF!</definedName>
    <definedName name="MODAL_KERJA" localSheetId="3">#REF!</definedName>
    <definedName name="MODAL_KERJA" localSheetId="4">#REF!</definedName>
    <definedName name="MODAL_KERJA" localSheetId="5">#REF!</definedName>
    <definedName name="MODAL_KERJA">#REF!</definedName>
    <definedName name="m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NAMES" localSheetId="0">#REF!</definedName>
    <definedName name="NAMES" localSheetId="1">#REF!</definedName>
    <definedName name="NAMES" localSheetId="2">#REF!</definedName>
    <definedName name="NAMES" localSheetId="3">#REF!</definedName>
    <definedName name="NAMES" localSheetId="4">#REF!</definedName>
    <definedName name="NAMES" localSheetId="5">#REF!</definedName>
    <definedName name="NAMES">#REF!</definedName>
    <definedName name="NERACA">#N/A</definedName>
    <definedName name="NERACA_2">NA()</definedName>
    <definedName name="NERACA_6">NA()</definedName>
    <definedName name="ni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Nilai" localSheetId="0">#REF!</definedName>
    <definedName name="Nilai" localSheetId="1">#REF!</definedName>
    <definedName name="Nilai" localSheetId="2">#REF!</definedName>
    <definedName name="Nilai" localSheetId="3">#REF!</definedName>
    <definedName name="Nilai" localSheetId="4">#REF!</definedName>
    <definedName name="Nilai" localSheetId="5">#REF!</definedName>
    <definedName name="Nilai">#REF!</definedName>
    <definedName name="NILAI_BUKU_AKTI" localSheetId="0">[9]NERACA!#REF!</definedName>
    <definedName name="NILAI_BUKU_AKTI" localSheetId="1">[9]NERACA!#REF!</definedName>
    <definedName name="NILAI_BUKU_AKTI" localSheetId="2">[9]NERACA!#REF!</definedName>
    <definedName name="NILAI_BUKU_AKTI" localSheetId="3">[9]NERACA!#REF!</definedName>
    <definedName name="NILAI_BUKU_AKTI" localSheetId="4">[9]NERACA!#REF!</definedName>
    <definedName name="NILAI_BUKU_AKTI" localSheetId="5">[9]NERACA!#REF!</definedName>
    <definedName name="NILAI_BUKU_AKTI">[9]NERACA!#REF!</definedName>
    <definedName name="Num_Pmt_Per_Year" localSheetId="0">#REF!</definedName>
    <definedName name="Num_Pmt_Per_Year" localSheetId="1">#REF!</definedName>
    <definedName name="Num_Pmt_Per_Year" localSheetId="2">#REF!</definedName>
    <definedName name="Num_Pmt_Per_Year" localSheetId="3">#REF!</definedName>
    <definedName name="Num_Pmt_Per_Year" localSheetId="4">#REF!</definedName>
    <definedName name="Num_Pmt_Per_Year" localSheetId="5">#REF!</definedName>
    <definedName name="Num_Pmt_Per_Year">#REF!</definedName>
    <definedName name="Number_of_Payments" localSheetId="0">MATCH(0.01,'Z1)'!End_Bal,-1)+1</definedName>
    <definedName name="Number_of_Payments" localSheetId="1">MATCH(0.01,'Z2'!End_Bal,-1)+1</definedName>
    <definedName name="Number_of_Payments" localSheetId="2">MATCH(0.01,Z2.!End_Bal,-1)+1</definedName>
    <definedName name="Number_of_Payments" localSheetId="3">MATCH(0.01,'Z3'!End_Bal,-1)+1</definedName>
    <definedName name="Number_of_Payments" localSheetId="4">MATCH(0.01,'Z4'!End_Bal,-1)+1</definedName>
    <definedName name="Number_of_Payments" localSheetId="5">MATCH(0.01,'Z5'!End_Bal,-1)+1</definedName>
    <definedName name="Number_of_Payments">MATCH(0.01,End_Bal,-1)+1</definedName>
    <definedName name="Number_of_Payments_1" localSheetId="0">MATCH(0.01,End_Bal_1,-1)+1</definedName>
    <definedName name="Number_of_Payments_1" localSheetId="1">MATCH(0.01,End_Bal_1,-1)+1</definedName>
    <definedName name="Number_of_Payments_1" localSheetId="2">MATCH(0.01,End_Bal_1,-1)+1</definedName>
    <definedName name="Number_of_Payments_1" localSheetId="3">MATCH(0.01,End_Bal_1,-1)+1</definedName>
    <definedName name="Number_of_Payments_1" localSheetId="4">MATCH(0.01,End_Bal_1,-1)+1</definedName>
    <definedName name="Number_of_Payments_1" localSheetId="5">MATCH(0.01,End_Bal_1,-1)+1</definedName>
    <definedName name="Number_of_Payments_1">MATCH(0.01,End_Bal_1,-1)+1</definedName>
    <definedName name="Number_of_Payments_10" localSheetId="0">MATCH(0.01,End_Bal_10,-1)+1</definedName>
    <definedName name="Number_of_Payments_10" localSheetId="1">MATCH(0.01,End_Bal_10,-1)+1</definedName>
    <definedName name="Number_of_Payments_10" localSheetId="2">MATCH(0.01,End_Bal_10,-1)+1</definedName>
    <definedName name="Number_of_Payments_10" localSheetId="3">MATCH(0.01,End_Bal_10,-1)+1</definedName>
    <definedName name="Number_of_Payments_10" localSheetId="4">MATCH(0.01,End_Bal_10,-1)+1</definedName>
    <definedName name="Number_of_Payments_10" localSheetId="5">MATCH(0.01,End_Bal_10,-1)+1</definedName>
    <definedName name="Number_of_Payments_10">MATCH(0.01,End_Bal_10,-1)+1</definedName>
    <definedName name="Number_of_Payments_11" localSheetId="0">MATCH(0.01,End_Bal_11,-1)+1</definedName>
    <definedName name="Number_of_Payments_11" localSheetId="1">MATCH(0.01,End_Bal_11,-1)+1</definedName>
    <definedName name="Number_of_Payments_11" localSheetId="2">MATCH(0.01,End_Bal_11,-1)+1</definedName>
    <definedName name="Number_of_Payments_11" localSheetId="3">MATCH(0.01,End_Bal_11,-1)+1</definedName>
    <definedName name="Number_of_Payments_11" localSheetId="4">MATCH(0.01,End_Bal_11,-1)+1</definedName>
    <definedName name="Number_of_Payments_11" localSheetId="5">MATCH(0.01,End_Bal_11,-1)+1</definedName>
    <definedName name="Number_of_Payments_11">MATCH(0.01,End_Bal_11,-1)+1</definedName>
    <definedName name="Number_of_Payments_12" localSheetId="0">MATCH(0.01,End_Bal_12,-1)+1</definedName>
    <definedName name="Number_of_Payments_12" localSheetId="1">MATCH(0.01,End_Bal_12,-1)+1</definedName>
    <definedName name="Number_of_Payments_12" localSheetId="2">MATCH(0.01,End_Bal_12,-1)+1</definedName>
    <definedName name="Number_of_Payments_12" localSheetId="3">MATCH(0.01,End_Bal_12,-1)+1</definedName>
    <definedName name="Number_of_Payments_12" localSheetId="4">MATCH(0.01,End_Bal_12,-1)+1</definedName>
    <definedName name="Number_of_Payments_12" localSheetId="5">MATCH(0.01,End_Bal_12,-1)+1</definedName>
    <definedName name="Number_of_Payments_12">MATCH(0.01,End_Bal_12,-1)+1</definedName>
    <definedName name="Number_of_Payments_2" localSheetId="0">MATCH(0.01,End_Bal_2,-1)+1</definedName>
    <definedName name="Number_of_Payments_2" localSheetId="1">MATCH(0.01,End_Bal_2,-1)+1</definedName>
    <definedName name="Number_of_Payments_2" localSheetId="2">MATCH(0.01,End_Bal_2,-1)+1</definedName>
    <definedName name="Number_of_Payments_2" localSheetId="3">MATCH(0.01,End_Bal_2,-1)+1</definedName>
    <definedName name="Number_of_Payments_2" localSheetId="4">MATCH(0.01,End_Bal_2,-1)+1</definedName>
    <definedName name="Number_of_Payments_2" localSheetId="5">MATCH(0.01,End_Bal_2,-1)+1</definedName>
    <definedName name="Number_of_Payments_2">MATCH(0.01,End_Bal_2,-1)+1</definedName>
    <definedName name="Number_of_Payments_6" localSheetId="0">MATCH(0.01,End_Bal_6,-1)+1</definedName>
    <definedName name="Number_of_Payments_6" localSheetId="1">MATCH(0.01,End_Bal_6,-1)+1</definedName>
    <definedName name="Number_of_Payments_6" localSheetId="2">MATCH(0.01,End_Bal_6,-1)+1</definedName>
    <definedName name="Number_of_Payments_6" localSheetId="3">MATCH(0.01,End_Bal_6,-1)+1</definedName>
    <definedName name="Number_of_Payments_6" localSheetId="4">MATCH(0.01,End_Bal_6,-1)+1</definedName>
    <definedName name="Number_of_Payments_6" localSheetId="5">MATCH(0.01,End_Bal_6,-1)+1</definedName>
    <definedName name="Number_of_Payments_6">MATCH(0.01,End_Bal_6,-1)+1</definedName>
    <definedName name="Open_Year">YEAR([18]Inputs!$F$86)</definedName>
    <definedName name="Pajak" localSheetId="0">#REF!</definedName>
    <definedName name="Pajak" localSheetId="1">#REF!</definedName>
    <definedName name="Pajak" localSheetId="2">#REF!</definedName>
    <definedName name="Pajak" localSheetId="3">#REF!</definedName>
    <definedName name="Pajak" localSheetId="4">#REF!</definedName>
    <definedName name="Pajak" localSheetId="5">#REF!</definedName>
    <definedName name="Pajak">#REF!</definedName>
    <definedName name="Pajak1" localSheetId="0">#REF!</definedName>
    <definedName name="Pajak1" localSheetId="1">#REF!</definedName>
    <definedName name="Pajak1" localSheetId="2">#REF!</definedName>
    <definedName name="Pajak1" localSheetId="3">#REF!</definedName>
    <definedName name="Pajak1" localSheetId="4">#REF!</definedName>
    <definedName name="Pajak1" localSheetId="5">#REF!</definedName>
    <definedName name="Pajak1">#REF!</definedName>
    <definedName name="PAY_BACK" localSheetId="0">#REF!</definedName>
    <definedName name="PAY_BACK" localSheetId="1">#REF!</definedName>
    <definedName name="PAY_BACK" localSheetId="2">#REF!</definedName>
    <definedName name="PAY_BACK" localSheetId="3">#REF!</definedName>
    <definedName name="PAY_BACK" localSheetId="4">#REF!</definedName>
    <definedName name="PAY_BACK" localSheetId="5">#REF!</definedName>
    <definedName name="PAY_BACK">#REF!</definedName>
    <definedName name="Pay_Date" localSheetId="0">#REF!</definedName>
    <definedName name="Pay_Date" localSheetId="1">#REF!</definedName>
    <definedName name="Pay_Date" localSheetId="2">#REF!</definedName>
    <definedName name="Pay_Date" localSheetId="3">#REF!</definedName>
    <definedName name="Pay_Date" localSheetId="4">#REF!</definedName>
    <definedName name="Pay_Date" localSheetId="5">#REF!</definedName>
    <definedName name="Pay_Date">#REF!</definedName>
    <definedName name="Pay_Num" localSheetId="0">#REF!</definedName>
    <definedName name="Pay_Num" localSheetId="1">#REF!</definedName>
    <definedName name="Pay_Num" localSheetId="2">#REF!</definedName>
    <definedName name="Pay_Num" localSheetId="3">#REF!</definedName>
    <definedName name="Pay_Num" localSheetId="4">#REF!</definedName>
    <definedName name="Pay_Num" localSheetId="5">#REF!</definedName>
    <definedName name="Pay_Num">#REF!</definedName>
    <definedName name="Payment_Date" localSheetId="0">DATE(YEAR('Z1)'!Loan_Start),MONTH('Z1)'!Loan_Start)+Payment_Number,DAY('Z1)'!Loan_Start))</definedName>
    <definedName name="Payment_Date" localSheetId="1">DATE(YEAR('Z2'!Loan_Start),MONTH('Z2'!Loan_Start)+Payment_Number,DAY('Z2'!Loan_Start))</definedName>
    <definedName name="Payment_Date" localSheetId="2">DATE(YEAR(Z2.!Loan_Start),MONTH(Z2.!Loan_Start)+Payment_Number,DAY(Z2.!Loan_Start))</definedName>
    <definedName name="Payment_Date" localSheetId="3">DATE(YEAR('Z3'!Loan_Start),MONTH('Z3'!Loan_Start)+Payment_Number,DAY('Z3'!Loan_Start))</definedName>
    <definedName name="Payment_Date" localSheetId="4">DATE(YEAR('Z4'!Loan_Start),MONTH('Z4'!Loan_Start)+Payment_Number,DAY('Z4'!Loan_Start))</definedName>
    <definedName name="Payment_Date" localSheetId="5">DATE(YEAR('Z5'!Loan_Start),MONTH('Z5'!Loan_Start)+Payment_Number,DAY('Z5'!Loan_Start))</definedName>
    <definedName name="Payment_Date">DATE(YEAR(Loan_Start),MONTH(Loan_Start)+Payment_Number,DAY(Loan_Start))</definedName>
    <definedName name="Payment_Date_1" localSheetId="0">DATE(YEAR(Loan_Start_1),MONTH(Loan_Start_1)+#NAME?,DAY(Loan_Start_1))</definedName>
    <definedName name="Payment_Date_1" localSheetId="1">DATE(YEAR(Loan_Start_1),MONTH(Loan_Start_1)+#NAME?,DAY(Loan_Start_1))</definedName>
    <definedName name="Payment_Date_1" localSheetId="2">DATE(YEAR(Loan_Start_1),MONTH(Loan_Start_1)+#NAME?,DAY(Loan_Start_1))</definedName>
    <definedName name="Payment_Date_1" localSheetId="3">DATE(YEAR(Loan_Start_1),MONTH(Loan_Start_1)+#NAME?,DAY(Loan_Start_1))</definedName>
    <definedName name="Payment_Date_1" localSheetId="4">DATE(YEAR(Loan_Start_1),MONTH(Loan_Start_1)+#NAME?,DAY(Loan_Start_1))</definedName>
    <definedName name="Payment_Date_1" localSheetId="5">DATE(YEAR(Loan_Start_1),MONTH(Loan_Start_1)+#NAME?,DAY(Loan_Start_1))</definedName>
    <definedName name="Payment_Date_1">DATE(YEAR(Loan_Start_1),MONTH(Loan_Start_1)+#NAME?,DAY(Loan_Start_1))</definedName>
    <definedName name="Payment_Date_10" localSheetId="0">DATE(YEAR(Loan_Start_10),MONTH(Loan_Start_10)+#NAME?,DAY(Loan_Start_10))</definedName>
    <definedName name="Payment_Date_10" localSheetId="1">DATE(YEAR(Loan_Start_10),MONTH(Loan_Start_10)+#NAME?,DAY(Loan_Start_10))</definedName>
    <definedName name="Payment_Date_10" localSheetId="2">DATE(YEAR(Loan_Start_10),MONTH(Loan_Start_10)+#NAME?,DAY(Loan_Start_10))</definedName>
    <definedName name="Payment_Date_10" localSheetId="3">DATE(YEAR(Loan_Start_10),MONTH(Loan_Start_10)+#NAME?,DAY(Loan_Start_10))</definedName>
    <definedName name="Payment_Date_10" localSheetId="4">DATE(YEAR(Loan_Start_10),MONTH(Loan_Start_10)+#NAME?,DAY(Loan_Start_10))</definedName>
    <definedName name="Payment_Date_10" localSheetId="5">DATE(YEAR(Loan_Start_10),MONTH(Loan_Start_10)+#NAME?,DAY(Loan_Start_10))</definedName>
    <definedName name="Payment_Date_10">DATE(YEAR(Loan_Start_10),MONTH(Loan_Start_10)+#NAME?,DAY(Loan_Start_10))</definedName>
    <definedName name="Payment_Date_11" localSheetId="0">DATE(YEAR(Loan_Start_11),MONTH(Loan_Start_11)+#NAME?,DAY(Loan_Start_11))</definedName>
    <definedName name="Payment_Date_11" localSheetId="1">DATE(YEAR(Loan_Start_11),MONTH(Loan_Start_11)+#NAME?,DAY(Loan_Start_11))</definedName>
    <definedName name="Payment_Date_11" localSheetId="2">DATE(YEAR(Loan_Start_11),MONTH(Loan_Start_11)+#NAME?,DAY(Loan_Start_11))</definedName>
    <definedName name="Payment_Date_11" localSheetId="3">DATE(YEAR(Loan_Start_11),MONTH(Loan_Start_11)+#NAME?,DAY(Loan_Start_11))</definedName>
    <definedName name="Payment_Date_11" localSheetId="4">DATE(YEAR(Loan_Start_11),MONTH(Loan_Start_11)+#NAME?,DAY(Loan_Start_11))</definedName>
    <definedName name="Payment_Date_11" localSheetId="5">DATE(YEAR(Loan_Start_11),MONTH(Loan_Start_11)+#NAME?,DAY(Loan_Start_11))</definedName>
    <definedName name="Payment_Date_11">DATE(YEAR(Loan_Start_11),MONTH(Loan_Start_11)+#NAME?,DAY(Loan_Start_11))</definedName>
    <definedName name="Payment_Date_12" localSheetId="0">DATE(YEAR(Loan_Start_12),MONTH(Loan_Start_12)+#NAME?,DAY(Loan_Start_12))</definedName>
    <definedName name="Payment_Date_12" localSheetId="1">DATE(YEAR(Loan_Start_12),MONTH(Loan_Start_12)+#NAME?,DAY(Loan_Start_12))</definedName>
    <definedName name="Payment_Date_12" localSheetId="2">DATE(YEAR(Loan_Start_12),MONTH(Loan_Start_12)+#NAME?,DAY(Loan_Start_12))</definedName>
    <definedName name="Payment_Date_12" localSheetId="3">DATE(YEAR(Loan_Start_12),MONTH(Loan_Start_12)+#NAME?,DAY(Loan_Start_12))</definedName>
    <definedName name="Payment_Date_12" localSheetId="4">DATE(YEAR(Loan_Start_12),MONTH(Loan_Start_12)+#NAME?,DAY(Loan_Start_12))</definedName>
    <definedName name="Payment_Date_12" localSheetId="5">DATE(YEAR(Loan_Start_12),MONTH(Loan_Start_12)+#NAME?,DAY(Loan_Start_12))</definedName>
    <definedName name="Payment_Date_12">DATE(YEAR(Loan_Start_12),MONTH(Loan_Start_12)+#NAME?,DAY(Loan_Start_12))</definedName>
    <definedName name="Payment_Date_2" localSheetId="0">DATE(YEAR(Loan_Start_2),MONTH(Loan_Start_2)+#NAME?,DAY(Loan_Start_2))</definedName>
    <definedName name="Payment_Date_2" localSheetId="1">DATE(YEAR(Loan_Start_2),MONTH(Loan_Start_2)+#NAME?,DAY(Loan_Start_2))</definedName>
    <definedName name="Payment_Date_2" localSheetId="2">DATE(YEAR(Loan_Start_2),MONTH(Loan_Start_2)+#NAME?,DAY(Loan_Start_2))</definedName>
    <definedName name="Payment_Date_2" localSheetId="3">DATE(YEAR(Loan_Start_2),MONTH(Loan_Start_2)+#NAME?,DAY(Loan_Start_2))</definedName>
    <definedName name="Payment_Date_2" localSheetId="4">DATE(YEAR(Loan_Start_2),MONTH(Loan_Start_2)+#NAME?,DAY(Loan_Start_2))</definedName>
    <definedName name="Payment_Date_2" localSheetId="5">DATE(YEAR(Loan_Start_2),MONTH(Loan_Start_2)+#NAME?,DAY(Loan_Start_2))</definedName>
    <definedName name="Payment_Date_2">DATE(YEAR(Loan_Start_2),MONTH(Loan_Start_2)+#NAME?,DAY(Loan_Start_2))</definedName>
    <definedName name="Payment_Date_6" localSheetId="0">DATE(YEAR(Loan_Start_6),MONTH(Loan_Start_6)+#NAME?,DAY(Loan_Start_6))</definedName>
    <definedName name="Payment_Date_6" localSheetId="1">DATE(YEAR(Loan_Start_6),MONTH(Loan_Start_6)+#NAME?,DAY(Loan_Start_6))</definedName>
    <definedName name="Payment_Date_6" localSheetId="2">DATE(YEAR(Loan_Start_6),MONTH(Loan_Start_6)+#NAME?,DAY(Loan_Start_6))</definedName>
    <definedName name="Payment_Date_6" localSheetId="3">DATE(YEAR(Loan_Start_6),MONTH(Loan_Start_6)+#NAME?,DAY(Loan_Start_6))</definedName>
    <definedName name="Payment_Date_6" localSheetId="4">DATE(YEAR(Loan_Start_6),MONTH(Loan_Start_6)+#NAME?,DAY(Loan_Start_6))</definedName>
    <definedName name="Payment_Date_6" localSheetId="5">DATE(YEAR(Loan_Start_6),MONTH(Loan_Start_6)+#NAME?,DAY(Loan_Start_6))</definedName>
    <definedName name="Payment_Date_6">DATE(YEAR(Loan_Start_6),MONTH(Loan_Start_6)+#NAME?,DAY(Loan_Start_6))</definedName>
    <definedName name="PEMBIAYAAN" localSheetId="0">#REF!</definedName>
    <definedName name="PEMBIAYAAN" localSheetId="1">#REF!</definedName>
    <definedName name="PEMBIAYAAN" localSheetId="2">#REF!</definedName>
    <definedName name="PEMBIAYAAN" localSheetId="3">#REF!</definedName>
    <definedName name="PEMBIAYAAN" localSheetId="4">#REF!</definedName>
    <definedName name="PEMBIAYAAN" localSheetId="5">#REF!</definedName>
    <definedName name="PEMBIAYAAN">#REF!</definedName>
    <definedName name="penawaran">[14]List!$B$51:$B$53</definedName>
    <definedName name="penawaran1">[13]List!$B$51:$B$53</definedName>
    <definedName name="Pendidikan" localSheetId="0">#REF!</definedName>
    <definedName name="Pendidikan" localSheetId="1">#REF!</definedName>
    <definedName name="Pendidikan" localSheetId="2">#REF!</definedName>
    <definedName name="Pendidikan" localSheetId="3">#REF!</definedName>
    <definedName name="Pendidikan" localSheetId="4">#REF!</definedName>
    <definedName name="Pendidikan" localSheetId="5">#REF!</definedName>
    <definedName name="Pendidikan">#REF!</definedName>
    <definedName name="PENJUALAN">#N/A</definedName>
    <definedName name="PENJUALAN_2">NA()</definedName>
    <definedName name="PENJUALAN_6">NA()</definedName>
    <definedName name="PENYUSUTAN">#N/A</definedName>
    <definedName name="PENYUSUTAN_2">NA()</definedName>
    <definedName name="PENYUSUTAN_6">NA()</definedName>
    <definedName name="PER_31_DESEMBER" localSheetId="0">[9]NERACA!#REF!</definedName>
    <definedName name="PER_31_DESEMBER" localSheetId="1">[9]NERACA!#REF!</definedName>
    <definedName name="PER_31_DESEMBER" localSheetId="2">[9]NERACA!#REF!</definedName>
    <definedName name="PER_31_DESEMBER" localSheetId="3">[9]NERACA!#REF!</definedName>
    <definedName name="PER_31_DESEMBER" localSheetId="4">[9]NERACA!#REF!</definedName>
    <definedName name="PER_31_DESEMBER" localSheetId="5">[9]NERACA!#REF!</definedName>
    <definedName name="PER_31_DESEMBER">[9]NERACA!#REF!</definedName>
    <definedName name="PERSEDIAAN" localSheetId="0">[9]NERACA!#REF!</definedName>
    <definedName name="PERSEDIAAN" localSheetId="1">[9]NERACA!#REF!</definedName>
    <definedName name="PERSEDIAAN" localSheetId="2">[9]NERACA!#REF!</definedName>
    <definedName name="PERSEDIAAN" localSheetId="3">[9]NERACA!#REF!</definedName>
    <definedName name="PERSEDIAAN" localSheetId="4">[9]NERACA!#REF!</definedName>
    <definedName name="PERSEDIAAN" localSheetId="5">[9]NERACA!#REF!</definedName>
    <definedName name="PERSEDIAAN">[9]NERACA!#REF!</definedName>
    <definedName name="Piutang" localSheetId="0">[9]NERACA!#REF!</definedName>
    <definedName name="Piutang" localSheetId="1">[9]NERACA!#REF!</definedName>
    <definedName name="Piutang" localSheetId="2">[9]NERACA!#REF!</definedName>
    <definedName name="Piutang" localSheetId="3">[9]NERACA!#REF!</definedName>
    <definedName name="Piutang" localSheetId="4">[9]NERACA!#REF!</definedName>
    <definedName name="Piutang" localSheetId="5">[9]NERACA!#REF!</definedName>
    <definedName name="Piutang">[9]NERACA!#REF!</definedName>
    <definedName name="PIUTANG_LAIN_LA" localSheetId="0">[9]NERACA!#REF!</definedName>
    <definedName name="PIUTANG_LAIN_LA" localSheetId="1">[9]NERACA!#REF!</definedName>
    <definedName name="PIUTANG_LAIN_LA" localSheetId="2">[9]NERACA!#REF!</definedName>
    <definedName name="PIUTANG_LAIN_LA" localSheetId="3">[9]NERACA!#REF!</definedName>
    <definedName name="PIUTANG_LAIN_LA" localSheetId="4">[9]NERACA!#REF!</definedName>
    <definedName name="PIUTANG_LAIN_LA" localSheetId="5">[9]NERACA!#REF!</definedName>
    <definedName name="PIUTANG_LAIN_LA">[9]NERACA!#REF!</definedName>
    <definedName name="PIUTANG_USAHA" localSheetId="0">[9]NERACA!#REF!</definedName>
    <definedName name="PIUTANG_USAHA" localSheetId="1">[9]NERACA!#REF!</definedName>
    <definedName name="PIUTANG_USAHA" localSheetId="2">[9]NERACA!#REF!</definedName>
    <definedName name="PIUTANG_USAHA" localSheetId="3">[9]NERACA!#REF!</definedName>
    <definedName name="PIUTANG_USAHA" localSheetId="4">[9]NERACA!#REF!</definedName>
    <definedName name="PIUTANG_USAHA" localSheetId="5">[9]NERACA!#REF!</definedName>
    <definedName name="PIUTANG_USAHA">[9]NERACA!#REF!</definedName>
    <definedName name="Pos_Jaga" localSheetId="0">#REF!</definedName>
    <definedName name="Pos_Jaga" localSheetId="1">#REF!</definedName>
    <definedName name="Pos_Jaga" localSheetId="2">#REF!</definedName>
    <definedName name="Pos_Jaga" localSheetId="3">#REF!</definedName>
    <definedName name="Pos_Jaga" localSheetId="4">#REF!</definedName>
    <definedName name="Pos_Jaga" localSheetId="5">#REF!</definedName>
    <definedName name="Pos_Jaga">#REF!</definedName>
    <definedName name="pot_11">NA()</definedName>
    <definedName name="pot_12">NA()</definedName>
    <definedName name="Princ" localSheetId="0">#REF!</definedName>
    <definedName name="Princ" localSheetId="1">#REF!</definedName>
    <definedName name="Princ" localSheetId="2">#REF!</definedName>
    <definedName name="Princ" localSheetId="3">#REF!</definedName>
    <definedName name="Princ" localSheetId="4">#REF!</definedName>
    <definedName name="Princ" localSheetId="5">#REF!</definedName>
    <definedName name="Princ">#REF!</definedName>
    <definedName name="_xlnm.Print_Area" localSheetId="8">'KERTAJATI  2017'!$A$1:$AV$230</definedName>
    <definedName name="_xlnm.Print_Area" localSheetId="10">KERTASARI!$A$1:$AV$214</definedName>
    <definedName name="_xlnm.Print_Area" localSheetId="7">'SUKAMULYA GABUNG'!$A$6:$AU$1721</definedName>
    <definedName name="_xlnm.Print_Area" localSheetId="0">'Z1)'!$A$1:$F$94</definedName>
    <definedName name="_xlnm.Print_Area" localSheetId="1">'Z2'!$A$1:$F$94</definedName>
    <definedName name="_xlnm.Print_Area" localSheetId="2">Z2.!$A$1:$F$94</definedName>
    <definedName name="_xlnm.Print_Area" localSheetId="3">'Z3'!$A$1:$F$94</definedName>
    <definedName name="_xlnm.Print_Area" localSheetId="4">'Z4'!$A$1:$F$94</definedName>
    <definedName name="_xlnm.Print_Area" localSheetId="5">'Z5'!$A$1:$F$94</definedName>
    <definedName name="_xlnm.Print_Area">#REF!</definedName>
    <definedName name="Print_Area_Reset" localSheetId="0">OFFSET('Z1)'!Full_Print,0,0,'Z1)'!Last_Row)</definedName>
    <definedName name="Print_Area_Reset" localSheetId="1">OFFSET('Z2'!Full_Print,0,0,'Z2'!Last_Row)</definedName>
    <definedName name="Print_Area_Reset" localSheetId="2">OFFSET(Z2.!Full_Print,0,0,Z2.!Last_Row)</definedName>
    <definedName name="Print_Area_Reset" localSheetId="3">OFFSET('Z3'!Full_Print,0,0,'Z3'!Last_Row)</definedName>
    <definedName name="Print_Area_Reset" localSheetId="4">OFFSET('Z4'!Full_Print,0,0,'Z4'!Last_Row)</definedName>
    <definedName name="Print_Area_Reset" localSheetId="5">OFFSET('Z5'!Full_Print,0,0,'Z5'!Last_Row)</definedName>
    <definedName name="Print_Area_Reset">OFFSET(Full_Print,0,0,Last_Row)</definedName>
    <definedName name="Print_Area_Reset_1" localSheetId="0">OFFSET(Full_Print_1,0,0,[0]!Last_Row_1)</definedName>
    <definedName name="Print_Area_Reset_1" localSheetId="1">OFFSET(Full_Print_1,0,0,[0]!Last_Row_1)</definedName>
    <definedName name="Print_Area_Reset_1" localSheetId="2">OFFSET(Full_Print_1,0,0,[0]!Last_Row_1)</definedName>
    <definedName name="Print_Area_Reset_1" localSheetId="3">OFFSET(Full_Print_1,0,0,[0]!Last_Row_1)</definedName>
    <definedName name="Print_Area_Reset_1" localSheetId="4">OFFSET(Full_Print_1,0,0,[0]!Last_Row_1)</definedName>
    <definedName name="Print_Area_Reset_1" localSheetId="5">OFFSET(Full_Print_1,0,0,[0]!Last_Row_1)</definedName>
    <definedName name="Print_Area_Reset_1">OFFSET(Full_Print_1,0,0,Last_Row_1)</definedName>
    <definedName name="Print_Area_Reset_10" localSheetId="0">OFFSET(Full_Print_10,0,0,[0]!Last_Row_10)</definedName>
    <definedName name="Print_Area_Reset_10" localSheetId="1">OFFSET(Full_Print_10,0,0,[0]!Last_Row_10)</definedName>
    <definedName name="Print_Area_Reset_10" localSheetId="2">OFFSET(Full_Print_10,0,0,[0]!Last_Row_10)</definedName>
    <definedName name="Print_Area_Reset_10" localSheetId="3">OFFSET(Full_Print_10,0,0,[0]!Last_Row_10)</definedName>
    <definedName name="Print_Area_Reset_10" localSheetId="4">OFFSET(Full_Print_10,0,0,[0]!Last_Row_10)</definedName>
    <definedName name="Print_Area_Reset_10" localSheetId="5">OFFSET(Full_Print_10,0,0,[0]!Last_Row_10)</definedName>
    <definedName name="Print_Area_Reset_10">OFFSET(Full_Print_10,0,0,Last_Row_10)</definedName>
    <definedName name="Print_Area_Reset_11" localSheetId="0">OFFSET(Full_Print_11,0,0,[0]!Last_Row_11)</definedName>
    <definedName name="Print_Area_Reset_11" localSheetId="1">OFFSET(Full_Print_11,0,0,[0]!Last_Row_11)</definedName>
    <definedName name="Print_Area_Reset_11" localSheetId="2">OFFSET(Full_Print_11,0,0,[0]!Last_Row_11)</definedName>
    <definedName name="Print_Area_Reset_11" localSheetId="3">OFFSET(Full_Print_11,0,0,[0]!Last_Row_11)</definedName>
    <definedName name="Print_Area_Reset_11" localSheetId="4">OFFSET(Full_Print_11,0,0,[0]!Last_Row_11)</definedName>
    <definedName name="Print_Area_Reset_11" localSheetId="5">OFFSET(Full_Print_11,0,0,[0]!Last_Row_11)</definedName>
    <definedName name="Print_Area_Reset_11">OFFSET(Full_Print_11,0,0,Last_Row_11)</definedName>
    <definedName name="Print_Area_Reset_12" localSheetId="0">OFFSET(Full_Print_12,0,0,[0]!Last_Row_12)</definedName>
    <definedName name="Print_Area_Reset_12" localSheetId="1">OFFSET(Full_Print_12,0,0,[0]!Last_Row_12)</definedName>
    <definedName name="Print_Area_Reset_12" localSheetId="2">OFFSET(Full_Print_12,0,0,[0]!Last_Row_12)</definedName>
    <definedName name="Print_Area_Reset_12" localSheetId="3">OFFSET(Full_Print_12,0,0,[0]!Last_Row_12)</definedName>
    <definedName name="Print_Area_Reset_12" localSheetId="4">OFFSET(Full_Print_12,0,0,[0]!Last_Row_12)</definedName>
    <definedName name="Print_Area_Reset_12" localSheetId="5">OFFSET(Full_Print_12,0,0,[0]!Last_Row_12)</definedName>
    <definedName name="Print_Area_Reset_12">OFFSET(Full_Print_12,0,0,Last_Row_12)</definedName>
    <definedName name="Print_Area_Reset_2" localSheetId="0">OFFSET(Full_Print_2,0,0,[0]!Last_Row_2)</definedName>
    <definedName name="Print_Area_Reset_2" localSheetId="1">OFFSET(Full_Print_2,0,0,[0]!Last_Row_2)</definedName>
    <definedName name="Print_Area_Reset_2" localSheetId="2">OFFSET(Full_Print_2,0,0,[0]!Last_Row_2)</definedName>
    <definedName name="Print_Area_Reset_2" localSheetId="3">OFFSET(Full_Print_2,0,0,[0]!Last_Row_2)</definedName>
    <definedName name="Print_Area_Reset_2" localSheetId="4">OFFSET(Full_Print_2,0,0,[0]!Last_Row_2)</definedName>
    <definedName name="Print_Area_Reset_2" localSheetId="5">OFFSET(Full_Print_2,0,0,[0]!Last_Row_2)</definedName>
    <definedName name="Print_Area_Reset_2">OFFSET(Full_Print_2,0,0,Last_Row_2)</definedName>
    <definedName name="Print_Area_Reset_6" localSheetId="0">OFFSET(Full_Print_6,0,0,[0]!Last_Row_6)</definedName>
    <definedName name="Print_Area_Reset_6" localSheetId="1">OFFSET(Full_Print_6,0,0,[0]!Last_Row_6)</definedName>
    <definedName name="Print_Area_Reset_6" localSheetId="2">OFFSET(Full_Print_6,0,0,[0]!Last_Row_6)</definedName>
    <definedName name="Print_Area_Reset_6" localSheetId="3">OFFSET(Full_Print_6,0,0,[0]!Last_Row_6)</definedName>
    <definedName name="Print_Area_Reset_6" localSheetId="4">OFFSET(Full_Print_6,0,0,[0]!Last_Row_6)</definedName>
    <definedName name="Print_Area_Reset_6" localSheetId="5">OFFSET(Full_Print_6,0,0,[0]!Last_Row_6)</definedName>
    <definedName name="Print_Area_Reset_6">OFFSET(Full_Print_6,0,0,Last_Row_6)</definedName>
    <definedName name="_xlnm.Print_Titles" localSheetId="10">KERTASARI!$11:$14</definedName>
    <definedName name="_xlnm.Print_Titles" localSheetId="11">SUKAKERTA!$11:$14</definedName>
    <definedName name="_xlnm.Print_Titles" localSheetId="7">'SUKAMULYA GABUNG'!$6:$14</definedName>
    <definedName name="Produk" localSheetId="0">#REF!</definedName>
    <definedName name="Produk" localSheetId="1">#REF!</definedName>
    <definedName name="Produk" localSheetId="2">#REF!</definedName>
    <definedName name="Produk" localSheetId="3">#REF!</definedName>
    <definedName name="Produk" localSheetId="4">#REF!</definedName>
    <definedName name="Produk" localSheetId="5">#REF!</definedName>
    <definedName name="Produk">#REF!</definedName>
    <definedName name="propinsi">[19]List!$A$61:$A$87</definedName>
    <definedName name="PT_LIMAS_LESTAR" localSheetId="0">[9]NERACA!#REF!</definedName>
    <definedName name="PT_LIMAS_LESTAR" localSheetId="1">[9]NERACA!#REF!</definedName>
    <definedName name="PT_LIMAS_LESTAR" localSheetId="2">[9]NERACA!#REF!</definedName>
    <definedName name="PT_LIMAS_LESTAR" localSheetId="3">[9]NERACA!#REF!</definedName>
    <definedName name="PT_LIMAS_LESTAR" localSheetId="4">[9]NERACA!#REF!</definedName>
    <definedName name="PT_LIMAS_LESTAR" localSheetId="5">[9]NERACA!#REF!</definedName>
    <definedName name="PT_LIMAS_LESTAR">[9]NERACA!#REF!</definedName>
    <definedName name="q" localSheetId="0" hidden="1">#REF!</definedName>
    <definedName name="q" localSheetId="1" hidden="1">#REF!</definedName>
    <definedName name="q" localSheetId="2" hidden="1">#REF!</definedName>
    <definedName name="q" localSheetId="3" hidden="1">#REF!</definedName>
    <definedName name="q" localSheetId="4" hidden="1">#REF!</definedName>
    <definedName name="q" localSheetId="5" hidden="1">#REF!</definedName>
    <definedName name="q" hidden="1">#REF!</definedName>
    <definedName name="rangking">[14]List!$B$39:$B$49</definedName>
    <definedName name="rangking1">[13]List!$B$39:$B$49</definedName>
    <definedName name="RATE_OF_RETURN" localSheetId="0">#REF!</definedName>
    <definedName name="RATE_OF_RETURN" localSheetId="1">#REF!</definedName>
    <definedName name="RATE_OF_RETURN" localSheetId="2">#REF!</definedName>
    <definedName name="RATE_OF_RETURN" localSheetId="3">#REF!</definedName>
    <definedName name="RATE_OF_RETURN" localSheetId="4">#REF!</definedName>
    <definedName name="RATE_OF_RETURN" localSheetId="5">#REF!</definedName>
    <definedName name="RATE_OF_RETURN">#REF!</definedName>
    <definedName name="Resume_NP" localSheetId="0">#REF!</definedName>
    <definedName name="Resume_NP" localSheetId="1">#REF!</definedName>
    <definedName name="Resume_NP" localSheetId="2">#REF!</definedName>
    <definedName name="Resume_NP" localSheetId="3">#REF!</definedName>
    <definedName name="Resume_NP" localSheetId="4">#REF!</definedName>
    <definedName name="Resume_NP" localSheetId="5">#REF!</definedName>
    <definedName name="Resume_NP">#REF!</definedName>
    <definedName name="Row_Akhir">#N/A</definedName>
    <definedName name="Rsm_PERUMAHAN" localSheetId="0">#REF!</definedName>
    <definedName name="Rsm_PERUMAHAN" localSheetId="1">#REF!</definedName>
    <definedName name="Rsm_PERUMAHAN" localSheetId="2">#REF!</definedName>
    <definedName name="Rsm_PERUMAHAN" localSheetId="3">#REF!</definedName>
    <definedName name="Rsm_PERUMAHAN" localSheetId="4">#REF!</definedName>
    <definedName name="Rsm_PERUMAHAN" localSheetId="5">#REF!</definedName>
    <definedName name="Rsm_PERUMAHAN">#REF!</definedName>
    <definedName name="Saldo" localSheetId="0">#REF!</definedName>
    <definedName name="Saldo" localSheetId="1">#REF!</definedName>
    <definedName name="Saldo" localSheetId="2">#REF!</definedName>
    <definedName name="Saldo" localSheetId="3">#REF!</definedName>
    <definedName name="Saldo" localSheetId="4">#REF!</definedName>
    <definedName name="Saldo" localSheetId="5">#REF!</definedName>
    <definedName name="Saldo">#REF!</definedName>
    <definedName name="Sched_Pay" localSheetId="0">#REF!</definedName>
    <definedName name="Sched_Pay" localSheetId="1">#REF!</definedName>
    <definedName name="Sched_Pay" localSheetId="2">#REF!</definedName>
    <definedName name="Sched_Pay" localSheetId="3">#REF!</definedName>
    <definedName name="Sched_Pay" localSheetId="4">#REF!</definedName>
    <definedName name="Sched_Pay" localSheetId="5">#REF!</definedName>
    <definedName name="Sched_Pay">#REF!</definedName>
    <definedName name="Scheduled_Extra_Payments" localSheetId="0">#REF!</definedName>
    <definedName name="Scheduled_Extra_Payments" localSheetId="1">#REF!</definedName>
    <definedName name="Scheduled_Extra_Payments" localSheetId="2">#REF!</definedName>
    <definedName name="Scheduled_Extra_Payments" localSheetId="3">#REF!</definedName>
    <definedName name="Scheduled_Extra_Payments" localSheetId="4">#REF!</definedName>
    <definedName name="Scheduled_Extra_Payments" localSheetId="5">#REF!</definedName>
    <definedName name="Scheduled_Extra_Payments">#REF!</definedName>
    <definedName name="Scheduled_Interest_Rate" localSheetId="0">#REF!</definedName>
    <definedName name="Scheduled_Interest_Rate" localSheetId="1">#REF!</definedName>
    <definedName name="Scheduled_Interest_Rate" localSheetId="2">#REF!</definedName>
    <definedName name="Scheduled_Interest_Rate" localSheetId="3">#REF!</definedName>
    <definedName name="Scheduled_Interest_Rate" localSheetId="4">#REF!</definedName>
    <definedName name="Scheduled_Interest_Rate" localSheetId="5">#REF!</definedName>
    <definedName name="Scheduled_Interest_Rate">#REF!</definedName>
    <definedName name="Scheduled_Monthly_Payment" localSheetId="0">#REF!</definedName>
    <definedName name="Scheduled_Monthly_Payment" localSheetId="1">#REF!</definedName>
    <definedName name="Scheduled_Monthly_Payment" localSheetId="2">#REF!</definedName>
    <definedName name="Scheduled_Monthly_Payment" localSheetId="3">#REF!</definedName>
    <definedName name="Scheduled_Monthly_Payment" localSheetId="4">#REF!</definedName>
    <definedName name="Scheduled_Monthly_Payment" localSheetId="5">#REF!</definedName>
    <definedName name="Scheduled_Monthly_Payment">#REF!</definedName>
    <definedName name="sdfsff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Sertipikat">[14]List!$B$29:$B$37</definedName>
    <definedName name="sertipikat1">[13]List!$B$29:$B$37</definedName>
    <definedName name="Sub" localSheetId="0">#REF!</definedName>
    <definedName name="Sub" localSheetId="1">#REF!</definedName>
    <definedName name="Sub" localSheetId="2">#REF!</definedName>
    <definedName name="Sub" localSheetId="3">#REF!</definedName>
    <definedName name="Sub" localSheetId="4">#REF!</definedName>
    <definedName name="Sub" localSheetId="5">#REF!</definedName>
    <definedName name="Sub">#REF!</definedName>
    <definedName name="syhare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Tanah" localSheetId="0">#REF!</definedName>
    <definedName name="Tanah" localSheetId="1">#REF!</definedName>
    <definedName name="Tanah" localSheetId="2">#REF!</definedName>
    <definedName name="Tanah" localSheetId="3">#REF!</definedName>
    <definedName name="Tanah" localSheetId="4">#REF!</definedName>
    <definedName name="Tanah" localSheetId="5">#REF!</definedName>
    <definedName name="Tanah">#REF!</definedName>
    <definedName name="Tanah_" localSheetId="0">#REF!</definedName>
    <definedName name="Tanah_" localSheetId="1">#REF!</definedName>
    <definedName name="Tanah_" localSheetId="2">#REF!</definedName>
    <definedName name="Tanah_" localSheetId="3">#REF!</definedName>
    <definedName name="Tanah_" localSheetId="4">#REF!</definedName>
    <definedName name="Tanah_" localSheetId="5">#REF!</definedName>
    <definedName name="Tanah_">#REF!</definedName>
    <definedName name="tanah1">[14]List!$B$17:$B$19</definedName>
    <definedName name="tanah2">[14]List!$C$17:$C$20</definedName>
    <definedName name="tanaha">[13]List!$B$17:$B$19</definedName>
    <definedName name="tanahb">[13]List!$C$17:$C$20</definedName>
    <definedName name="TaxTV">10%</definedName>
    <definedName name="TaxXL">5%</definedName>
    <definedName name="Tempo" localSheetId="0">#REF!</definedName>
    <definedName name="Tempo" localSheetId="1">#REF!</definedName>
    <definedName name="Tempo" localSheetId="2">#REF!</definedName>
    <definedName name="Tempo" localSheetId="3">#REF!</definedName>
    <definedName name="Tempo" localSheetId="4">#REF!</definedName>
    <definedName name="Tempo" localSheetId="5">#REF!</definedName>
    <definedName name="Tempo">#REF!</definedName>
    <definedName name="Total_Interest" localSheetId="0">#REF!</definedName>
    <definedName name="Total_Interest" localSheetId="1">#REF!</definedName>
    <definedName name="Total_Interest" localSheetId="2">#REF!</definedName>
    <definedName name="Total_Interest" localSheetId="3">#REF!</definedName>
    <definedName name="Total_Interest" localSheetId="4">#REF!</definedName>
    <definedName name="Total_Interest" localSheetId="5">#REF!</definedName>
    <definedName name="Total_Interest">#REF!</definedName>
    <definedName name="Total_Pay" localSheetId="0">#REF!</definedName>
    <definedName name="Total_Pay" localSheetId="1">#REF!</definedName>
    <definedName name="Total_Pay" localSheetId="2">#REF!</definedName>
    <definedName name="Total_Pay" localSheetId="3">#REF!</definedName>
    <definedName name="Total_Pay" localSheetId="4">#REF!</definedName>
    <definedName name="Total_Pay" localSheetId="5">#REF!</definedName>
    <definedName name="Total_Pay">#REF!</definedName>
    <definedName name="Total_Payment" localSheetId="0">Scheduled_Payment+Extra_Payment</definedName>
    <definedName name="Total_Payment" localSheetId="1">Scheduled_Payment+Extra_Payment</definedName>
    <definedName name="Total_Payment" localSheetId="2">Scheduled_Payment+Extra_Payment</definedName>
    <definedName name="Total_Payment" localSheetId="3">Scheduled_Payment+Extra_Payment</definedName>
    <definedName name="Total_Payment" localSheetId="4">Scheduled_Payment+Extra_Payment</definedName>
    <definedName name="Total_Payment" localSheetId="5">Scheduled_Payment+Extra_Payment</definedName>
    <definedName name="Total_Payment">Scheduled_Payment+Extra_Payment</definedName>
    <definedName name="TV" localSheetId="0">#REF!</definedName>
    <definedName name="TV" localSheetId="1">#REF!</definedName>
    <definedName name="TV" localSheetId="2">#REF!</definedName>
    <definedName name="TV" localSheetId="3">#REF!</definedName>
    <definedName name="TV" localSheetId="4">#REF!</definedName>
    <definedName name="TV" localSheetId="5">#REF!</definedName>
    <definedName name="TV">#REF!</definedName>
    <definedName name="UANG_MUKA_PEMBE" localSheetId="0">[9]NERACA!#REF!</definedName>
    <definedName name="UANG_MUKA_PEMBE" localSheetId="1">[9]NERACA!#REF!</definedName>
    <definedName name="UANG_MUKA_PEMBE" localSheetId="2">[9]NERACA!#REF!</definedName>
    <definedName name="UANG_MUKA_PEMBE" localSheetId="3">[9]NERACA!#REF!</definedName>
    <definedName name="UANG_MUKA_PEMBE" localSheetId="4">[9]NERACA!#REF!</definedName>
    <definedName name="UANG_MUKA_PEMBE" localSheetId="5">[9]NERACA!#REF!</definedName>
    <definedName name="UANG_MUKA_PEMBE">[9]NERACA!#REF!</definedName>
    <definedName name="Umur" localSheetId="0">#REF!</definedName>
    <definedName name="Umur" localSheetId="1">#REF!</definedName>
    <definedName name="Umur" localSheetId="2">#REF!</definedName>
    <definedName name="Umur" localSheetId="3">#REF!</definedName>
    <definedName name="Umur" localSheetId="4">#REF!</definedName>
    <definedName name="Umur" localSheetId="5">#REF!</definedName>
    <definedName name="Umur">[15]Fktr_bangunan!$C$24:$D$26</definedName>
    <definedName name="uu" hidden="1">{"Valuation",#N/A,TRUE,"Valuation Summary";"Financial Statements",#N/A,TRUE,"Results";"Results",#N/A,TRUE,"Results";"Ratios",#N/A,TRUE,"Results";"P2 Summary",#N/A,TRUE,"Results"}</definedName>
    <definedName name="Values_Entered" localSheetId="0">IF('Z1)'!Loan_Amount*'Z1)'!Interest_Rate*'Z1)'!Loan_Years*'Z1)'!Loan_Start&gt;0,1,0)</definedName>
    <definedName name="Values_Entered" localSheetId="1">IF('Z2'!Loan_Amount*'Z2'!Interest_Rate*'Z2'!Loan_Years*'Z2'!Loan_Start&gt;0,1,0)</definedName>
    <definedName name="Values_Entered" localSheetId="2">IF(Z2.!Loan_Amount*Z2.!Interest_Rate*Z2.!Loan_Years*Z2.!Loan_Start&gt;0,1,0)</definedName>
    <definedName name="Values_Entered" localSheetId="3">IF('Z3'!Loan_Amount*'Z3'!Interest_Rate*'Z3'!Loan_Years*'Z3'!Loan_Start&gt;0,1,0)</definedName>
    <definedName name="Values_Entered" localSheetId="4">IF('Z4'!Loan_Amount*'Z4'!Interest_Rate*'Z4'!Loan_Years*'Z4'!Loan_Start&gt;0,1,0)</definedName>
    <definedName name="Values_Entered" localSheetId="5">IF('Z5'!Loan_Amount*'Z5'!Interest_Rate*'Z5'!Loan_Years*'Z5'!Loan_Start&gt;0,1,0)</definedName>
    <definedName name="Values_Entered">IF(Loan_Amount*Interest_Rate*Loan_Years*Loan_Start&gt;0,1,0)</definedName>
    <definedName name="Values_Entered_1" localSheetId="0">IF(Loan_Amount_1*Interest_Rate_1*Loan_Years_1*Loan_Start_1&gt;0,1,0)</definedName>
    <definedName name="Values_Entered_1" localSheetId="1">IF(Loan_Amount_1*Interest_Rate_1*Loan_Years_1*Loan_Start_1&gt;0,1,0)</definedName>
    <definedName name="Values_Entered_1" localSheetId="2">IF(Loan_Amount_1*Interest_Rate_1*Loan_Years_1*Loan_Start_1&gt;0,1,0)</definedName>
    <definedName name="Values_Entered_1" localSheetId="3">IF(Loan_Amount_1*Interest_Rate_1*Loan_Years_1*Loan_Start_1&gt;0,1,0)</definedName>
    <definedName name="Values_Entered_1" localSheetId="4">IF(Loan_Amount_1*Interest_Rate_1*Loan_Years_1*Loan_Start_1&gt;0,1,0)</definedName>
    <definedName name="Values_Entered_1" localSheetId="5">IF(Loan_Amount_1*Interest_Rate_1*Loan_Years_1*Loan_Start_1&gt;0,1,0)</definedName>
    <definedName name="Values_Entered_1">IF(Loan_Amount_1*Interest_Rate_1*Loan_Years_1*Loan_Start_1&gt;0,1,0)</definedName>
    <definedName name="Values_Entered_10" localSheetId="0">IF(Loan_Amount_10*Interest_Rate_10*Loan_Years_10*Loan_Start_10&gt;0,1,0)</definedName>
    <definedName name="Values_Entered_10" localSheetId="1">IF(Loan_Amount_10*Interest_Rate_10*Loan_Years_10*Loan_Start_10&gt;0,1,0)</definedName>
    <definedName name="Values_Entered_10" localSheetId="2">IF(Loan_Amount_10*Interest_Rate_10*Loan_Years_10*Loan_Start_10&gt;0,1,0)</definedName>
    <definedName name="Values_Entered_10" localSheetId="3">IF(Loan_Amount_10*Interest_Rate_10*Loan_Years_10*Loan_Start_10&gt;0,1,0)</definedName>
    <definedName name="Values_Entered_10" localSheetId="4">IF(Loan_Amount_10*Interest_Rate_10*Loan_Years_10*Loan_Start_10&gt;0,1,0)</definedName>
    <definedName name="Values_Entered_10" localSheetId="5">IF(Loan_Amount_10*Interest_Rate_10*Loan_Years_10*Loan_Start_10&gt;0,1,0)</definedName>
    <definedName name="Values_Entered_10">IF(Loan_Amount_10*Interest_Rate_10*Loan_Years_10*Loan_Start_10&gt;0,1,0)</definedName>
    <definedName name="Values_Entered_11" localSheetId="0">IF(Loan_Amount_11*Interest_Rate_11*Loan_Years_11*Loan_Start_11&gt;0,1,0)</definedName>
    <definedName name="Values_Entered_11" localSheetId="1">IF(Loan_Amount_11*Interest_Rate_11*Loan_Years_11*Loan_Start_11&gt;0,1,0)</definedName>
    <definedName name="Values_Entered_11" localSheetId="2">IF(Loan_Amount_11*Interest_Rate_11*Loan_Years_11*Loan_Start_11&gt;0,1,0)</definedName>
    <definedName name="Values_Entered_11" localSheetId="3">IF(Loan_Amount_11*Interest_Rate_11*Loan_Years_11*Loan_Start_11&gt;0,1,0)</definedName>
    <definedName name="Values_Entered_11" localSheetId="4">IF(Loan_Amount_11*Interest_Rate_11*Loan_Years_11*Loan_Start_11&gt;0,1,0)</definedName>
    <definedName name="Values_Entered_11" localSheetId="5">IF(Loan_Amount_11*Interest_Rate_11*Loan_Years_11*Loan_Start_11&gt;0,1,0)</definedName>
    <definedName name="Values_Entered_11">IF(Loan_Amount_11*Interest_Rate_11*Loan_Years_11*Loan_Start_11&gt;0,1,0)</definedName>
    <definedName name="Values_Entered_12" localSheetId="0">IF(Loan_Amount_12*Interest_Rate_12*Loan_Years_12*Loan_Start_12&gt;0,1,0)</definedName>
    <definedName name="Values_Entered_12" localSheetId="1">IF(Loan_Amount_12*Interest_Rate_12*Loan_Years_12*Loan_Start_12&gt;0,1,0)</definedName>
    <definedName name="Values_Entered_12" localSheetId="2">IF(Loan_Amount_12*Interest_Rate_12*Loan_Years_12*Loan_Start_12&gt;0,1,0)</definedName>
    <definedName name="Values_Entered_12" localSheetId="3">IF(Loan_Amount_12*Interest_Rate_12*Loan_Years_12*Loan_Start_12&gt;0,1,0)</definedName>
    <definedName name="Values_Entered_12" localSheetId="4">IF(Loan_Amount_12*Interest_Rate_12*Loan_Years_12*Loan_Start_12&gt;0,1,0)</definedName>
    <definedName name="Values_Entered_12" localSheetId="5">IF(Loan_Amount_12*Interest_Rate_12*Loan_Years_12*Loan_Start_12&gt;0,1,0)</definedName>
    <definedName name="Values_Entered_12">IF(Loan_Amount_12*Interest_Rate_12*Loan_Years_12*Loan_Start_12&gt;0,1,0)</definedName>
    <definedName name="Values_Entered_2" localSheetId="0">IF(Loan_Amount_2*Interest_Rate_2*Loan_Years_2*Loan_Start_2&gt;0,1,0)</definedName>
    <definedName name="Values_Entered_2" localSheetId="1">IF(Loan_Amount_2*Interest_Rate_2*Loan_Years_2*Loan_Start_2&gt;0,1,0)</definedName>
    <definedName name="Values_Entered_2" localSheetId="2">IF(Loan_Amount_2*Interest_Rate_2*Loan_Years_2*Loan_Start_2&gt;0,1,0)</definedName>
    <definedName name="Values_Entered_2" localSheetId="3">IF(Loan_Amount_2*Interest_Rate_2*Loan_Years_2*Loan_Start_2&gt;0,1,0)</definedName>
    <definedName name="Values_Entered_2" localSheetId="4">IF(Loan_Amount_2*Interest_Rate_2*Loan_Years_2*Loan_Start_2&gt;0,1,0)</definedName>
    <definedName name="Values_Entered_2" localSheetId="5">IF(Loan_Amount_2*Interest_Rate_2*Loan_Years_2*Loan_Start_2&gt;0,1,0)</definedName>
    <definedName name="Values_Entered_2">IF(Loan_Amount_2*Interest_Rate_2*Loan_Years_2*Loan_Start_2&gt;0,1,0)</definedName>
    <definedName name="Values_Entered_6" localSheetId="0">IF(Loan_Amount_6*Interest_Rate_6*Loan_Years_6*Loan_Start_6&gt;0,1,0)</definedName>
    <definedName name="Values_Entered_6" localSheetId="1">IF(Loan_Amount_6*Interest_Rate_6*Loan_Years_6*Loan_Start_6&gt;0,1,0)</definedName>
    <definedName name="Values_Entered_6" localSheetId="2">IF(Loan_Amount_6*Interest_Rate_6*Loan_Years_6*Loan_Start_6&gt;0,1,0)</definedName>
    <definedName name="Values_Entered_6" localSheetId="3">IF(Loan_Amount_6*Interest_Rate_6*Loan_Years_6*Loan_Start_6&gt;0,1,0)</definedName>
    <definedName name="Values_Entered_6" localSheetId="4">IF(Loan_Amount_6*Interest_Rate_6*Loan_Years_6*Loan_Start_6&gt;0,1,0)</definedName>
    <definedName name="Values_Entered_6" localSheetId="5">IF(Loan_Amount_6*Interest_Rate_6*Loan_Years_6*Loan_Start_6&gt;0,1,0)</definedName>
    <definedName name="Values_Entered_6">IF(Loan_Amount_6*Interest_Rate_6*Loan_Years_6*Loan_Start_6&gt;0,1,0)</definedName>
    <definedName name="Volume" localSheetId="0">#REF!</definedName>
    <definedName name="Volume" localSheetId="1">#REF!</definedName>
    <definedName name="Volume" localSheetId="2">#REF!</definedName>
    <definedName name="Volume" localSheetId="3">#REF!</definedName>
    <definedName name="Volume" localSheetId="4">#REF!</definedName>
    <definedName name="Volume" localSheetId="5">#REF!</definedName>
    <definedName name="Volume">#REF!</definedName>
    <definedName name="wer" hidden="1">{"Valuation",#N/A,TRUE,"Valuation Summary";"Financial Statements",#N/A,TRUE,"Results";"Results",#N/A,TRUE,"Results";"Ratios",#N/A,TRUE,"Results";"P2 Summary",#N/A,TRUE,"Results"}</definedName>
    <definedName name="wilayah" localSheetId="0">#REF!</definedName>
    <definedName name="wilayah" localSheetId="1">#REF!</definedName>
    <definedName name="wilayah" localSheetId="2">#REF!</definedName>
    <definedName name="wilayah" localSheetId="3">#REF!</definedName>
    <definedName name="wilayah" localSheetId="4">#REF!</definedName>
    <definedName name="wilayah" localSheetId="5">#REF!</definedName>
    <definedName name="wilayah">[15]Faktor_tan!$D$13:$E$16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  <definedName name="wrn.Valuation._.LB." hidden="1">{"Assumptions",#N/A,FALSE,"ASSUMPTION";"Cash Minimum",#N/A,FALSE,"ASSUMPTION"}</definedName>
    <definedName name="XXX" hidden="1">{"Valuation",#N/A,TRUE,"Valuation Summary";"Financial Statements",#N/A,TRUE,"Results";"Results",#N/A,TRUE,"Results";"Ratios",#N/A,TRUE,"Results";"P2 Summary",#N/A,TRUE,"Results"}</definedName>
    <definedName name="zoning">[14]List!$B$55:$B$59</definedName>
    <definedName name="zoning1">[13]List!$B$55:$B$59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48" i="1"/>
  <c r="AG61"/>
  <c r="AF1716"/>
  <c r="AF1009"/>
  <c r="AF652"/>
  <c r="AF614"/>
  <c r="AF535"/>
  <c r="AF482"/>
  <c r="AF174"/>
  <c r="AJ435"/>
  <c r="AF163"/>
  <c r="AF20"/>
  <c r="AQ1364"/>
  <c r="AQ1340"/>
  <c r="AQ934"/>
  <c r="AQ789"/>
  <c r="AQ472"/>
  <c r="AQ137"/>
  <c r="AQ46"/>
  <c r="AP1541"/>
  <c r="AP1437"/>
  <c r="AP819"/>
  <c r="AP789"/>
  <c r="AP763"/>
  <c r="AP745"/>
  <c r="AP695"/>
  <c r="AP665"/>
  <c r="AP356"/>
  <c r="AP271"/>
  <c r="AP137"/>
  <c r="AP124"/>
  <c r="AP73"/>
  <c r="AP1694"/>
  <c r="AP1632"/>
  <c r="AP1574"/>
  <c r="AP1481"/>
  <c r="AP1456"/>
  <c r="AP1461"/>
  <c r="AP1340"/>
  <c r="AP1323"/>
  <c r="AP1304"/>
  <c r="AP1293"/>
  <c r="AP1276"/>
  <c r="AP1267"/>
  <c r="AP1110"/>
  <c r="AP1047"/>
  <c r="AP986"/>
  <c r="AP924"/>
  <c r="AP863"/>
  <c r="AP835"/>
  <c r="AP733"/>
  <c r="AP498"/>
  <c r="AP472"/>
  <c r="AP459"/>
  <c r="AQ105"/>
  <c r="AP163"/>
  <c r="AI105"/>
  <c r="AI116"/>
  <c r="AP37"/>
  <c r="AP30"/>
  <c r="AI1695"/>
  <c r="AI1696"/>
  <c r="AI1632"/>
  <c r="AI1615"/>
  <c r="AI1599"/>
  <c r="AI1591"/>
  <c r="AI1574"/>
  <c r="AI1527"/>
  <c r="AI1534"/>
  <c r="AI1570"/>
  <c r="AI1562"/>
  <c r="AI1555"/>
  <c r="AI1542"/>
  <c r="AI1526"/>
  <c r="AI1500"/>
  <c r="AI1493"/>
  <c r="AI1481"/>
  <c r="AI1467"/>
  <c r="AI1381"/>
  <c r="AI1364"/>
  <c r="AI1323"/>
  <c r="AI1304"/>
  <c r="AI1293"/>
  <c r="AI1278"/>
  <c r="AI1276"/>
  <c r="AI1267"/>
  <c r="AI1250"/>
  <c r="AI1219"/>
  <c r="AI1218"/>
  <c r="AI1212"/>
  <c r="AI1199"/>
  <c r="AI1191"/>
  <c r="AI81"/>
  <c r="AI37"/>
  <c r="AI1160"/>
  <c r="AI1127"/>
  <c r="AI1111"/>
  <c r="AI1119"/>
  <c r="AI1100"/>
  <c r="AI1093"/>
  <c r="AI1087"/>
  <c r="AI1077"/>
  <c r="AI1066"/>
  <c r="AI1061"/>
  <c r="AI1047"/>
  <c r="AI1041"/>
  <c r="AI1034"/>
  <c r="AI1019"/>
  <c r="AI1009"/>
  <c r="AI997"/>
  <c r="AI986"/>
  <c r="AI967"/>
  <c r="AI924"/>
  <c r="AI846"/>
  <c r="AI893"/>
  <c r="AI891"/>
  <c r="AI863"/>
  <c r="AI819"/>
  <c r="AI813"/>
  <c r="AI790"/>
  <c r="AI780"/>
  <c r="AI763"/>
  <c r="AI746"/>
  <c r="AI733"/>
  <c r="AI724"/>
  <c r="AI708"/>
  <c r="AI695"/>
  <c r="AI702"/>
  <c r="AI715"/>
  <c r="AI680"/>
  <c r="AI665"/>
  <c r="AI673"/>
  <c r="AI659"/>
  <c r="AI652"/>
  <c r="AI641"/>
  <c r="AI614"/>
  <c r="AI535"/>
  <c r="AI498"/>
  <c r="AI472"/>
  <c r="AI459"/>
  <c r="AI436"/>
  <c r="AI356"/>
  <c r="AI349"/>
  <c r="AI304"/>
  <c r="AI326"/>
  <c r="AI294"/>
  <c r="AI286"/>
  <c r="AI194"/>
  <c r="AI225"/>
  <c r="AI163"/>
  <c r="AI30"/>
  <c r="AI46"/>
  <c r="AI174"/>
  <c r="AI137"/>
  <c r="AI125"/>
  <c r="AI95"/>
  <c r="AP81"/>
  <c r="AP46"/>
  <c r="AI47"/>
  <c r="AI20"/>
  <c r="AJ1668"/>
  <c r="AR1610"/>
  <c r="AN1610"/>
  <c r="AS1526"/>
  <c r="AR1526"/>
  <c r="AQ1526"/>
  <c r="AP1526"/>
  <c r="AU1710"/>
  <c r="AU1704"/>
  <c r="AU1685"/>
  <c r="AU1680"/>
  <c r="AU1675"/>
  <c r="AU1657"/>
  <c r="AU1652"/>
  <c r="AU1647"/>
  <c r="AU1642"/>
  <c r="AU1627"/>
  <c r="AU1610"/>
  <c r="AU1517"/>
  <c r="AU1512"/>
  <c r="AU1427"/>
  <c r="AU1359"/>
  <c r="AU1335"/>
  <c r="AU1286"/>
  <c r="AU1226"/>
  <c r="AU1166"/>
  <c r="AU1149"/>
  <c r="AU1132"/>
  <c r="AU958"/>
  <c r="AU908"/>
  <c r="AU872"/>
  <c r="AU636"/>
  <c r="AU626"/>
  <c r="AU606"/>
  <c r="AU594"/>
  <c r="AU587"/>
  <c r="AU562"/>
  <c r="AU542"/>
  <c r="AU508"/>
  <c r="AU429"/>
  <c r="AU366"/>
  <c r="AU337"/>
  <c r="AU313"/>
  <c r="AU238"/>
  <c r="AU220"/>
  <c r="D105" i="23"/>
  <c r="C92"/>
  <c r="D92" s="1"/>
  <c r="E92" s="1"/>
  <c r="F92" s="1"/>
  <c r="B92"/>
  <c r="G91"/>
  <c r="G92" s="1"/>
  <c r="G93" s="1"/>
  <c r="G95" s="1"/>
  <c r="B91"/>
  <c r="F71"/>
  <c r="E66"/>
  <c r="D66"/>
  <c r="C66"/>
  <c r="E65"/>
  <c r="D65"/>
  <c r="C65"/>
  <c r="D50"/>
  <c r="C50"/>
  <c r="L37"/>
  <c r="L39" s="1"/>
  <c r="K37"/>
  <c r="K39" s="1"/>
  <c r="J37"/>
  <c r="J39" s="1"/>
  <c r="I37"/>
  <c r="I39" s="1"/>
  <c r="H37"/>
  <c r="H39" s="1"/>
  <c r="E37"/>
  <c r="E39" s="1"/>
  <c r="D37"/>
  <c r="D39" s="1"/>
  <c r="C37"/>
  <c r="C39" s="1"/>
  <c r="G36"/>
  <c r="L35"/>
  <c r="K35"/>
  <c r="K41" s="1"/>
  <c r="J35"/>
  <c r="H35"/>
  <c r="H41" s="1"/>
  <c r="I32"/>
  <c r="I35" s="1"/>
  <c r="I41" s="1"/>
  <c r="D32"/>
  <c r="D35" s="1"/>
  <c r="C32"/>
  <c r="C35" s="1"/>
  <c r="G28"/>
  <c r="G29" s="1"/>
  <c r="D24"/>
  <c r="G20"/>
  <c r="E20"/>
  <c r="E50" s="1"/>
  <c r="AI822" i="1"/>
  <c r="AI821"/>
  <c r="AI820"/>
  <c r="AI814"/>
  <c r="AI781"/>
  <c r="AI747"/>
  <c r="AI734"/>
  <c r="AI726"/>
  <c r="AI725"/>
  <c r="AI696"/>
  <c r="AI674"/>
  <c r="AI670"/>
  <c r="AI666"/>
  <c r="AI663"/>
  <c r="AI653"/>
  <c r="AI642"/>
  <c r="AI615"/>
  <c r="AI587"/>
  <c r="AJ587" s="1"/>
  <c r="AI542"/>
  <c r="AJ542" s="1"/>
  <c r="AI540"/>
  <c r="AI536"/>
  <c r="AI499"/>
  <c r="AI474"/>
  <c r="AI465"/>
  <c r="AI460"/>
  <c r="AI438"/>
  <c r="AI437"/>
  <c r="AI366"/>
  <c r="AJ366" s="1"/>
  <c r="AI333"/>
  <c r="AI305"/>
  <c r="AI289"/>
  <c r="AI287"/>
  <c r="AI179"/>
  <c r="AI183"/>
  <c r="AI182"/>
  <c r="AI167"/>
  <c r="AI143"/>
  <c r="AI127"/>
  <c r="AI128"/>
  <c r="AI106"/>
  <c r="AI107"/>
  <c r="AI98"/>
  <c r="AO81"/>
  <c r="AI64"/>
  <c r="AI1697"/>
  <c r="AI1702"/>
  <c r="AI1701"/>
  <c r="AI1700"/>
  <c r="AI1699"/>
  <c r="AI1698"/>
  <c r="AI1694"/>
  <c r="AI1703"/>
  <c r="AI1668"/>
  <c r="AI1664"/>
  <c r="AI1663"/>
  <c r="AJ1663" s="1"/>
  <c r="AI1638"/>
  <c r="AI1637"/>
  <c r="AI1636"/>
  <c r="AI1635"/>
  <c r="AI1634"/>
  <c r="AI1633"/>
  <c r="AJ1632"/>
  <c r="AI1627"/>
  <c r="AI1628"/>
  <c r="AJ1627" s="1"/>
  <c r="AI1621"/>
  <c r="AI1620"/>
  <c r="AI1619"/>
  <c r="AI1618"/>
  <c r="AI1617"/>
  <c r="AI1616"/>
  <c r="AI1607"/>
  <c r="AI1605"/>
  <c r="AI1604"/>
  <c r="AI1603"/>
  <c r="AI1602"/>
  <c r="AI1601"/>
  <c r="AI1600"/>
  <c r="AI1608"/>
  <c r="AI1606"/>
  <c r="AO1591"/>
  <c r="AI1595"/>
  <c r="AI1594"/>
  <c r="AI1593"/>
  <c r="AI1592"/>
  <c r="AJ1591"/>
  <c r="AI1576"/>
  <c r="AI1575"/>
  <c r="AI1580"/>
  <c r="AI1579"/>
  <c r="AI1578"/>
  <c r="AI1577"/>
  <c r="AI1572"/>
  <c r="AI1571"/>
  <c r="AI1567"/>
  <c r="AI1566"/>
  <c r="AI1565"/>
  <c r="AI1564"/>
  <c r="AI1563"/>
  <c r="AI1559"/>
  <c r="AI1558"/>
  <c r="AI1557"/>
  <c r="AI1556"/>
  <c r="AI1552"/>
  <c r="AI1551"/>
  <c r="AI1550"/>
  <c r="AI1549"/>
  <c r="AI1548"/>
  <c r="AI1547"/>
  <c r="AI1546"/>
  <c r="AI1545"/>
  <c r="AI1544"/>
  <c r="AI1543"/>
  <c r="AI1569"/>
  <c r="AI1568"/>
  <c r="AI1561"/>
  <c r="AI1560"/>
  <c r="AI1554"/>
  <c r="AI1553"/>
  <c r="AI1539"/>
  <c r="AI1538"/>
  <c r="AI1537"/>
  <c r="AI1536"/>
  <c r="AI1535"/>
  <c r="AJ1534"/>
  <c r="AI1532"/>
  <c r="AI1531"/>
  <c r="AI1530"/>
  <c r="AI1529"/>
  <c r="AJ1526"/>
  <c r="AI1528"/>
  <c r="AI1505"/>
  <c r="AI1504"/>
  <c r="AI1503"/>
  <c r="AI1502"/>
  <c r="AI1501"/>
  <c r="AJ1500"/>
  <c r="AI1499"/>
  <c r="AI1498"/>
  <c r="AI1497"/>
  <c r="AI1496"/>
  <c r="AI1495"/>
  <c r="AI1494"/>
  <c r="AI1491"/>
  <c r="AI1490"/>
  <c r="AI1489"/>
  <c r="AI1488"/>
  <c r="AI1487"/>
  <c r="AI1485"/>
  <c r="AI1484"/>
  <c r="AI1483"/>
  <c r="AI1482"/>
  <c r="AI1492"/>
  <c r="AI1486"/>
  <c r="AI1474"/>
  <c r="AI1476"/>
  <c r="AI1479"/>
  <c r="AI1478"/>
  <c r="AI1477"/>
  <c r="AI1475"/>
  <c r="AI1473"/>
  <c r="AI1471"/>
  <c r="AI1470"/>
  <c r="AI1469"/>
  <c r="AI1468"/>
  <c r="AI1472"/>
  <c r="AI1465"/>
  <c r="AI1464"/>
  <c r="AI1463"/>
  <c r="AI1462"/>
  <c r="AJ1461" s="1"/>
  <c r="AI1461"/>
  <c r="AI1460"/>
  <c r="AI1459"/>
  <c r="AI1458"/>
  <c r="AI1457"/>
  <c r="AI1456"/>
  <c r="AJ1456" s="1"/>
  <c r="AI1449"/>
  <c r="AI1450"/>
  <c r="AI1448"/>
  <c r="AI1446"/>
  <c r="AI1445"/>
  <c r="AI1443"/>
  <c r="AI1442"/>
  <c r="AI1441"/>
  <c r="AI1440"/>
  <c r="AI1438"/>
  <c r="AI1447"/>
  <c r="AI1444"/>
  <c r="AI1439"/>
  <c r="AI1386"/>
  <c r="AI1385"/>
  <c r="AI1390"/>
  <c r="AI1389"/>
  <c r="AI1383"/>
  <c r="AI1382"/>
  <c r="AI1388"/>
  <c r="AI1387"/>
  <c r="AI1384"/>
  <c r="AI1373"/>
  <c r="AI1372"/>
  <c r="AI1371"/>
  <c r="AI1370"/>
  <c r="AI1369"/>
  <c r="AI1368"/>
  <c r="AI1367"/>
  <c r="AI1366"/>
  <c r="AI1365"/>
  <c r="AJ1364"/>
  <c r="AI1347"/>
  <c r="AI1346"/>
  <c r="AI1345"/>
  <c r="AI1344"/>
  <c r="AI1343"/>
  <c r="AI1342"/>
  <c r="AI1341"/>
  <c r="AJ1340" s="1"/>
  <c r="AI1314"/>
  <c r="AI1312"/>
  <c r="AI1306"/>
  <c r="AI1324"/>
  <c r="AI1329"/>
  <c r="AI1328"/>
  <c r="AI1327"/>
  <c r="AI1326"/>
  <c r="AI1325"/>
  <c r="AJ1323" s="1"/>
  <c r="AI1313"/>
  <c r="AI1310"/>
  <c r="AI1309"/>
  <c r="AI1308"/>
  <c r="AI1307"/>
  <c r="AI1305"/>
  <c r="AI1311"/>
  <c r="AI1299"/>
  <c r="AI1298"/>
  <c r="AI1297"/>
  <c r="AI1296"/>
  <c r="AI1295"/>
  <c r="AI1294"/>
  <c r="AJ1293"/>
  <c r="AI1284"/>
  <c r="AI1283"/>
  <c r="AI1282"/>
  <c r="AI1281"/>
  <c r="AI1280"/>
  <c r="AI1279"/>
  <c r="AI1277"/>
  <c r="AJ1276"/>
  <c r="AI1274"/>
  <c r="AI1273"/>
  <c r="AI1272"/>
  <c r="AI1271"/>
  <c r="AI1269"/>
  <c r="AI1270"/>
  <c r="AI1268"/>
  <c r="AJ1267"/>
  <c r="AI1255"/>
  <c r="AI1254"/>
  <c r="AI1253"/>
  <c r="AI1252"/>
  <c r="AI1251"/>
  <c r="AJ1250"/>
  <c r="AI1227"/>
  <c r="AI1226"/>
  <c r="AI1229"/>
  <c r="AI1228"/>
  <c r="AJ1226" s="1"/>
  <c r="AI1224"/>
  <c r="AI1225"/>
  <c r="AI1223"/>
  <c r="AI1222"/>
  <c r="AI1221"/>
  <c r="AI1220"/>
  <c r="AJ1218"/>
  <c r="AI1216"/>
  <c r="AI1215"/>
  <c r="AI1214"/>
  <c r="AI1213"/>
  <c r="AI1201"/>
  <c r="AI1200"/>
  <c r="AI1203"/>
  <c r="AI1202"/>
  <c r="AI1196"/>
  <c r="AI1195"/>
  <c r="AI1194"/>
  <c r="AI1193"/>
  <c r="AI1192"/>
  <c r="AJ1191"/>
  <c r="AI1171"/>
  <c r="AI1170"/>
  <c r="AI1169"/>
  <c r="AI1168"/>
  <c r="AI1167"/>
  <c r="AI1166"/>
  <c r="AJ1166" s="1"/>
  <c r="AI1165"/>
  <c r="AI1163"/>
  <c r="AI1162"/>
  <c r="AI1161"/>
  <c r="AI1164"/>
  <c r="AI1129"/>
  <c r="AI1128"/>
  <c r="AI1125"/>
  <c r="AI1126"/>
  <c r="AI1123"/>
  <c r="AI1122"/>
  <c r="AI1121"/>
  <c r="AI1120"/>
  <c r="AI1114"/>
  <c r="AI1115"/>
  <c r="AI1112"/>
  <c r="AI1118"/>
  <c r="AI1117"/>
  <c r="AI1116"/>
  <c r="AI1113"/>
  <c r="AI1102"/>
  <c r="AI1101"/>
  <c r="AJ1099"/>
  <c r="AI1096"/>
  <c r="AI1095"/>
  <c r="AI1094"/>
  <c r="AJ1093"/>
  <c r="AI1090"/>
  <c r="AI1091"/>
  <c r="AI1089"/>
  <c r="AI1088"/>
  <c r="AI1082"/>
  <c r="AI1081"/>
  <c r="AI1080"/>
  <c r="AI1083"/>
  <c r="AI1079"/>
  <c r="AI1078"/>
  <c r="AO1061"/>
  <c r="AI1074"/>
  <c r="AI1073"/>
  <c r="AI1075"/>
  <c r="AI1072"/>
  <c r="AI1071"/>
  <c r="AI1070"/>
  <c r="AI1069"/>
  <c r="AI1068"/>
  <c r="AI1067"/>
  <c r="AI1065"/>
  <c r="AI1064"/>
  <c r="AI1063"/>
  <c r="AI1062"/>
  <c r="AI1055"/>
  <c r="AI1054"/>
  <c r="AI1053"/>
  <c r="AI1052"/>
  <c r="AI1051"/>
  <c r="AI1050"/>
  <c r="AI1049"/>
  <c r="AI1048"/>
  <c r="AI1045"/>
  <c r="AI1044"/>
  <c r="AI1043"/>
  <c r="AI1042"/>
  <c r="AJ1041"/>
  <c r="AO1019"/>
  <c r="AI1020"/>
  <c r="AI1022"/>
  <c r="AI1023"/>
  <c r="AI1027"/>
  <c r="AI1026"/>
  <c r="AI1028"/>
  <c r="AI1030"/>
  <c r="AI1031"/>
  <c r="AI1032"/>
  <c r="AI1038"/>
  <c r="AI1039"/>
  <c r="AI1037"/>
  <c r="AI1036"/>
  <c r="AI1035"/>
  <c r="AI1033"/>
  <c r="AI1029"/>
  <c r="AI1025"/>
  <c r="AI1024"/>
  <c r="AI1021"/>
  <c r="AI1016"/>
  <c r="AI1014"/>
  <c r="AI1013"/>
  <c r="AI1010"/>
  <c r="AI1015"/>
  <c r="AI1012"/>
  <c r="AI1011"/>
  <c r="AO997"/>
  <c r="AI1006"/>
  <c r="AI1007"/>
  <c r="AI1001"/>
  <c r="AI1000"/>
  <c r="AI998"/>
  <c r="AI1005"/>
  <c r="AI1004"/>
  <c r="AI1003"/>
  <c r="AI1002"/>
  <c r="AI999"/>
  <c r="AI991"/>
  <c r="AI990"/>
  <c r="AI988"/>
  <c r="AI987"/>
  <c r="AI989"/>
  <c r="AO967"/>
  <c r="AI972"/>
  <c r="AI971"/>
  <c r="AI968"/>
  <c r="AI970"/>
  <c r="AI969"/>
  <c r="AI963"/>
  <c r="AI962"/>
  <c r="AI960"/>
  <c r="AI959"/>
  <c r="AI958"/>
  <c r="AI965"/>
  <c r="AI964"/>
  <c r="AI961"/>
  <c r="AI936"/>
  <c r="AI934"/>
  <c r="AI937"/>
  <c r="AI938"/>
  <c r="AI939"/>
  <c r="AI935"/>
  <c r="AI929"/>
  <c r="AI927"/>
  <c r="AI926"/>
  <c r="AI925"/>
  <c r="AI928"/>
  <c r="AI894"/>
  <c r="AI892"/>
  <c r="AI896"/>
  <c r="AI895"/>
  <c r="AI874"/>
  <c r="AI873"/>
  <c r="AI872"/>
  <c r="AI865"/>
  <c r="AI867"/>
  <c r="AI866"/>
  <c r="AI848"/>
  <c r="AI849"/>
  <c r="AI847"/>
  <c r="AI843"/>
  <c r="AI842"/>
  <c r="AI839"/>
  <c r="AI838"/>
  <c r="AI837"/>
  <c r="AI836"/>
  <c r="AI845"/>
  <c r="AI844"/>
  <c r="AI841"/>
  <c r="AI840"/>
  <c r="AI830"/>
  <c r="AI829"/>
  <c r="AI828"/>
  <c r="AI827"/>
  <c r="AI826"/>
  <c r="AI825"/>
  <c r="AI824"/>
  <c r="AI823"/>
  <c r="AI818"/>
  <c r="AI817"/>
  <c r="AI816"/>
  <c r="AI815"/>
  <c r="AI804"/>
  <c r="AI803"/>
  <c r="AI802"/>
  <c r="AI801"/>
  <c r="AI797"/>
  <c r="AI796"/>
  <c r="AI791"/>
  <c r="AI808"/>
  <c r="AI807"/>
  <c r="AI806"/>
  <c r="AI805"/>
  <c r="AI800"/>
  <c r="AI799"/>
  <c r="AI798"/>
  <c r="AI795"/>
  <c r="AI794"/>
  <c r="AI793"/>
  <c r="AI792"/>
  <c r="AO780"/>
  <c r="AI785"/>
  <c r="AI786"/>
  <c r="AI784"/>
  <c r="AI783"/>
  <c r="AI782"/>
  <c r="AI775"/>
  <c r="AI773"/>
  <c r="AI772"/>
  <c r="AI765"/>
  <c r="AI767"/>
  <c r="AI764"/>
  <c r="AI774"/>
  <c r="AI766"/>
  <c r="AI776"/>
  <c r="AI771"/>
  <c r="AI770"/>
  <c r="AI769"/>
  <c r="AI768"/>
  <c r="AO745"/>
  <c r="AI758"/>
  <c r="AI756"/>
  <c r="AI755"/>
  <c r="AI749"/>
  <c r="AI760"/>
  <c r="AI759"/>
  <c r="AI757"/>
  <c r="AI751"/>
  <c r="AI750"/>
  <c r="AI754"/>
  <c r="AI753"/>
  <c r="AI752"/>
  <c r="AI748"/>
  <c r="AI736"/>
  <c r="AI735"/>
  <c r="AI739"/>
  <c r="AI737"/>
  <c r="AI743"/>
  <c r="AI742"/>
  <c r="AI741"/>
  <c r="AI740"/>
  <c r="AI738"/>
  <c r="AO721"/>
  <c r="AI732"/>
  <c r="AI729"/>
  <c r="AI730"/>
  <c r="AI731"/>
  <c r="AI727"/>
  <c r="AI728"/>
  <c r="AI723"/>
  <c r="AI722"/>
  <c r="AI721"/>
  <c r="AI718"/>
  <c r="AI717"/>
  <c r="AI716"/>
  <c r="AI711"/>
  <c r="AI710"/>
  <c r="AI709"/>
  <c r="AI704"/>
  <c r="AI703"/>
  <c r="AI698"/>
  <c r="AI697"/>
  <c r="AI712"/>
  <c r="AI719"/>
  <c r="AI705"/>
  <c r="AI692"/>
  <c r="AI691"/>
  <c r="AI690"/>
  <c r="AI689"/>
  <c r="AI668"/>
  <c r="AI669"/>
  <c r="AI667"/>
  <c r="AI676"/>
  <c r="AI675"/>
  <c r="AI684"/>
  <c r="AI683"/>
  <c r="AI682"/>
  <c r="AI681"/>
  <c r="AI685"/>
  <c r="AO659"/>
  <c r="AI660"/>
  <c r="AI662"/>
  <c r="AI661"/>
  <c r="AI658"/>
  <c r="AI656"/>
  <c r="AI655"/>
  <c r="AI654"/>
  <c r="AI657"/>
  <c r="AI646"/>
  <c r="AI645"/>
  <c r="AI644"/>
  <c r="AI643"/>
  <c r="AP626"/>
  <c r="AI617"/>
  <c r="AI616"/>
  <c r="AI618"/>
  <c r="AI594"/>
  <c r="AI595"/>
  <c r="AI562"/>
  <c r="AJ562" s="1"/>
  <c r="AP556"/>
  <c r="AI539"/>
  <c r="AI538"/>
  <c r="AI537"/>
  <c r="AJ535"/>
  <c r="AP508"/>
  <c r="AI504"/>
  <c r="AI503"/>
  <c r="AI502"/>
  <c r="AI501"/>
  <c r="AI500"/>
  <c r="AJ498" s="1"/>
  <c r="AI481"/>
  <c r="AI480"/>
  <c r="AI479"/>
  <c r="AI478"/>
  <c r="AI477"/>
  <c r="AI476"/>
  <c r="AI473"/>
  <c r="AI475"/>
  <c r="AI470"/>
  <c r="AI469"/>
  <c r="AI468"/>
  <c r="AI467"/>
  <c r="AI466"/>
  <c r="AI464"/>
  <c r="AI463"/>
  <c r="AI462"/>
  <c r="AI461"/>
  <c r="AI448"/>
  <c r="AI449"/>
  <c r="AI450"/>
  <c r="AI451"/>
  <c r="AI453"/>
  <c r="AI454"/>
  <c r="AI455"/>
  <c r="AI456"/>
  <c r="AI457"/>
  <c r="AI452"/>
  <c r="AI445"/>
  <c r="AI444"/>
  <c r="AI443"/>
  <c r="AI442"/>
  <c r="AI441"/>
  <c r="AI440"/>
  <c r="AI439"/>
  <c r="AI364"/>
  <c r="AI363"/>
  <c r="AI362"/>
  <c r="AI361"/>
  <c r="AI360"/>
  <c r="AI359"/>
  <c r="AI358"/>
  <c r="AI357"/>
  <c r="AI350"/>
  <c r="AI351"/>
  <c r="AI335"/>
  <c r="AI334"/>
  <c r="AI332"/>
  <c r="AI331"/>
  <c r="AI330"/>
  <c r="AI329"/>
  <c r="AI328"/>
  <c r="AI327"/>
  <c r="AJ325"/>
  <c r="AO304"/>
  <c r="AI311"/>
  <c r="AI310"/>
  <c r="AI309"/>
  <c r="AI308"/>
  <c r="AI307"/>
  <c r="AI306"/>
  <c r="AI302"/>
  <c r="AI301"/>
  <c r="AI300"/>
  <c r="AI299"/>
  <c r="AI298"/>
  <c r="AI297"/>
  <c r="AI296"/>
  <c r="AI295"/>
  <c r="AI288"/>
  <c r="AI292"/>
  <c r="AI291"/>
  <c r="AI290"/>
  <c r="AI280"/>
  <c r="AI279"/>
  <c r="AI278"/>
  <c r="AI277"/>
  <c r="AI276"/>
  <c r="AI275"/>
  <c r="AI274"/>
  <c r="AI272"/>
  <c r="AI273"/>
  <c r="AI271"/>
  <c r="AJ271" s="1"/>
  <c r="AI253"/>
  <c r="AI252"/>
  <c r="AI251"/>
  <c r="AI250"/>
  <c r="AI249"/>
  <c r="AI254"/>
  <c r="AI230"/>
  <c r="AI229"/>
  <c r="AI228"/>
  <c r="AI227"/>
  <c r="AI226"/>
  <c r="AO194"/>
  <c r="AI197"/>
  <c r="AI196"/>
  <c r="AI195"/>
  <c r="AI176"/>
  <c r="AI181"/>
  <c r="AI180"/>
  <c r="AI178"/>
  <c r="AI177"/>
  <c r="AI175"/>
  <c r="AO163"/>
  <c r="AI172"/>
  <c r="AI164"/>
  <c r="AI165"/>
  <c r="AI171"/>
  <c r="AI170"/>
  <c r="AI169"/>
  <c r="AI168"/>
  <c r="AI166"/>
  <c r="AO137"/>
  <c r="AP1716"/>
  <c r="AP1710"/>
  <c r="AP1704"/>
  <c r="AP1685"/>
  <c r="AP1680"/>
  <c r="AP1675"/>
  <c r="AP1668"/>
  <c r="AP1657"/>
  <c r="AP1652"/>
  <c r="AP1647"/>
  <c r="AP1642"/>
  <c r="AP1610"/>
  <c r="AP1517"/>
  <c r="AP1512"/>
  <c r="AP1427"/>
  <c r="AP1405"/>
  <c r="AP1359"/>
  <c r="AP1335"/>
  <c r="AP1286"/>
  <c r="AP1257"/>
  <c r="AP1235"/>
  <c r="AP1149"/>
  <c r="AP1132"/>
  <c r="AP974"/>
  <c r="AP915"/>
  <c r="AP908"/>
  <c r="AP636"/>
  <c r="AP549"/>
  <c r="AP482"/>
  <c r="AP337"/>
  <c r="AP238"/>
  <c r="AP233"/>
  <c r="AP220"/>
  <c r="AI144"/>
  <c r="AI142"/>
  <c r="AI141"/>
  <c r="AI138"/>
  <c r="AI140"/>
  <c r="AI139"/>
  <c r="AI145"/>
  <c r="AI126"/>
  <c r="AO116"/>
  <c r="AI122"/>
  <c r="AI121"/>
  <c r="AI120"/>
  <c r="AI119"/>
  <c r="AI118"/>
  <c r="AI117"/>
  <c r="AO105"/>
  <c r="AI103"/>
  <c r="AI102"/>
  <c r="AI101"/>
  <c r="AI100"/>
  <c r="AI99"/>
  <c r="AI97"/>
  <c r="AI96"/>
  <c r="AI92"/>
  <c r="AI91"/>
  <c r="AI90"/>
  <c r="AI89"/>
  <c r="AI88"/>
  <c r="AI87"/>
  <c r="AI86"/>
  <c r="AI85"/>
  <c r="AI84"/>
  <c r="AI82"/>
  <c r="AI93"/>
  <c r="AI83"/>
  <c r="AI76"/>
  <c r="AI75"/>
  <c r="AI74"/>
  <c r="AI73"/>
  <c r="AJ73" s="1"/>
  <c r="AI65"/>
  <c r="AI62"/>
  <c r="AI69"/>
  <c r="AI68"/>
  <c r="AI67"/>
  <c r="AI66"/>
  <c r="AI63"/>
  <c r="AI61"/>
  <c r="AI53"/>
  <c r="AI52"/>
  <c r="AI49"/>
  <c r="AI48"/>
  <c r="AI50"/>
  <c r="AI51"/>
  <c r="AJ46"/>
  <c r="AI41"/>
  <c r="AI39"/>
  <c r="AI38"/>
  <c r="AI40"/>
  <c r="AI23"/>
  <c r="AI22"/>
  <c r="AI36"/>
  <c r="AI34"/>
  <c r="AO20"/>
  <c r="AI26"/>
  <c r="AI28"/>
  <c r="AI33"/>
  <c r="AI32"/>
  <c r="AI35"/>
  <c r="AI31"/>
  <c r="AJ137" l="1"/>
  <c r="AJ1125"/>
  <c r="AJ81"/>
  <c r="AJ891"/>
  <c r="AJ924"/>
  <c r="AJ30"/>
  <c r="AJ116"/>
  <c r="AJ124"/>
  <c r="AJ294"/>
  <c r="AJ356"/>
  <c r="AJ594"/>
  <c r="AJ614"/>
  <c r="AJ659"/>
  <c r="AJ835"/>
  <c r="AJ863"/>
  <c r="AJ872"/>
  <c r="AJ958"/>
  <c r="AJ1061"/>
  <c r="AJ1160"/>
  <c r="AJ1212"/>
  <c r="AJ1466"/>
  <c r="AJ1481"/>
  <c r="AJ1541"/>
  <c r="AJ1599"/>
  <c r="AJ1615"/>
  <c r="AJ304"/>
  <c r="AJ472"/>
  <c r="AJ641"/>
  <c r="AJ652"/>
  <c r="AJ695"/>
  <c r="AJ733"/>
  <c r="AJ745"/>
  <c r="AJ763"/>
  <c r="AJ934"/>
  <c r="AJ967"/>
  <c r="AJ986"/>
  <c r="AJ997"/>
  <c r="AJ1009"/>
  <c r="AJ1019"/>
  <c r="AJ1047"/>
  <c r="AJ1077"/>
  <c r="AJ1087"/>
  <c r="AJ1110"/>
  <c r="AJ1380"/>
  <c r="AJ1437"/>
  <c r="AJ286"/>
  <c r="AJ459"/>
  <c r="AJ665"/>
  <c r="AJ780"/>
  <c r="AJ813"/>
  <c r="AJ819"/>
  <c r="AJ1199"/>
  <c r="AJ1304"/>
  <c r="AJ721"/>
  <c r="AJ789"/>
  <c r="D41" i="23"/>
  <c r="C41"/>
  <c r="C42" s="1"/>
  <c r="J41"/>
  <c r="L41"/>
  <c r="D71"/>
  <c r="C71"/>
  <c r="E32"/>
  <c r="E35" s="1"/>
  <c r="E41" s="1"/>
  <c r="E71" s="1"/>
  <c r="B68"/>
  <c r="E68" s="1"/>
  <c r="E69" s="1"/>
  <c r="AJ1694" i="1"/>
  <c r="AJ1574"/>
  <c r="AJ105"/>
  <c r="AJ194"/>
  <c r="AJ95"/>
  <c r="AJ163"/>
  <c r="AJ225"/>
  <c r="AJ248"/>
  <c r="AJ37"/>
  <c r="AJ349"/>
  <c r="AJ174"/>
  <c r="C72" i="23" l="1"/>
  <c r="F68"/>
  <c r="F69" s="1"/>
  <c r="D68"/>
  <c r="D69" s="1"/>
  <c r="C68"/>
  <c r="C69" s="1"/>
  <c r="AI27" i="1"/>
  <c r="B67" i="23" l="1"/>
  <c r="E67" s="1"/>
  <c r="AI25" i="1"/>
  <c r="AI24"/>
  <c r="AI21"/>
  <c r="D67" i="23" l="1"/>
  <c r="F67"/>
  <c r="C67"/>
  <c r="AJ20" i="1"/>
  <c r="AJ1721" s="1"/>
  <c r="I1721"/>
  <c r="C84" i="23" l="1"/>
  <c r="C80"/>
  <c r="C86"/>
  <c r="C82"/>
  <c r="D105" i="21"/>
  <c r="C92"/>
  <c r="B92"/>
  <c r="G91"/>
  <c r="G92" s="1"/>
  <c r="G93" s="1"/>
  <c r="G95" s="1"/>
  <c r="B91"/>
  <c r="F71"/>
  <c r="E66"/>
  <c r="D66"/>
  <c r="C66"/>
  <c r="B68" s="1"/>
  <c r="E65"/>
  <c r="D65"/>
  <c r="C65"/>
  <c r="E50"/>
  <c r="L37"/>
  <c r="L39" s="1"/>
  <c r="K37"/>
  <c r="K39" s="1"/>
  <c r="J37"/>
  <c r="J39" s="1"/>
  <c r="I37"/>
  <c r="I39" s="1"/>
  <c r="H37"/>
  <c r="H39" s="1"/>
  <c r="E37"/>
  <c r="E39" s="1"/>
  <c r="D37"/>
  <c r="D39" s="1"/>
  <c r="C37"/>
  <c r="C39" s="1"/>
  <c r="G36"/>
  <c r="L35"/>
  <c r="L41" s="1"/>
  <c r="K35"/>
  <c r="J35"/>
  <c r="J41" s="1"/>
  <c r="H35"/>
  <c r="H41" s="1"/>
  <c r="I32"/>
  <c r="I35" s="1"/>
  <c r="I41" s="1"/>
  <c r="E32"/>
  <c r="E35" s="1"/>
  <c r="D32"/>
  <c r="D35" s="1"/>
  <c r="C32"/>
  <c r="C35" s="1"/>
  <c r="G28"/>
  <c r="G29" s="1"/>
  <c r="D20"/>
  <c r="D50" s="1"/>
  <c r="C20"/>
  <c r="C50" s="1"/>
  <c r="D105" i="20"/>
  <c r="C92"/>
  <c r="B92"/>
  <c r="G91"/>
  <c r="G92" s="1"/>
  <c r="G93" s="1"/>
  <c r="G95" s="1"/>
  <c r="B91"/>
  <c r="F71"/>
  <c r="E66"/>
  <c r="D66"/>
  <c r="C66"/>
  <c r="E65"/>
  <c r="D65"/>
  <c r="C65"/>
  <c r="E50"/>
  <c r="L37"/>
  <c r="L39" s="1"/>
  <c r="K37"/>
  <c r="K39" s="1"/>
  <c r="J37"/>
  <c r="J39" s="1"/>
  <c r="I37"/>
  <c r="I39" s="1"/>
  <c r="H37"/>
  <c r="H39" s="1"/>
  <c r="E37"/>
  <c r="E39" s="1"/>
  <c r="D37"/>
  <c r="D39" s="1"/>
  <c r="C37"/>
  <c r="C39" s="1"/>
  <c r="G36"/>
  <c r="L35"/>
  <c r="K35"/>
  <c r="K41" s="1"/>
  <c r="J35"/>
  <c r="H35"/>
  <c r="H41" s="1"/>
  <c r="I32"/>
  <c r="I35" s="1"/>
  <c r="I41" s="1"/>
  <c r="E32"/>
  <c r="E35" s="1"/>
  <c r="E41" s="1"/>
  <c r="D32"/>
  <c r="D35" s="1"/>
  <c r="C32"/>
  <c r="C35" s="1"/>
  <c r="G28"/>
  <c r="G29" s="1"/>
  <c r="D20"/>
  <c r="D50" s="1"/>
  <c r="C20"/>
  <c r="G20" s="1"/>
  <c r="D105" i="19"/>
  <c r="C92"/>
  <c r="B92"/>
  <c r="G91"/>
  <c r="G92" s="1"/>
  <c r="G93" s="1"/>
  <c r="G95" s="1"/>
  <c r="B91"/>
  <c r="F71"/>
  <c r="E66"/>
  <c r="D66"/>
  <c r="C66"/>
  <c r="E65"/>
  <c r="D65"/>
  <c r="C65"/>
  <c r="D50"/>
  <c r="C50"/>
  <c r="L37"/>
  <c r="L39" s="1"/>
  <c r="K37"/>
  <c r="K39" s="1"/>
  <c r="J37"/>
  <c r="J39" s="1"/>
  <c r="I37"/>
  <c r="I39" s="1"/>
  <c r="H37"/>
  <c r="H39" s="1"/>
  <c r="E37"/>
  <c r="E39" s="1"/>
  <c r="D37"/>
  <c r="D39" s="1"/>
  <c r="C37"/>
  <c r="C39" s="1"/>
  <c r="G36"/>
  <c r="L35"/>
  <c r="K35"/>
  <c r="J35"/>
  <c r="H35"/>
  <c r="H41" s="1"/>
  <c r="I32"/>
  <c r="I35" s="1"/>
  <c r="I41" s="1"/>
  <c r="D32"/>
  <c r="D35" s="1"/>
  <c r="D41" s="1"/>
  <c r="C32"/>
  <c r="C35" s="1"/>
  <c r="G28"/>
  <c r="G29" s="1"/>
  <c r="D24"/>
  <c r="G20"/>
  <c r="E20"/>
  <c r="E50" s="1"/>
  <c r="D105" i="18"/>
  <c r="C92"/>
  <c r="B92"/>
  <c r="G91"/>
  <c r="G92" s="1"/>
  <c r="G93" s="1"/>
  <c r="G95" s="1"/>
  <c r="B91"/>
  <c r="F71"/>
  <c r="E66"/>
  <c r="D66"/>
  <c r="C66"/>
  <c r="E65"/>
  <c r="D65"/>
  <c r="C65"/>
  <c r="D50"/>
  <c r="C50"/>
  <c r="L37"/>
  <c r="L39" s="1"/>
  <c r="K37"/>
  <c r="K39" s="1"/>
  <c r="J37"/>
  <c r="J39" s="1"/>
  <c r="I37"/>
  <c r="I39" s="1"/>
  <c r="H37"/>
  <c r="H39" s="1"/>
  <c r="E37"/>
  <c r="E39" s="1"/>
  <c r="D37"/>
  <c r="D39" s="1"/>
  <c r="C37"/>
  <c r="C39" s="1"/>
  <c r="G36"/>
  <c r="L35"/>
  <c r="K35"/>
  <c r="K41" s="1"/>
  <c r="J35"/>
  <c r="H35"/>
  <c r="H41" s="1"/>
  <c r="I32"/>
  <c r="I35" s="1"/>
  <c r="I41" s="1"/>
  <c r="D32"/>
  <c r="D35" s="1"/>
  <c r="C32"/>
  <c r="C35" s="1"/>
  <c r="G28"/>
  <c r="G29" s="1"/>
  <c r="D24"/>
  <c r="G20"/>
  <c r="E20"/>
  <c r="E50" s="1"/>
  <c r="D105" i="17"/>
  <c r="C92"/>
  <c r="B92"/>
  <c r="G91"/>
  <c r="G92" s="1"/>
  <c r="G93" s="1"/>
  <c r="G95" s="1"/>
  <c r="B91"/>
  <c r="F71"/>
  <c r="E66"/>
  <c r="D66"/>
  <c r="C66"/>
  <c r="E65"/>
  <c r="D65"/>
  <c r="C65"/>
  <c r="E50"/>
  <c r="D50"/>
  <c r="C50"/>
  <c r="L37"/>
  <c r="L39" s="1"/>
  <c r="K37"/>
  <c r="K39" s="1"/>
  <c r="J37"/>
  <c r="J39" s="1"/>
  <c r="I37"/>
  <c r="I39" s="1"/>
  <c r="H37"/>
  <c r="H39" s="1"/>
  <c r="E37"/>
  <c r="E39" s="1"/>
  <c r="D37"/>
  <c r="D39" s="1"/>
  <c r="C37"/>
  <c r="C39" s="1"/>
  <c r="G36"/>
  <c r="L35"/>
  <c r="L41" s="1"/>
  <c r="K35"/>
  <c r="J35"/>
  <c r="J41" s="1"/>
  <c r="H35"/>
  <c r="H41" s="1"/>
  <c r="I32"/>
  <c r="I35" s="1"/>
  <c r="I41" s="1"/>
  <c r="E32"/>
  <c r="E35" s="1"/>
  <c r="D32"/>
  <c r="D35" s="1"/>
  <c r="D41" s="1"/>
  <c r="D42" s="1"/>
  <c r="C32"/>
  <c r="C35" s="1"/>
  <c r="G28"/>
  <c r="G29" s="1"/>
  <c r="G20"/>
  <c r="E41" l="1"/>
  <c r="E42" s="1"/>
  <c r="K41"/>
  <c r="D92" i="18"/>
  <c r="E92" s="1"/>
  <c r="F92" s="1"/>
  <c r="J41" i="19"/>
  <c r="L41"/>
  <c r="J41" i="20"/>
  <c r="L41"/>
  <c r="D92"/>
  <c r="E92" s="1"/>
  <c r="F92" s="1"/>
  <c r="E41" i="21"/>
  <c r="K41"/>
  <c r="D92"/>
  <c r="E92" s="1"/>
  <c r="F92" s="1"/>
  <c r="D92" i="17"/>
  <c r="E92" s="1"/>
  <c r="F92" s="1"/>
  <c r="B68" i="18"/>
  <c r="D41" i="21"/>
  <c r="D41" i="18"/>
  <c r="D92" i="19"/>
  <c r="E92" s="1"/>
  <c r="F92" s="1"/>
  <c r="D41" i="20"/>
  <c r="D86" i="23"/>
  <c r="F76"/>
  <c r="D76"/>
  <c r="E76"/>
  <c r="C76"/>
  <c r="D84"/>
  <c r="F75"/>
  <c r="D75"/>
  <c r="E75"/>
  <c r="C75"/>
  <c r="D82"/>
  <c r="F4" i="22" s="1"/>
  <c r="F74" i="23"/>
  <c r="F78" s="1"/>
  <c r="D74"/>
  <c r="D78" s="1"/>
  <c r="E74"/>
  <c r="E78" s="1"/>
  <c r="C74"/>
  <c r="C78" s="1"/>
  <c r="D80"/>
  <c r="D73"/>
  <c r="C73"/>
  <c r="C41" i="19"/>
  <c r="C42" s="1"/>
  <c r="C41" i="21"/>
  <c r="F68"/>
  <c r="F69" s="1"/>
  <c r="E68"/>
  <c r="E69" s="1"/>
  <c r="C68"/>
  <c r="C69" s="1"/>
  <c r="D71" i="17"/>
  <c r="D72" s="1"/>
  <c r="C71" i="19"/>
  <c r="D71" i="20"/>
  <c r="D71" i="21"/>
  <c r="C41" i="17"/>
  <c r="C42" s="1"/>
  <c r="C41" i="18"/>
  <c r="C42" s="1"/>
  <c r="F68"/>
  <c r="F69" s="1"/>
  <c r="D68"/>
  <c r="D69" s="1"/>
  <c r="C41" i="20"/>
  <c r="C71" i="17"/>
  <c r="E71"/>
  <c r="E72" s="1"/>
  <c r="J41" i="18"/>
  <c r="L41"/>
  <c r="D71"/>
  <c r="E68"/>
  <c r="E69" s="1"/>
  <c r="K41" i="19"/>
  <c r="D71"/>
  <c r="C71" i="20"/>
  <c r="E71"/>
  <c r="C71" i="21"/>
  <c r="E71"/>
  <c r="D68"/>
  <c r="D69" s="1"/>
  <c r="B68" i="17"/>
  <c r="F68" s="1"/>
  <c r="F69" s="1"/>
  <c r="C68" i="18"/>
  <c r="C69" s="1"/>
  <c r="E32" i="19"/>
  <c r="E35" s="1"/>
  <c r="E41" s="1"/>
  <c r="E71" s="1"/>
  <c r="B68"/>
  <c r="F68" s="1"/>
  <c r="F69" s="1"/>
  <c r="C50" i="20"/>
  <c r="B68"/>
  <c r="F68" s="1"/>
  <c r="F69" s="1"/>
  <c r="G20" i="21"/>
  <c r="E32" i="18"/>
  <c r="E35" s="1"/>
  <c r="E41" s="1"/>
  <c r="E71" s="1"/>
  <c r="AF1512" i="1" l="1"/>
  <c r="AF1461"/>
  <c r="AF1323"/>
  <c r="AF1235"/>
  <c r="AF1199"/>
  <c r="AF1166"/>
  <c r="AF1125"/>
  <c r="AF1093"/>
  <c r="AF924"/>
  <c r="AF908"/>
  <c r="AF872"/>
  <c r="AF835"/>
  <c r="AF733"/>
  <c r="AF124"/>
  <c r="AF1526"/>
  <c r="AF1500"/>
  <c r="AF1456"/>
  <c r="AF1304"/>
  <c r="AF1226"/>
  <c r="AF1191"/>
  <c r="AF1132"/>
  <c r="AF1099"/>
  <c r="AF1087"/>
  <c r="AF915"/>
  <c r="AF891"/>
  <c r="AF863"/>
  <c r="AF819"/>
  <c r="C91" i="23"/>
  <c r="D91" s="1"/>
  <c r="D88"/>
  <c r="G21"/>
  <c r="G35" s="1"/>
  <c r="G37" s="1"/>
  <c r="B67" i="18"/>
  <c r="C67" s="1"/>
  <c r="C72" i="19"/>
  <c r="B67" i="21"/>
  <c r="C67" s="1"/>
  <c r="E68" i="19"/>
  <c r="E69" s="1"/>
  <c r="F67" i="18"/>
  <c r="E68" i="20"/>
  <c r="E69" s="1"/>
  <c r="D68" i="19"/>
  <c r="D69" s="1"/>
  <c r="C71" i="18"/>
  <c r="C68" i="17"/>
  <c r="C69" s="1"/>
  <c r="C72"/>
  <c r="D68" i="20"/>
  <c r="D69" s="1"/>
  <c r="C68" i="19"/>
  <c r="C69" s="1"/>
  <c r="D68" i="17"/>
  <c r="D69" s="1"/>
  <c r="C68" i="20"/>
  <c r="C69" s="1"/>
  <c r="E68" i="17"/>
  <c r="E69" s="1"/>
  <c r="E67" i="21"/>
  <c r="D67" i="18" l="1"/>
  <c r="E67"/>
  <c r="F67" i="21"/>
  <c r="D67"/>
  <c r="C84" s="1"/>
  <c r="D93" i="23"/>
  <c r="E91"/>
  <c r="C86" i="18"/>
  <c r="C82"/>
  <c r="C80"/>
  <c r="C72"/>
  <c r="C82" i="21"/>
  <c r="C86"/>
  <c r="B67" i="20"/>
  <c r="F67" s="1"/>
  <c r="B67" i="19"/>
  <c r="F67" s="1"/>
  <c r="B67" i="17"/>
  <c r="F67" s="1"/>
  <c r="C80" i="21"/>
  <c r="F75" l="1"/>
  <c r="D84"/>
  <c r="E75"/>
  <c r="C84" i="18"/>
  <c r="C75" i="21"/>
  <c r="D75"/>
  <c r="D67" i="17"/>
  <c r="F91" i="23"/>
  <c r="F93" s="1"/>
  <c r="E93"/>
  <c r="D82" i="21"/>
  <c r="F6" i="22" s="1"/>
  <c r="F74" i="21"/>
  <c r="F78" s="1"/>
  <c r="D74"/>
  <c r="D78" s="1"/>
  <c r="E74"/>
  <c r="E78" s="1"/>
  <c r="C74"/>
  <c r="C78" s="1"/>
  <c r="C73" i="18"/>
  <c r="D80"/>
  <c r="D73"/>
  <c r="E75"/>
  <c r="C75"/>
  <c r="D84"/>
  <c r="F75"/>
  <c r="D75"/>
  <c r="E67" i="20"/>
  <c r="E67" i="17"/>
  <c r="D80" i="21"/>
  <c r="D73"/>
  <c r="C73"/>
  <c r="D86"/>
  <c r="F76"/>
  <c r="D76"/>
  <c r="E76"/>
  <c r="C76"/>
  <c r="E74" i="18"/>
  <c r="E78" s="1"/>
  <c r="C74"/>
  <c r="C78" s="1"/>
  <c r="D82"/>
  <c r="F2" i="22" s="1"/>
  <c r="F74" i="18"/>
  <c r="F78" s="1"/>
  <c r="D74"/>
  <c r="D78" s="1"/>
  <c r="E76"/>
  <c r="C76"/>
  <c r="D86"/>
  <c r="F76"/>
  <c r="D76"/>
  <c r="D67" i="19"/>
  <c r="C67" i="17"/>
  <c r="C67" i="19"/>
  <c r="C67" i="20"/>
  <c r="E67" i="19"/>
  <c r="D67" i="20"/>
  <c r="C91" i="18" l="1"/>
  <c r="D91" s="1"/>
  <c r="D88"/>
  <c r="G21"/>
  <c r="G35" s="1"/>
  <c r="G37" s="1"/>
  <c r="C86" i="20"/>
  <c r="C82"/>
  <c r="C84"/>
  <c r="C80"/>
  <c r="C84" i="17"/>
  <c r="C80"/>
  <c r="C86"/>
  <c r="C82"/>
  <c r="C91" i="21"/>
  <c r="D91" s="1"/>
  <c r="D88"/>
  <c r="G21"/>
  <c r="G35" s="1"/>
  <c r="G37" s="1"/>
  <c r="C86" i="19"/>
  <c r="C82"/>
  <c r="C84"/>
  <c r="C80"/>
  <c r="D84" l="1"/>
  <c r="F75"/>
  <c r="D75"/>
  <c r="E75"/>
  <c r="C75"/>
  <c r="D86"/>
  <c r="F76"/>
  <c r="D76"/>
  <c r="E76"/>
  <c r="C76"/>
  <c r="D82" i="17"/>
  <c r="F1" i="22" s="1"/>
  <c r="F74" i="17"/>
  <c r="F78" s="1"/>
  <c r="D74"/>
  <c r="D78" s="1"/>
  <c r="E74"/>
  <c r="E78" s="1"/>
  <c r="C74"/>
  <c r="C78" s="1"/>
  <c r="D80"/>
  <c r="D73"/>
  <c r="C73"/>
  <c r="C73" i="20"/>
  <c r="D80"/>
  <c r="D73"/>
  <c r="E74"/>
  <c r="E78" s="1"/>
  <c r="C74"/>
  <c r="C78" s="1"/>
  <c r="D82"/>
  <c r="F5" i="22" s="1"/>
  <c r="F74" i="20"/>
  <c r="F78" s="1"/>
  <c r="D74"/>
  <c r="D78" s="1"/>
  <c r="E91" i="18"/>
  <c r="D93"/>
  <c r="D80" i="19"/>
  <c r="D73"/>
  <c r="C73"/>
  <c r="D82"/>
  <c r="F3" i="22" s="1"/>
  <c r="F74" i="19"/>
  <c r="F78" s="1"/>
  <c r="D74"/>
  <c r="D78" s="1"/>
  <c r="E74"/>
  <c r="E78" s="1"/>
  <c r="C74"/>
  <c r="C78" s="1"/>
  <c r="D93" i="21"/>
  <c r="E91"/>
  <c r="D86" i="17"/>
  <c r="F76"/>
  <c r="D76"/>
  <c r="E76"/>
  <c r="C76"/>
  <c r="D84"/>
  <c r="F75"/>
  <c r="D75"/>
  <c r="E75"/>
  <c r="C75"/>
  <c r="E75" i="20"/>
  <c r="C75"/>
  <c r="D84"/>
  <c r="F75"/>
  <c r="D75"/>
  <c r="E76"/>
  <c r="C76"/>
  <c r="D86"/>
  <c r="F76"/>
  <c r="D76"/>
  <c r="AF30" i="1" l="1"/>
  <c r="AF1694"/>
  <c r="AF1610"/>
  <c r="AF1541"/>
  <c r="AF1466"/>
  <c r="AF1380"/>
  <c r="AF1293"/>
  <c r="AF1257"/>
  <c r="AF1160"/>
  <c r="AF1061"/>
  <c r="AF813"/>
  <c r="AF745"/>
  <c r="AF659"/>
  <c r="AF606"/>
  <c r="AF498"/>
  <c r="AF435"/>
  <c r="AF349"/>
  <c r="AG349" s="1"/>
  <c r="AF304"/>
  <c r="AG304" s="1"/>
  <c r="AP304" s="1"/>
  <c r="AF248"/>
  <c r="AF220"/>
  <c r="AF37"/>
  <c r="AF1632"/>
  <c r="AF1599"/>
  <c r="AF1534"/>
  <c r="AF1437"/>
  <c r="AF1364"/>
  <c r="AF1286"/>
  <c r="AF1250"/>
  <c r="AF1149"/>
  <c r="AF1047"/>
  <c r="AF789"/>
  <c r="AF721"/>
  <c r="AF508"/>
  <c r="AF459"/>
  <c r="AF356"/>
  <c r="AG356" s="1"/>
  <c r="AF313"/>
  <c r="AG313" s="1"/>
  <c r="AF271"/>
  <c r="AG271" s="1"/>
  <c r="AF225"/>
  <c r="AF46"/>
  <c r="AF958"/>
  <c r="AF997"/>
  <c r="AF636"/>
  <c r="AF105"/>
  <c r="AF542"/>
  <c r="AF95"/>
  <c r="AF61"/>
  <c r="AF1627"/>
  <c r="AF1591"/>
  <c r="AF1517"/>
  <c r="AF1427"/>
  <c r="AF1359"/>
  <c r="AF1276"/>
  <c r="AF1218"/>
  <c r="AF1110"/>
  <c r="AF1041"/>
  <c r="AF780"/>
  <c r="AF695"/>
  <c r="AG695" s="1"/>
  <c r="AF641"/>
  <c r="AF472"/>
  <c r="AF366"/>
  <c r="AF325"/>
  <c r="AF286"/>
  <c r="AG286" s="1"/>
  <c r="AF233"/>
  <c r="AF1615"/>
  <c r="AF1574"/>
  <c r="AF1481"/>
  <c r="AF1405"/>
  <c r="AF1340"/>
  <c r="AF1267"/>
  <c r="AF1212"/>
  <c r="AF1077"/>
  <c r="AF934"/>
  <c r="AF763"/>
  <c r="AF665"/>
  <c r="AG614"/>
  <c r="AF429"/>
  <c r="AF337"/>
  <c r="AF294"/>
  <c r="AG294" s="1"/>
  <c r="AP294" s="1"/>
  <c r="AF238"/>
  <c r="AF194"/>
  <c r="AF986"/>
  <c r="AF1019"/>
  <c r="AF967"/>
  <c r="AF81"/>
  <c r="AF137"/>
  <c r="AF73"/>
  <c r="AF116"/>
  <c r="AF1710"/>
  <c r="AF1675"/>
  <c r="AF1647"/>
  <c r="AF587"/>
  <c r="AG587" s="1"/>
  <c r="AF1680"/>
  <c r="AF1652"/>
  <c r="AF562"/>
  <c r="AF594"/>
  <c r="AF1685"/>
  <c r="AF1663"/>
  <c r="AF1335"/>
  <c r="AF1704"/>
  <c r="AF1668"/>
  <c r="AF1642"/>
  <c r="AG835"/>
  <c r="AF626"/>
  <c r="E93" i="18"/>
  <c r="F91"/>
  <c r="F93" s="1"/>
  <c r="C91" i="17"/>
  <c r="D91" s="1"/>
  <c r="D88"/>
  <c r="G21"/>
  <c r="G35" s="1"/>
  <c r="G37" s="1"/>
  <c r="F91" i="21"/>
  <c r="F93" s="1"/>
  <c r="E93"/>
  <c r="C91" i="19"/>
  <c r="D91" s="1"/>
  <c r="D88"/>
  <c r="G21"/>
  <c r="G35" s="1"/>
  <c r="G37" s="1"/>
  <c r="C91" i="20"/>
  <c r="D91" s="1"/>
  <c r="D88"/>
  <c r="G21"/>
  <c r="G35" s="1"/>
  <c r="G37" s="1"/>
  <c r="AR587" i="1" l="1"/>
  <c r="AS587"/>
  <c r="AS614"/>
  <c r="AR614"/>
  <c r="AP614"/>
  <c r="AQ614"/>
  <c r="AR271"/>
  <c r="AQ271"/>
  <c r="AS271"/>
  <c r="AR356"/>
  <c r="AQ356"/>
  <c r="AS356"/>
  <c r="AS286"/>
  <c r="AP286"/>
  <c r="AR286"/>
  <c r="AQ286"/>
  <c r="AS695"/>
  <c r="AR695"/>
  <c r="AQ695"/>
  <c r="AR313"/>
  <c r="AS313"/>
  <c r="AQ349"/>
  <c r="AS349"/>
  <c r="AP349"/>
  <c r="AR349"/>
  <c r="AR835"/>
  <c r="AS835"/>
  <c r="AQ835"/>
  <c r="E91" i="20"/>
  <c r="D93"/>
  <c r="D93" i="17"/>
  <c r="E91"/>
  <c r="D93" i="19"/>
  <c r="E91"/>
  <c r="AT356" i="1" l="1"/>
  <c r="AT587"/>
  <c r="E93" i="20"/>
  <c r="F91"/>
  <c r="F93" s="1"/>
  <c r="F91" i="19"/>
  <c r="F93" s="1"/>
  <c r="E93"/>
  <c r="F91" i="17"/>
  <c r="F93" s="1"/>
  <c r="E93"/>
  <c r="AM1680" i="1" l="1"/>
  <c r="AT271"/>
  <c r="AU271" s="1"/>
  <c r="AG1716"/>
  <c r="AG1710"/>
  <c r="AG1704"/>
  <c r="AG1694"/>
  <c r="AG1685"/>
  <c r="AR1685" s="1"/>
  <c r="AG1680"/>
  <c r="AR1680" s="1"/>
  <c r="AG1675"/>
  <c r="AG1668"/>
  <c r="AG1663"/>
  <c r="AG1652"/>
  <c r="AG1647"/>
  <c r="AG1642"/>
  <c r="AR1642" s="1"/>
  <c r="AG1632"/>
  <c r="AG1627"/>
  <c r="AG1615"/>
  <c r="AG1610"/>
  <c r="AG1599"/>
  <c r="AG1591"/>
  <c r="AG1574"/>
  <c r="AG1541"/>
  <c r="AG1534"/>
  <c r="AG1526"/>
  <c r="AG1517"/>
  <c r="AG1512"/>
  <c r="AR1512" s="1"/>
  <c r="AG1500"/>
  <c r="AG1481"/>
  <c r="AG1466"/>
  <c r="AG1461"/>
  <c r="AG1456"/>
  <c r="AG1437"/>
  <c r="AG1427"/>
  <c r="AG1405"/>
  <c r="AG1380"/>
  <c r="AG1364"/>
  <c r="AG1359"/>
  <c r="AR1359" s="1"/>
  <c r="AG1340"/>
  <c r="AG1335"/>
  <c r="AR1335" s="1"/>
  <c r="AG1323"/>
  <c r="AG1304"/>
  <c r="AG1293"/>
  <c r="AG1286"/>
  <c r="AG1276"/>
  <c r="AG1267"/>
  <c r="AG1257"/>
  <c r="AG1250"/>
  <c r="AG1235"/>
  <c r="AG1226"/>
  <c r="AG1218"/>
  <c r="AG1212"/>
  <c r="AG1199"/>
  <c r="AG1191"/>
  <c r="AG1166"/>
  <c r="AG1160"/>
  <c r="AG1149"/>
  <c r="AG1132"/>
  <c r="AG1125"/>
  <c r="AG1110"/>
  <c r="AG1099"/>
  <c r="AG1093"/>
  <c r="AG1087"/>
  <c r="AG1077"/>
  <c r="AG1061"/>
  <c r="AG1047"/>
  <c r="AG1041"/>
  <c r="AG1019"/>
  <c r="AG1009"/>
  <c r="AG997"/>
  <c r="AG986"/>
  <c r="AG974"/>
  <c r="AG967"/>
  <c r="AG958"/>
  <c r="AG934"/>
  <c r="AG924"/>
  <c r="AG915"/>
  <c r="AG908"/>
  <c r="AG891"/>
  <c r="AG872"/>
  <c r="AG863"/>
  <c r="AG819"/>
  <c r="AG813"/>
  <c r="AG789"/>
  <c r="AG780"/>
  <c r="AG763"/>
  <c r="AG745"/>
  <c r="AG733"/>
  <c r="AG721"/>
  <c r="AG665"/>
  <c r="AG659"/>
  <c r="AG652"/>
  <c r="AG641"/>
  <c r="AG636"/>
  <c r="AG626"/>
  <c r="AG606"/>
  <c r="AG594"/>
  <c r="AG562"/>
  <c r="AG549"/>
  <c r="AG542"/>
  <c r="AG535"/>
  <c r="AG508"/>
  <c r="AG498"/>
  <c r="AG482"/>
  <c r="AG472"/>
  <c r="AG459"/>
  <c r="AG435"/>
  <c r="AG429"/>
  <c r="AG366"/>
  <c r="AR366" s="1"/>
  <c r="AG337"/>
  <c r="AG325"/>
  <c r="AG248"/>
  <c r="AG238"/>
  <c r="AG233"/>
  <c r="AR233" s="1"/>
  <c r="AG225"/>
  <c r="AG220"/>
  <c r="AG194"/>
  <c r="AG174"/>
  <c r="AG163"/>
  <c r="AG137"/>
  <c r="AG124"/>
  <c r="AG116"/>
  <c r="AG105"/>
  <c r="AG95"/>
  <c r="AG81"/>
  <c r="AG73"/>
  <c r="AS61"/>
  <c r="AG46"/>
  <c r="AG37"/>
  <c r="AG30"/>
  <c r="AG20"/>
  <c r="AP20" s="1"/>
  <c r="AL1712"/>
  <c r="AL1704"/>
  <c r="AL1688"/>
  <c r="AL1670"/>
  <c r="AL1671"/>
  <c r="AL1663"/>
  <c r="AL1659"/>
  <c r="AL1649"/>
  <c r="AL1638"/>
  <c r="AL1637"/>
  <c r="AL1633"/>
  <c r="AL1632"/>
  <c r="AL1625"/>
  <c r="AL1623"/>
  <c r="AL1622"/>
  <c r="AL1621"/>
  <c r="AL1619"/>
  <c r="AL1604"/>
  <c r="AL1603"/>
  <c r="AL1601"/>
  <c r="AL1602"/>
  <c r="AL1596"/>
  <c r="AL1595"/>
  <c r="AL1594"/>
  <c r="AL1593"/>
  <c r="AL1591"/>
  <c r="AL1582"/>
  <c r="AL1581"/>
  <c r="AL1580"/>
  <c r="AL1579"/>
  <c r="AL1576"/>
  <c r="AL1574"/>
  <c r="AL1530"/>
  <c r="AL1528"/>
  <c r="AL1515"/>
  <c r="AL1449"/>
  <c r="AL1448"/>
  <c r="AL1447"/>
  <c r="AL1443"/>
  <c r="AL1444"/>
  <c r="AL1442"/>
  <c r="AL1441"/>
  <c r="AL1446"/>
  <c r="AL1413"/>
  <c r="AL1412"/>
  <c r="AL1407"/>
  <c r="AL1405"/>
  <c r="AL1403"/>
  <c r="AL1402"/>
  <c r="AL1401"/>
  <c r="AL1398"/>
  <c r="AL1397"/>
  <c r="AL1395"/>
  <c r="AL1394"/>
  <c r="AL1393"/>
  <c r="AL1392"/>
  <c r="AL1391"/>
  <c r="AL1388"/>
  <c r="AL1387"/>
  <c r="AL1385"/>
  <c r="AL1382"/>
  <c r="AL1381"/>
  <c r="AL1376"/>
  <c r="AL1367"/>
  <c r="AL1364"/>
  <c r="AL1352"/>
  <c r="AL1349"/>
  <c r="AL1345"/>
  <c r="AL1344"/>
  <c r="AL1342"/>
  <c r="AL1328"/>
  <c r="AL1327"/>
  <c r="AL1326"/>
  <c r="AL1324"/>
  <c r="AL1323"/>
  <c r="AL1316"/>
  <c r="AL1310"/>
  <c r="AL1307"/>
  <c r="AL1300"/>
  <c r="AL1299"/>
  <c r="AL1298"/>
  <c r="AL1296"/>
  <c r="AL1291"/>
  <c r="AL1268"/>
  <c r="AL1273"/>
  <c r="AL1233"/>
  <c r="AL1232"/>
  <c r="AL1223"/>
  <c r="AL1221"/>
  <c r="AL1201"/>
  <c r="AL1205"/>
  <c r="AL1203"/>
  <c r="AL1202"/>
  <c r="AL1197"/>
  <c r="AL1194"/>
  <c r="AL1189"/>
  <c r="AL1188"/>
  <c r="AL1187"/>
  <c r="AL1186"/>
  <c r="AL1184"/>
  <c r="AL1183"/>
  <c r="AL1182"/>
  <c r="AL1180"/>
  <c r="AL1178"/>
  <c r="AL1177"/>
  <c r="AL1176"/>
  <c r="AL1175"/>
  <c r="AL1174"/>
  <c r="AL1173"/>
  <c r="AL1171"/>
  <c r="AL1170"/>
  <c r="AL1169"/>
  <c r="AL1168"/>
  <c r="AL1156"/>
  <c r="AL1155"/>
  <c r="AL1154"/>
  <c r="AL1149"/>
  <c r="AL1144"/>
  <c r="AL1143"/>
  <c r="AL1142"/>
  <c r="AL1141"/>
  <c r="AL1138"/>
  <c r="AL1624"/>
  <c r="AL1506"/>
  <c r="AL1240"/>
  <c r="AL1216"/>
  <c r="AL1135"/>
  <c r="AL1132"/>
  <c r="AL1111"/>
  <c r="AL1117"/>
  <c r="AL1115"/>
  <c r="AL1101"/>
  <c r="AL1099"/>
  <c r="AL1097"/>
  <c r="AL1095"/>
  <c r="AL1080"/>
  <c r="AL1079"/>
  <c r="AL1055"/>
  <c r="AL1053"/>
  <c r="AL1051"/>
  <c r="AL1050"/>
  <c r="AL1024"/>
  <c r="AL1023"/>
  <c r="AL1022"/>
  <c r="AL1021"/>
  <c r="AL1011"/>
  <c r="AL1010"/>
  <c r="AL1000"/>
  <c r="AL999"/>
  <c r="AL993"/>
  <c r="AL992"/>
  <c r="AL989"/>
  <c r="AL987"/>
  <c r="AL978"/>
  <c r="AL976"/>
  <c r="AL975"/>
  <c r="AL970"/>
  <c r="AL969"/>
  <c r="AL967"/>
  <c r="AL960"/>
  <c r="AL953"/>
  <c r="AL952"/>
  <c r="AL951"/>
  <c r="AL946"/>
  <c r="AL921"/>
  <c r="AL917"/>
  <c r="AL913"/>
  <c r="AL912"/>
  <c r="AL910"/>
  <c r="AL909"/>
  <c r="AL905"/>
  <c r="AL904"/>
  <c r="AL903"/>
  <c r="AL902"/>
  <c r="AL901"/>
  <c r="AL900"/>
  <c r="AL898"/>
  <c r="AL897"/>
  <c r="AL896"/>
  <c r="AL895"/>
  <c r="AL894"/>
  <c r="AL893"/>
  <c r="AL887"/>
  <c r="AL886"/>
  <c r="AL885"/>
  <c r="AL880"/>
  <c r="AL878"/>
  <c r="AL877"/>
  <c r="AL875"/>
  <c r="AL874"/>
  <c r="AL846"/>
  <c r="AL845"/>
  <c r="AL844"/>
  <c r="AL843"/>
  <c r="AL842"/>
  <c r="AL841"/>
  <c r="AL840"/>
  <c r="AL839"/>
  <c r="AL825"/>
  <c r="AL823"/>
  <c r="AL822"/>
  <c r="AL821"/>
  <c r="AL820"/>
  <c r="AL804"/>
  <c r="AL803"/>
  <c r="AL802"/>
  <c r="AL801"/>
  <c r="AL800"/>
  <c r="AL798"/>
  <c r="AL797"/>
  <c r="AL796"/>
  <c r="AL795"/>
  <c r="AL794"/>
  <c r="AL793"/>
  <c r="AL792"/>
  <c r="AL791"/>
  <c r="AL790"/>
  <c r="AL745"/>
  <c r="AL738"/>
  <c r="AL737"/>
  <c r="AL736"/>
  <c r="AL735"/>
  <c r="AL726"/>
  <c r="AL723"/>
  <c r="AL704"/>
  <c r="AL703"/>
  <c r="AL702"/>
  <c r="AL699"/>
  <c r="AL700"/>
  <c r="AL701"/>
  <c r="AL705"/>
  <c r="AL721"/>
  <c r="AL722"/>
  <c r="AL724"/>
  <c r="AL725"/>
  <c r="AL733"/>
  <c r="AL734"/>
  <c r="AL739"/>
  <c r="AL740"/>
  <c r="AL741"/>
  <c r="AL742"/>
  <c r="AL743"/>
  <c r="AL746"/>
  <c r="AL747"/>
  <c r="AL748"/>
  <c r="AL749"/>
  <c r="AL789"/>
  <c r="AL799"/>
  <c r="AL805"/>
  <c r="AL813"/>
  <c r="AL814"/>
  <c r="AL819"/>
  <c r="AL824"/>
  <c r="AL826"/>
  <c r="AL827"/>
  <c r="AL828"/>
  <c r="AL829"/>
  <c r="AL830"/>
  <c r="AL831"/>
  <c r="AL832"/>
  <c r="AL833"/>
  <c r="AL835"/>
  <c r="AL836"/>
  <c r="AL837"/>
  <c r="AL838"/>
  <c r="AL872"/>
  <c r="AL873"/>
  <c r="AL672"/>
  <c r="AL671"/>
  <c r="AL670"/>
  <c r="AL665"/>
  <c r="AL662"/>
  <c r="AL655"/>
  <c r="AL654"/>
  <c r="AL643"/>
  <c r="AL642"/>
  <c r="AL530"/>
  <c r="AL529"/>
  <c r="AL427"/>
  <c r="AL425"/>
  <c r="AL421"/>
  <c r="AL415"/>
  <c r="AL410"/>
  <c r="AL373"/>
  <c r="AL370"/>
  <c r="AL369"/>
  <c r="AL368"/>
  <c r="AL298"/>
  <c r="AL297"/>
  <c r="AL296"/>
  <c r="AL295"/>
  <c r="AL206"/>
  <c r="AL200"/>
  <c r="AL199"/>
  <c r="AL198"/>
  <c r="AL110"/>
  <c r="AL396"/>
  <c r="AL906"/>
  <c r="AL1544"/>
  <c r="AL1583"/>
  <c r="AL1356"/>
  <c r="AL1588"/>
  <c r="AL1547"/>
  <c r="AL1585"/>
  <c r="AL1365"/>
  <c r="AL556"/>
  <c r="AL567"/>
  <c r="AL484"/>
  <c r="AL571"/>
  <c r="AL572"/>
  <c r="AL1640"/>
  <c r="AL998"/>
  <c r="AL991"/>
  <c r="AL698"/>
  <c r="AL1389"/>
  <c r="AL1351"/>
  <c r="AL1181"/>
  <c r="AL931"/>
  <c r="AL961"/>
  <c r="AL964"/>
  <c r="AL632"/>
  <c r="AL628"/>
  <c r="AL624"/>
  <c r="Z624"/>
  <c r="AL623"/>
  <c r="AL622"/>
  <c r="AL619"/>
  <c r="AL618"/>
  <c r="AL610"/>
  <c r="AL605"/>
  <c r="AL604"/>
  <c r="AL603"/>
  <c r="AL602"/>
  <c r="AL601"/>
  <c r="AL600"/>
  <c r="AL597"/>
  <c r="AL596"/>
  <c r="AL579"/>
  <c r="AL573"/>
  <c r="AL570"/>
  <c r="AL568"/>
  <c r="AL565"/>
  <c r="AL564"/>
  <c r="AL563"/>
  <c r="AL545"/>
  <c r="AL544"/>
  <c r="AL532"/>
  <c r="AL524"/>
  <c r="AL522"/>
  <c r="AL521"/>
  <c r="AL519"/>
  <c r="AL518"/>
  <c r="AL517"/>
  <c r="AL516"/>
  <c r="AL515"/>
  <c r="AL513"/>
  <c r="AL502"/>
  <c r="AL496"/>
  <c r="AL495"/>
  <c r="AL492"/>
  <c r="AL489"/>
  <c r="AL487"/>
  <c r="AL486"/>
  <c r="AL485"/>
  <c r="AL483"/>
  <c r="AL482"/>
  <c r="AL419"/>
  <c r="AL417"/>
  <c r="AL413"/>
  <c r="AL412"/>
  <c r="AL409"/>
  <c r="AL408"/>
  <c r="AL407"/>
  <c r="AL404"/>
  <c r="AL401"/>
  <c r="AL400"/>
  <c r="AL399"/>
  <c r="AL398"/>
  <c r="AL397"/>
  <c r="AL395"/>
  <c r="AL394"/>
  <c r="AL392"/>
  <c r="AL390"/>
  <c r="AL388"/>
  <c r="AL387"/>
  <c r="AL386"/>
  <c r="AL382"/>
  <c r="AL381"/>
  <c r="AL380"/>
  <c r="AL379"/>
  <c r="AL376"/>
  <c r="AL374"/>
  <c r="AL371"/>
  <c r="AL357"/>
  <c r="AL356"/>
  <c r="AL353"/>
  <c r="AL343"/>
  <c r="AL340"/>
  <c r="AL338"/>
  <c r="AL337"/>
  <c r="AL322"/>
  <c r="AL317"/>
  <c r="AL316"/>
  <c r="AL315"/>
  <c r="AL313"/>
  <c r="AL307"/>
  <c r="AL292"/>
  <c r="AL291"/>
  <c r="AL275"/>
  <c r="AL274"/>
  <c r="AL268"/>
  <c r="AL267"/>
  <c r="AL262"/>
  <c r="AL261"/>
  <c r="AL259"/>
  <c r="AL256"/>
  <c r="AL251"/>
  <c r="AL250"/>
  <c r="AL248"/>
  <c r="AL245"/>
  <c r="AL228"/>
  <c r="AL227"/>
  <c r="AL218"/>
  <c r="AL216"/>
  <c r="AL215"/>
  <c r="AL210"/>
  <c r="AL207"/>
  <c r="AL205"/>
  <c r="AL204"/>
  <c r="AL203"/>
  <c r="AL197"/>
  <c r="AL196"/>
  <c r="AL195"/>
  <c r="AL194"/>
  <c r="AL186"/>
  <c r="AL183"/>
  <c r="AL181"/>
  <c r="AL180"/>
  <c r="AL179"/>
  <c r="AL178"/>
  <c r="AL175"/>
  <c r="AL174"/>
  <c r="AL167"/>
  <c r="AL166"/>
  <c r="AL165"/>
  <c r="AL164"/>
  <c r="AL157"/>
  <c r="AL155"/>
  <c r="AL153"/>
  <c r="AL150"/>
  <c r="AL148"/>
  <c r="AL147"/>
  <c r="AL146"/>
  <c r="AL145"/>
  <c r="AL144"/>
  <c r="AL143"/>
  <c r="AL142"/>
  <c r="AL133"/>
  <c r="AL132"/>
  <c r="AL131"/>
  <c r="AL127"/>
  <c r="AL130"/>
  <c r="AL113"/>
  <c r="AL112"/>
  <c r="AL111"/>
  <c r="AL109"/>
  <c r="AL86"/>
  <c r="AL69"/>
  <c r="AL68"/>
  <c r="AL67"/>
  <c r="AL66"/>
  <c r="AL65"/>
  <c r="AL64"/>
  <c r="AL42"/>
  <c r="AL41"/>
  <c r="AL33"/>
  <c r="AL27"/>
  <c r="AL23"/>
  <c r="AL24"/>
  <c r="AL171"/>
  <c r="AL129"/>
  <c r="AL494"/>
  <c r="AL244"/>
  <c r="AQ1009" l="1"/>
  <c r="AQ174"/>
  <c r="AP174"/>
  <c r="AQ163"/>
  <c r="AM813"/>
  <c r="AM835"/>
  <c r="AM819"/>
  <c r="AM733"/>
  <c r="AM745"/>
  <c r="AM356"/>
  <c r="AN356" s="1"/>
  <c r="AU356" s="1"/>
  <c r="AM789"/>
  <c r="AS163"/>
  <c r="AR163"/>
  <c r="AS20"/>
  <c r="AQ20"/>
  <c r="AR20"/>
  <c r="AR37"/>
  <c r="AS37"/>
  <c r="AQ37"/>
  <c r="AR81"/>
  <c r="AS81"/>
  <c r="AQ81"/>
  <c r="AS105"/>
  <c r="AR105"/>
  <c r="AP105"/>
  <c r="AS194"/>
  <c r="AQ194"/>
  <c r="AR194"/>
  <c r="AP194"/>
  <c r="AS225"/>
  <c r="AQ225"/>
  <c r="AR225"/>
  <c r="AP225"/>
  <c r="AQ325"/>
  <c r="AN325"/>
  <c r="AR325"/>
  <c r="AP325"/>
  <c r="AS325"/>
  <c r="AR435"/>
  <c r="AP435"/>
  <c r="AS435"/>
  <c r="AQ435"/>
  <c r="AR498"/>
  <c r="AS498"/>
  <c r="AQ498"/>
  <c r="AR535"/>
  <c r="AP535"/>
  <c r="AS535"/>
  <c r="AQ535"/>
  <c r="AS594"/>
  <c r="AR594"/>
  <c r="AS641"/>
  <c r="AQ641"/>
  <c r="AR641"/>
  <c r="AP641"/>
  <c r="AR659"/>
  <c r="AP659"/>
  <c r="AS659"/>
  <c r="AQ659"/>
  <c r="AR721"/>
  <c r="AP721"/>
  <c r="AS721"/>
  <c r="AQ721"/>
  <c r="AR745"/>
  <c r="AS745"/>
  <c r="AQ745"/>
  <c r="AN745"/>
  <c r="AR780"/>
  <c r="AP780"/>
  <c r="AS780"/>
  <c r="AQ780"/>
  <c r="AN780"/>
  <c r="AR813"/>
  <c r="AP813"/>
  <c r="AS813"/>
  <c r="AQ813"/>
  <c r="AN813"/>
  <c r="AR934"/>
  <c r="AP934"/>
  <c r="AS934"/>
  <c r="AR967"/>
  <c r="AP967"/>
  <c r="AS967"/>
  <c r="AQ967"/>
  <c r="AS986"/>
  <c r="AQ986"/>
  <c r="AR986"/>
  <c r="AS1009"/>
  <c r="AR1009"/>
  <c r="AP1009"/>
  <c r="AS1041"/>
  <c r="AQ1041"/>
  <c r="AR1041"/>
  <c r="AP1041"/>
  <c r="AQ1061"/>
  <c r="AR1061"/>
  <c r="AP1061"/>
  <c r="AS1149"/>
  <c r="AT1149" s="1"/>
  <c r="AR1149"/>
  <c r="AS1218"/>
  <c r="AQ1218"/>
  <c r="AR1218"/>
  <c r="AP1218"/>
  <c r="AS1276"/>
  <c r="AQ1276"/>
  <c r="AR1276"/>
  <c r="AS1293"/>
  <c r="AQ1293"/>
  <c r="AR1293"/>
  <c r="AS1340"/>
  <c r="AR1340"/>
  <c r="AS1364"/>
  <c r="AR1364"/>
  <c r="AP1364"/>
  <c r="AS1437"/>
  <c r="AQ1437"/>
  <c r="AR1437"/>
  <c r="AR1481"/>
  <c r="AQ1481"/>
  <c r="AS1541"/>
  <c r="AQ1541"/>
  <c r="AR1541"/>
  <c r="AR1591"/>
  <c r="AP1591"/>
  <c r="AS1591"/>
  <c r="AQ1591"/>
  <c r="AR1627"/>
  <c r="AS1627"/>
  <c r="AS1663"/>
  <c r="AR1663"/>
  <c r="AR1675"/>
  <c r="AS1675"/>
  <c r="AT1675" s="1"/>
  <c r="AS1704"/>
  <c r="AR1704"/>
  <c r="AR30"/>
  <c r="AS30"/>
  <c r="AQ30"/>
  <c r="AR46"/>
  <c r="AS46"/>
  <c r="AR73"/>
  <c r="AS73"/>
  <c r="AQ73"/>
  <c r="AN73"/>
  <c r="AR95"/>
  <c r="AP95"/>
  <c r="AS95"/>
  <c r="AQ95"/>
  <c r="AS116"/>
  <c r="AQ116"/>
  <c r="AR116"/>
  <c r="AP116"/>
  <c r="AR137"/>
  <c r="AS137"/>
  <c r="AS174"/>
  <c r="AR174"/>
  <c r="AQ248"/>
  <c r="AR248"/>
  <c r="AP248"/>
  <c r="AR337"/>
  <c r="AS337"/>
  <c r="AN459"/>
  <c r="AR482"/>
  <c r="AS482"/>
  <c r="AS508"/>
  <c r="AR508"/>
  <c r="AS542"/>
  <c r="AR542"/>
  <c r="AR562"/>
  <c r="AS562"/>
  <c r="AS606"/>
  <c r="AR606"/>
  <c r="AS636"/>
  <c r="AR636"/>
  <c r="AR652"/>
  <c r="AP652"/>
  <c r="AS652"/>
  <c r="AQ652"/>
  <c r="AQ665"/>
  <c r="AR763"/>
  <c r="AS763"/>
  <c r="AQ763"/>
  <c r="AN763"/>
  <c r="AS789"/>
  <c r="AN789"/>
  <c r="AR789"/>
  <c r="AR958"/>
  <c r="AP958"/>
  <c r="AS958"/>
  <c r="AQ958"/>
  <c r="AR997"/>
  <c r="AP997"/>
  <c r="AS997"/>
  <c r="AQ997"/>
  <c r="AR1019"/>
  <c r="AP1019"/>
  <c r="AS1019"/>
  <c r="AQ1019"/>
  <c r="AR1047"/>
  <c r="AS1047"/>
  <c r="AQ1047"/>
  <c r="AR1077"/>
  <c r="AP1077"/>
  <c r="AS1077"/>
  <c r="AQ1077"/>
  <c r="AS1110"/>
  <c r="AQ1110"/>
  <c r="AR1110"/>
  <c r="AS1160"/>
  <c r="AQ1160"/>
  <c r="AR1160"/>
  <c r="AP1160"/>
  <c r="AS1212"/>
  <c r="AQ1212"/>
  <c r="AR1212"/>
  <c r="AP1212"/>
  <c r="AR1250"/>
  <c r="AP1250"/>
  <c r="AS1250"/>
  <c r="AQ1250"/>
  <c r="AS1267"/>
  <c r="AQ1267"/>
  <c r="AR1267"/>
  <c r="AS1286"/>
  <c r="AR1286"/>
  <c r="AS1380"/>
  <c r="AQ1380"/>
  <c r="AR1380"/>
  <c r="AP1380"/>
  <c r="AS1427"/>
  <c r="AR1427"/>
  <c r="AR1466"/>
  <c r="AP1466"/>
  <c r="AS1466"/>
  <c r="AQ1466"/>
  <c r="AS1534"/>
  <c r="AR1534"/>
  <c r="AR1574"/>
  <c r="AS1574"/>
  <c r="AQ1574"/>
  <c r="AR1599"/>
  <c r="AP1599"/>
  <c r="AS1599"/>
  <c r="AQ1599"/>
  <c r="AS1615"/>
  <c r="AQ1615"/>
  <c r="AR1615"/>
  <c r="AP1615"/>
  <c r="AR1632"/>
  <c r="AS1632"/>
  <c r="AQ1632"/>
  <c r="AR1668"/>
  <c r="AS1668"/>
  <c r="AS1694"/>
  <c r="AQ1694"/>
  <c r="AR1694"/>
  <c r="AS124"/>
  <c r="AR124"/>
  <c r="AQ124"/>
  <c r="AR626"/>
  <c r="AS626"/>
  <c r="AR863"/>
  <c r="AS863"/>
  <c r="AQ863"/>
  <c r="AS891"/>
  <c r="AQ891"/>
  <c r="AR891"/>
  <c r="AP891"/>
  <c r="AR1087"/>
  <c r="AP1087"/>
  <c r="AS1087"/>
  <c r="AQ1087"/>
  <c r="AS1099"/>
  <c r="AQ1099"/>
  <c r="AR1099"/>
  <c r="AP1099"/>
  <c r="AS1125"/>
  <c r="AQ1125"/>
  <c r="AR1125"/>
  <c r="AP1125"/>
  <c r="AS1166"/>
  <c r="AQ1166"/>
  <c r="AR1166"/>
  <c r="AP1166"/>
  <c r="AR1199"/>
  <c r="AP1199"/>
  <c r="AS1199"/>
  <c r="AQ1199"/>
  <c r="AR1323"/>
  <c r="AS1323"/>
  <c r="AQ1323"/>
  <c r="AR1461"/>
  <c r="AS1461"/>
  <c r="AQ1461"/>
  <c r="AS733"/>
  <c r="AQ733"/>
  <c r="AN733"/>
  <c r="AR733"/>
  <c r="AS819"/>
  <c r="AQ819"/>
  <c r="AN819"/>
  <c r="AR819"/>
  <c r="AR872"/>
  <c r="AP872"/>
  <c r="AS872"/>
  <c r="AQ872"/>
  <c r="AS908"/>
  <c r="AR908"/>
  <c r="AR924"/>
  <c r="AQ924"/>
  <c r="AS1093"/>
  <c r="AQ1093"/>
  <c r="AP1093"/>
  <c r="AR1093"/>
  <c r="AS1132"/>
  <c r="AR1132"/>
  <c r="AS1191"/>
  <c r="AQ1191"/>
  <c r="AR1191"/>
  <c r="AP1191"/>
  <c r="AR1226"/>
  <c r="AS1226"/>
  <c r="AQ1304"/>
  <c r="AR1304"/>
  <c r="AS1304"/>
  <c r="AS1456"/>
  <c r="AR1456"/>
  <c r="AS1500"/>
  <c r="AP1500"/>
  <c r="AR1500"/>
  <c r="AR61"/>
  <c r="AT61" s="1"/>
  <c r="AS472"/>
  <c r="AR238"/>
  <c r="AS238"/>
  <c r="AS304"/>
  <c r="AQ304"/>
  <c r="AR304"/>
  <c r="AS366"/>
  <c r="AR472"/>
  <c r="AS549"/>
  <c r="AQ549"/>
  <c r="AR549"/>
  <c r="AT594"/>
  <c r="AN636"/>
  <c r="AS665"/>
  <c r="AR665"/>
  <c r="AS924"/>
  <c r="AS974"/>
  <c r="AQ974"/>
  <c r="AR974"/>
  <c r="AN1335"/>
  <c r="AS1335"/>
  <c r="AS1359"/>
  <c r="AT1380"/>
  <c r="AQ1456"/>
  <c r="AQ1500"/>
  <c r="AS1517"/>
  <c r="AR1517"/>
  <c r="AT1534"/>
  <c r="AS1647"/>
  <c r="AR1647"/>
  <c r="AS1657"/>
  <c r="AQ1657"/>
  <c r="AR1657"/>
  <c r="AS1680"/>
  <c r="AS1710"/>
  <c r="AR1710"/>
  <c r="AN95"/>
  <c r="AN116"/>
  <c r="AS220"/>
  <c r="AR220"/>
  <c r="AS233"/>
  <c r="AS248"/>
  <c r="AR294"/>
  <c r="AS294"/>
  <c r="AQ294"/>
  <c r="AR429"/>
  <c r="AS429"/>
  <c r="AR459"/>
  <c r="AS459"/>
  <c r="AQ459"/>
  <c r="AT482"/>
  <c r="AR556"/>
  <c r="AS556"/>
  <c r="AR915"/>
  <c r="AS915"/>
  <c r="AS1061"/>
  <c r="AR1235"/>
  <c r="AS1235"/>
  <c r="AR1257"/>
  <c r="AS1257"/>
  <c r="AR1405"/>
  <c r="AS1405"/>
  <c r="AS1481"/>
  <c r="AS1512"/>
  <c r="AS1610"/>
  <c r="AS1642"/>
  <c r="AR1652"/>
  <c r="AS1652"/>
  <c r="AS1685"/>
  <c r="AR1716"/>
  <c r="AS1716"/>
  <c r="AN1716"/>
  <c r="AN1694"/>
  <c r="AN1627"/>
  <c r="AN1160"/>
  <c r="AN1061"/>
  <c r="AT1061"/>
  <c r="AN1041"/>
  <c r="AT780"/>
  <c r="AU780" s="1"/>
  <c r="AT763"/>
  <c r="AU763" s="1"/>
  <c r="AN535"/>
  <c r="AN429"/>
  <c r="AT429"/>
  <c r="AN233"/>
  <c r="AT233"/>
  <c r="AU233" s="1"/>
  <c r="AN46"/>
  <c r="AT46"/>
  <c r="AN863"/>
  <c r="AN1087"/>
  <c r="AN1125"/>
  <c r="AG1721"/>
  <c r="AM1591"/>
  <c r="AN1591" s="1"/>
  <c r="AM1599"/>
  <c r="AN1599" s="1"/>
  <c r="AN1680"/>
  <c r="AN835"/>
  <c r="AM721"/>
  <c r="AN721" s="1"/>
  <c r="AU1061" l="1"/>
  <c r="AT1041"/>
  <c r="AU1041" s="1"/>
  <c r="AU46"/>
  <c r="AT721"/>
  <c r="AU721" s="1"/>
  <c r="AT325"/>
  <c r="AU325" s="1"/>
  <c r="AT238"/>
  <c r="AT1632"/>
  <c r="AT1615"/>
  <c r="AT1599"/>
  <c r="AU1599" s="1"/>
  <c r="AT1574"/>
  <c r="AT337"/>
  <c r="AT1591"/>
  <c r="AU1591" s="1"/>
  <c r="AT1160"/>
  <c r="AU1160" s="1"/>
  <c r="AT1437"/>
  <c r="AU1437" s="1"/>
  <c r="AT1364"/>
  <c r="AT1218"/>
  <c r="AT813"/>
  <c r="AU813" s="1"/>
  <c r="AT745"/>
  <c r="AU745" s="1"/>
  <c r="AT535"/>
  <c r="AU535" s="1"/>
  <c r="AT1087"/>
  <c r="AU1087" s="1"/>
  <c r="AT863"/>
  <c r="AU863" s="1"/>
  <c r="AT1125"/>
  <c r="AU1125" s="1"/>
  <c r="AT1235"/>
  <c r="AU1235" s="1"/>
  <c r="AT915"/>
  <c r="AU915" s="1"/>
  <c r="AT1456"/>
  <c r="AU1456" s="1"/>
  <c r="AT1526"/>
  <c r="AT124"/>
  <c r="AT1500"/>
  <c r="AT733"/>
  <c r="AU733" s="1"/>
  <c r="AT1166"/>
  <c r="AT1481"/>
  <c r="AT1323"/>
  <c r="AT1304"/>
  <c r="AT1276"/>
  <c r="AT1267"/>
  <c r="AT1226"/>
  <c r="AT1199"/>
  <c r="AT1099"/>
  <c r="AT1009"/>
  <c r="AT967"/>
  <c r="AT1191"/>
  <c r="AT789"/>
  <c r="AU789" s="1"/>
  <c r="AT659"/>
  <c r="AT194"/>
  <c r="AT626"/>
  <c r="AT459"/>
  <c r="AU459" s="1"/>
  <c r="AT1694"/>
  <c r="AU1694" s="1"/>
  <c r="AT652"/>
  <c r="AT304"/>
  <c r="AT294"/>
  <c r="AT37"/>
  <c r="AT20"/>
  <c r="AT220"/>
  <c r="AT1110"/>
  <c r="AT1077"/>
  <c r="AT924"/>
  <c r="AT872"/>
  <c r="AT472"/>
  <c r="AT366"/>
  <c r="AT1716"/>
  <c r="AU1716" s="1"/>
  <c r="AT1685"/>
  <c r="AT1663"/>
  <c r="AT1642"/>
  <c r="AT1627"/>
  <c r="AT1610"/>
  <c r="AT1541"/>
  <c r="AT1512"/>
  <c r="AT1461"/>
  <c r="AU1461" s="1"/>
  <c r="AT1405"/>
  <c r="AU1405" s="1"/>
  <c r="AT1340"/>
  <c r="AU1340" s="1"/>
  <c r="AT1293"/>
  <c r="AT1257"/>
  <c r="AU1257" s="1"/>
  <c r="AT934"/>
  <c r="AU934" s="1"/>
  <c r="AT891"/>
  <c r="AT819"/>
  <c r="AU819" s="1"/>
  <c r="AT695"/>
  <c r="AT641"/>
  <c r="AT606"/>
  <c r="AT556"/>
  <c r="AT508"/>
  <c r="AT313"/>
  <c r="AT248"/>
  <c r="AT174"/>
  <c r="AT1517"/>
  <c r="AT1466"/>
  <c r="AT1427"/>
  <c r="AT1359"/>
  <c r="AT1286"/>
  <c r="AT1250"/>
  <c r="AT1212"/>
  <c r="AT1132"/>
  <c r="AT1093"/>
  <c r="AT1047"/>
  <c r="AT908"/>
  <c r="AT835"/>
  <c r="AU835" s="1"/>
  <c r="AT665"/>
  <c r="AT614"/>
  <c r="AT498"/>
  <c r="AT435"/>
  <c r="AT349"/>
  <c r="AT286"/>
  <c r="AT225"/>
  <c r="AT163"/>
  <c r="AT105"/>
  <c r="AT137"/>
  <c r="AT30"/>
  <c r="AT1668"/>
  <c r="AT1647"/>
  <c r="AT1019"/>
  <c r="AT974"/>
  <c r="AT549"/>
  <c r="AT1704"/>
  <c r="AT1652"/>
  <c r="AT986"/>
  <c r="AT542"/>
  <c r="AT116"/>
  <c r="AU116" s="1"/>
  <c r="AT95"/>
  <c r="AU95" s="1"/>
  <c r="AT73"/>
  <c r="AU73" s="1"/>
  <c r="AT1710"/>
  <c r="AT1680"/>
  <c r="AT1657"/>
  <c r="AT1335"/>
  <c r="AT997"/>
  <c r="AT958"/>
  <c r="AT636"/>
  <c r="AT562"/>
  <c r="AT81"/>
  <c r="AL937"/>
  <c r="AT1721" l="1"/>
  <c r="Z376"/>
  <c r="Z570" l="1"/>
  <c r="Z122" i="14"/>
  <c r="Z121"/>
  <c r="AL1714" i="1" l="1"/>
  <c r="AL1691"/>
  <c r="AL1678"/>
  <c r="AL1665"/>
  <c r="AL1661"/>
  <c r="AL1654"/>
  <c r="AL1651"/>
  <c r="AL1645"/>
  <c r="AL1586"/>
  <c r="AL1546"/>
  <c r="AL1377"/>
  <c r="AL1306"/>
  <c r="AL1279"/>
  <c r="AL1270"/>
  <c r="AL1259"/>
  <c r="AL1253"/>
  <c r="AL1238"/>
  <c r="AL1220"/>
  <c r="AL1214"/>
  <c r="AL1193"/>
  <c r="AL1103"/>
  <c r="AL1048"/>
  <c r="AL1009"/>
  <c r="AM1009" s="1"/>
  <c r="AN1009" s="1"/>
  <c r="AU1009" s="1"/>
  <c r="AL997"/>
  <c r="AM997" s="1"/>
  <c r="AN997" s="1"/>
  <c r="AU997" s="1"/>
  <c r="AL924"/>
  <c r="AL899"/>
  <c r="AL667"/>
  <c r="AL659"/>
  <c r="AL615"/>
  <c r="AL589"/>
  <c r="AM587" s="1"/>
  <c r="AN587" s="1"/>
  <c r="AL559"/>
  <c r="AL546"/>
  <c r="AL531"/>
  <c r="AL500"/>
  <c r="AL367"/>
  <c r="AL249"/>
  <c r="AL201"/>
  <c r="AL168"/>
  <c r="AL161"/>
  <c r="AL84"/>
  <c r="AL39"/>
  <c r="AL32"/>
  <c r="AL488"/>
  <c r="AL1689"/>
  <c r="AL566"/>
  <c r="AL1715"/>
  <c r="AL1713"/>
  <c r="AL1711"/>
  <c r="AL1710"/>
  <c r="AL1707"/>
  <c r="AL1706"/>
  <c r="AL1690"/>
  <c r="AL1687"/>
  <c r="AL1686"/>
  <c r="AL1685"/>
  <c r="AL1677"/>
  <c r="AL1674"/>
  <c r="AL1673"/>
  <c r="AL1672"/>
  <c r="AL1666"/>
  <c r="AL1660"/>
  <c r="AL1658"/>
  <c r="AL1657"/>
  <c r="AL1653"/>
  <c r="AL1652"/>
  <c r="AL1648"/>
  <c r="AL1647"/>
  <c r="AL1644"/>
  <c r="AL1643"/>
  <c r="AL1642"/>
  <c r="AL1639"/>
  <c r="AL1636"/>
  <c r="AL1634"/>
  <c r="AL1620"/>
  <c r="AL1618"/>
  <c r="AL1587"/>
  <c r="AL1584"/>
  <c r="AL1578"/>
  <c r="AL1577"/>
  <c r="AL1545"/>
  <c r="AL1543"/>
  <c r="AL1537"/>
  <c r="AL1536"/>
  <c r="AL1534"/>
  <c r="AL1533"/>
  <c r="AL1532"/>
  <c r="AL1531"/>
  <c r="AL1529"/>
  <c r="AL1524"/>
  <c r="AL1523"/>
  <c r="AL1522"/>
  <c r="AL1521"/>
  <c r="AL1520"/>
  <c r="AL1519"/>
  <c r="AL1518"/>
  <c r="AL1516"/>
  <c r="AL1514"/>
  <c r="AL1505"/>
  <c r="AL1504"/>
  <c r="AL1503"/>
  <c r="AL1502"/>
  <c r="AL1484"/>
  <c r="AL1483"/>
  <c r="AL1468"/>
  <c r="AM1466" s="1"/>
  <c r="AN1466" s="1"/>
  <c r="AU1466" s="1"/>
  <c r="AL1465"/>
  <c r="AL1464"/>
  <c r="AL1463"/>
  <c r="AL1460"/>
  <c r="AL1459"/>
  <c r="AL1458"/>
  <c r="AL1450"/>
  <c r="AL1445"/>
  <c r="AL1440"/>
  <c r="AL1439"/>
  <c r="AL1435"/>
  <c r="AL1434"/>
  <c r="AL1433"/>
  <c r="AL1432"/>
  <c r="AL1431"/>
  <c r="AL1430"/>
  <c r="AL1429"/>
  <c r="AL1414"/>
  <c r="AL1408"/>
  <c r="AL1406"/>
  <c r="AL1400"/>
  <c r="AL1396"/>
  <c r="AL1390"/>
  <c r="AL1386"/>
  <c r="AL1384"/>
  <c r="AL1380"/>
  <c r="AL1375"/>
  <c r="AL1374"/>
  <c r="AL1373"/>
  <c r="AL1372"/>
  <c r="AL1371"/>
  <c r="AL1370"/>
  <c r="AL1369"/>
  <c r="AL1368"/>
  <c r="AL1362"/>
  <c r="AM1359" s="1"/>
  <c r="AN1359" s="1"/>
  <c r="AL1361"/>
  <c r="AL1357"/>
  <c r="AL1355"/>
  <c r="AL1354"/>
  <c r="AL1353"/>
  <c r="AL1350"/>
  <c r="AL1348"/>
  <c r="AL1347"/>
  <c r="AL1343"/>
  <c r="AL1341"/>
  <c r="AL1340"/>
  <c r="AL1333"/>
  <c r="AL1332"/>
  <c r="AL1331"/>
  <c r="AL1330"/>
  <c r="AL1329"/>
  <c r="AL1321"/>
  <c r="AL1320"/>
  <c r="AL1319"/>
  <c r="AL1318"/>
  <c r="AL1317"/>
  <c r="AL1315"/>
  <c r="AL1314"/>
  <c r="AL1313"/>
  <c r="AL1312"/>
  <c r="AL1311"/>
  <c r="AL1309"/>
  <c r="AL1308"/>
  <c r="AL1305"/>
  <c r="AL1302"/>
  <c r="AL1301"/>
  <c r="AL1297"/>
  <c r="AL1295"/>
  <c r="AL1293"/>
  <c r="AL1290"/>
  <c r="AL1289"/>
  <c r="AL1288"/>
  <c r="AL1286"/>
  <c r="AL1281"/>
  <c r="AL1280"/>
  <c r="AL1278"/>
  <c r="AL1276"/>
  <c r="AL1272"/>
  <c r="AL1271"/>
  <c r="AL1269"/>
  <c r="AL1267"/>
  <c r="AL1261"/>
  <c r="AL1260"/>
  <c r="AL1252"/>
  <c r="AL1251"/>
  <c r="AL1250"/>
  <c r="AL1241"/>
  <c r="AL1239"/>
  <c r="AL1237"/>
  <c r="AL1235"/>
  <c r="AL1231"/>
  <c r="AL1230"/>
  <c r="AL1228"/>
  <c r="AL1227"/>
  <c r="AL1226"/>
  <c r="AL1222"/>
  <c r="AL1215"/>
  <c r="AL1212"/>
  <c r="AL1210"/>
  <c r="AL1209"/>
  <c r="AL1208"/>
  <c r="AL1207"/>
  <c r="AL1206"/>
  <c r="AL1204"/>
  <c r="AL1196"/>
  <c r="AL1195"/>
  <c r="AL1185"/>
  <c r="AL1172"/>
  <c r="AL1158"/>
  <c r="AL1157"/>
  <c r="AL1153"/>
  <c r="AL1152"/>
  <c r="AL1151"/>
  <c r="AL1150"/>
  <c r="AL1147"/>
  <c r="AL1146"/>
  <c r="AL1145"/>
  <c r="AL1140"/>
  <c r="AL1139"/>
  <c r="AL1137"/>
  <c r="AL1136"/>
  <c r="AL1134"/>
  <c r="AL1118"/>
  <c r="AL1116"/>
  <c r="AL1114"/>
  <c r="AL1113"/>
  <c r="AL1112"/>
  <c r="AL1110"/>
  <c r="AL1107"/>
  <c r="AL1106"/>
  <c r="AL1105"/>
  <c r="AL1104"/>
  <c r="AL1102"/>
  <c r="AL1100"/>
  <c r="AL1096"/>
  <c r="AL1094"/>
  <c r="AL1093"/>
  <c r="AL1078"/>
  <c r="AL1077"/>
  <c r="AL1060"/>
  <c r="AL1059"/>
  <c r="AL1058"/>
  <c r="AL1057"/>
  <c r="AL1056"/>
  <c r="AL1054"/>
  <c r="AL1052"/>
  <c r="AL1049"/>
  <c r="AL1047"/>
  <c r="AL1028"/>
  <c r="AL1027"/>
  <c r="AL1026"/>
  <c r="AL1025"/>
  <c r="AL1020"/>
  <c r="AL1019"/>
  <c r="AL994"/>
  <c r="AL990"/>
  <c r="AL988"/>
  <c r="AL986"/>
  <c r="AL981"/>
  <c r="AL980"/>
  <c r="AL979"/>
  <c r="AL977"/>
  <c r="AL974"/>
  <c r="AL972"/>
  <c r="AL971"/>
  <c r="AL968"/>
  <c r="AL965"/>
  <c r="AL963"/>
  <c r="AL962"/>
  <c r="AL959"/>
  <c r="AL958"/>
  <c r="AL955"/>
  <c r="AL954"/>
  <c r="AL950"/>
  <c r="AL949"/>
  <c r="AL948"/>
  <c r="AL947"/>
  <c r="AL945"/>
  <c r="AL944"/>
  <c r="AL943"/>
  <c r="AL942"/>
  <c r="AL941"/>
  <c r="AL940"/>
  <c r="AL939"/>
  <c r="AL938"/>
  <c r="AL936"/>
  <c r="AL935"/>
  <c r="AL934"/>
  <c r="AL932"/>
  <c r="AL930"/>
  <c r="AL929"/>
  <c r="AL928"/>
  <c r="AL926"/>
  <c r="AL925"/>
  <c r="AL922"/>
  <c r="AL920"/>
  <c r="AL919"/>
  <c r="AL918"/>
  <c r="AL916"/>
  <c r="AL915"/>
  <c r="AL911"/>
  <c r="AL908"/>
  <c r="AL892"/>
  <c r="AL891"/>
  <c r="AL889"/>
  <c r="AL888"/>
  <c r="AL884"/>
  <c r="AL883"/>
  <c r="AL882"/>
  <c r="AL881"/>
  <c r="AL879"/>
  <c r="AL876"/>
  <c r="AL697"/>
  <c r="AL696"/>
  <c r="AL695"/>
  <c r="AL682"/>
  <c r="AL681"/>
  <c r="AL680"/>
  <c r="AL679"/>
  <c r="AL678"/>
  <c r="AL677"/>
  <c r="AL676"/>
  <c r="AL675"/>
  <c r="AL674"/>
  <c r="AL673"/>
  <c r="AL669"/>
  <c r="AL668"/>
  <c r="AL666"/>
  <c r="AM665" s="1"/>
  <c r="AL663"/>
  <c r="AL661"/>
  <c r="AL660"/>
  <c r="AL653"/>
  <c r="AL652"/>
  <c r="AL644"/>
  <c r="AL641"/>
  <c r="AL635"/>
  <c r="AL634"/>
  <c r="AL633"/>
  <c r="AL631"/>
  <c r="AL630"/>
  <c r="AL629"/>
  <c r="AL627"/>
  <c r="AL626"/>
  <c r="AL621"/>
  <c r="AL620"/>
  <c r="AL617"/>
  <c r="AL616"/>
  <c r="AL612"/>
  <c r="AL611"/>
  <c r="AL609"/>
  <c r="AL608"/>
  <c r="AL595"/>
  <c r="AL594"/>
  <c r="AL586"/>
  <c r="AL585"/>
  <c r="AL584"/>
  <c r="AL583"/>
  <c r="AL582"/>
  <c r="AL581"/>
  <c r="AL580"/>
  <c r="AL578"/>
  <c r="AL577"/>
  <c r="AL576"/>
  <c r="AL575"/>
  <c r="AL569"/>
  <c r="AL562"/>
  <c r="AM562" s="1"/>
  <c r="AN562" s="1"/>
  <c r="AL558"/>
  <c r="AM556" s="1"/>
  <c r="AN556" s="1"/>
  <c r="AU556" s="1"/>
  <c r="AL547"/>
  <c r="AL543"/>
  <c r="AL542"/>
  <c r="AM542" s="1"/>
  <c r="AN542" s="1"/>
  <c r="AL533"/>
  <c r="AL528"/>
  <c r="AL527"/>
  <c r="AL526"/>
  <c r="AL525"/>
  <c r="AL523"/>
  <c r="AL520"/>
  <c r="AL514"/>
  <c r="AL512"/>
  <c r="AL511"/>
  <c r="AL510"/>
  <c r="AL503"/>
  <c r="AL501"/>
  <c r="AL493"/>
  <c r="AL491"/>
  <c r="AL476"/>
  <c r="AL475"/>
  <c r="AL474"/>
  <c r="AM472" s="1"/>
  <c r="AN472" s="1"/>
  <c r="AU472" s="1"/>
  <c r="AL440"/>
  <c r="AL439"/>
  <c r="AL438"/>
  <c r="AL437"/>
  <c r="AM435" s="1"/>
  <c r="AN435" s="1"/>
  <c r="AU435" s="1"/>
  <c r="AL426"/>
  <c r="AL424"/>
  <c r="AL423"/>
  <c r="AL422"/>
  <c r="AL420"/>
  <c r="AL418"/>
  <c r="AL416"/>
  <c r="AL414"/>
  <c r="AL411"/>
  <c r="AL406"/>
  <c r="AL405"/>
  <c r="AL403"/>
  <c r="AL402"/>
  <c r="AL393"/>
  <c r="AL391"/>
  <c r="AL389"/>
  <c r="AL385"/>
  <c r="AL384"/>
  <c r="AL383"/>
  <c r="AL378"/>
  <c r="AL377"/>
  <c r="AL375"/>
  <c r="AL372"/>
  <c r="AL354"/>
  <c r="AL352"/>
  <c r="AL351"/>
  <c r="AM349" s="1"/>
  <c r="AN349" s="1"/>
  <c r="AU349" s="1"/>
  <c r="AL347"/>
  <c r="AL346"/>
  <c r="AL345"/>
  <c r="AL344"/>
  <c r="AL342"/>
  <c r="AL341"/>
  <c r="AL339"/>
  <c r="AL323"/>
  <c r="AL321"/>
  <c r="AL320"/>
  <c r="AL319"/>
  <c r="AL318"/>
  <c r="AM313" s="1"/>
  <c r="AN313" s="1"/>
  <c r="AL308"/>
  <c r="AL306"/>
  <c r="AM304" s="1"/>
  <c r="AL299"/>
  <c r="AM294" s="1"/>
  <c r="AN294" s="1"/>
  <c r="AU294" s="1"/>
  <c r="AL290"/>
  <c r="AL289"/>
  <c r="AL288"/>
  <c r="AM286" s="1"/>
  <c r="AN286" s="1"/>
  <c r="AU286" s="1"/>
  <c r="AL278"/>
  <c r="AL277"/>
  <c r="AL276"/>
  <c r="AL273"/>
  <c r="AM271" s="1"/>
  <c r="AL269"/>
  <c r="AL266"/>
  <c r="AL265"/>
  <c r="AL264"/>
  <c r="AL263"/>
  <c r="AL260"/>
  <c r="AL258"/>
  <c r="AL257"/>
  <c r="AL255"/>
  <c r="AL254"/>
  <c r="AL253"/>
  <c r="AL252"/>
  <c r="AL246"/>
  <c r="AL243"/>
  <c r="AL242"/>
  <c r="AL241"/>
  <c r="AL240"/>
  <c r="AL231"/>
  <c r="AL230"/>
  <c r="AL229"/>
  <c r="AL222"/>
  <c r="AM220" s="1"/>
  <c r="AN220" s="1"/>
  <c r="AL217"/>
  <c r="AL214"/>
  <c r="AL213"/>
  <c r="AL212"/>
  <c r="AL211"/>
  <c r="AL209"/>
  <c r="AL208"/>
  <c r="AL202"/>
  <c r="AL192"/>
  <c r="AL191"/>
  <c r="AL190"/>
  <c r="AL189"/>
  <c r="AL188"/>
  <c r="AL187"/>
  <c r="AL185"/>
  <c r="AL184"/>
  <c r="AL182"/>
  <c r="AL177"/>
  <c r="AL173"/>
  <c r="AL170"/>
  <c r="AL169"/>
  <c r="AL163"/>
  <c r="AL160"/>
  <c r="AL159"/>
  <c r="AL158"/>
  <c r="AL156"/>
  <c r="AL154"/>
  <c r="AL152"/>
  <c r="AL151"/>
  <c r="AL149"/>
  <c r="AL141"/>
  <c r="AL138"/>
  <c r="AL128"/>
  <c r="AL126"/>
  <c r="AL115"/>
  <c r="AL108"/>
  <c r="AL107"/>
  <c r="AL85"/>
  <c r="AL71"/>
  <c r="AL70"/>
  <c r="AL63"/>
  <c r="AM61" s="1"/>
  <c r="AN61" s="1"/>
  <c r="AU61" s="1"/>
  <c r="AL44"/>
  <c r="AL40"/>
  <c r="AL28"/>
  <c r="AL26"/>
  <c r="AL25"/>
  <c r="AL22"/>
  <c r="Z1714"/>
  <c r="Z1712"/>
  <c r="Z1711"/>
  <c r="Z1710"/>
  <c r="Z1706"/>
  <c r="Z1704"/>
  <c r="Z1691"/>
  <c r="Z1689"/>
  <c r="Z1688"/>
  <c r="Z1687"/>
  <c r="Z1686"/>
  <c r="Z1685"/>
  <c r="Z1678"/>
  <c r="Z1671"/>
  <c r="Z1670"/>
  <c r="Z1665"/>
  <c r="Z1663"/>
  <c r="Z1661"/>
  <c r="Z1658"/>
  <c r="Z1657"/>
  <c r="Z1654"/>
  <c r="Z1652"/>
  <c r="Z1651"/>
  <c r="Z1649"/>
  <c r="Z1648"/>
  <c r="Z1647"/>
  <c r="Z1645"/>
  <c r="Z1643"/>
  <c r="Z1642"/>
  <c r="Z1640"/>
  <c r="Z1639"/>
  <c r="Z1638"/>
  <c r="Z1637"/>
  <c r="Z1636"/>
  <c r="Z1634"/>
  <c r="Z1632"/>
  <c r="Z1625"/>
  <c r="Z1623"/>
  <c r="Z1622"/>
  <c r="Z1621"/>
  <c r="Z1620"/>
  <c r="Z1619"/>
  <c r="Z1618"/>
  <c r="Z1617"/>
  <c r="Z1604"/>
  <c r="Z1603"/>
  <c r="Z1602"/>
  <c r="Z1601"/>
  <c r="Z1596"/>
  <c r="Z1595"/>
  <c r="Z1594"/>
  <c r="Z1593"/>
  <c r="Z1591"/>
  <c r="Z1588"/>
  <c r="Z1586"/>
  <c r="Z1585"/>
  <c r="Z1584"/>
  <c r="Z1583"/>
  <c r="Z1582"/>
  <c r="Z1581"/>
  <c r="Z1580"/>
  <c r="Z1579"/>
  <c r="Z1577"/>
  <c r="Z1576"/>
  <c r="Z1574"/>
  <c r="Z1547"/>
  <c r="Z1546"/>
  <c r="Z1545"/>
  <c r="Z1544"/>
  <c r="Z1543"/>
  <c r="Z1537"/>
  <c r="Z1536"/>
  <c r="Z1534"/>
  <c r="Z1533"/>
  <c r="Z1532"/>
  <c r="Z1531"/>
  <c r="Z1530"/>
  <c r="Z1529"/>
  <c r="Z1528"/>
  <c r="Z1524"/>
  <c r="Z1523"/>
  <c r="Z1522"/>
  <c r="Z1521"/>
  <c r="Z1520"/>
  <c r="Z1519"/>
  <c r="Z1516"/>
  <c r="Z1515"/>
  <c r="Z1514"/>
  <c r="Z1506"/>
  <c r="Z1505"/>
  <c r="Z1504"/>
  <c r="Z1503"/>
  <c r="Z1502"/>
  <c r="Z1484"/>
  <c r="Z1483"/>
  <c r="Z1468"/>
  <c r="Z1465"/>
  <c r="Z1464"/>
  <c r="Z1463"/>
  <c r="Z1460"/>
  <c r="Z1459"/>
  <c r="Z1458"/>
  <c r="Z1435"/>
  <c r="Z1434"/>
  <c r="Z1433"/>
  <c r="Z1432"/>
  <c r="Z1431"/>
  <c r="Z1430"/>
  <c r="Z1429"/>
  <c r="Z1414"/>
  <c r="Z1413"/>
  <c r="Z1407"/>
  <c r="Z1405"/>
  <c r="Z1403"/>
  <c r="Z1402"/>
  <c r="Z1401"/>
  <c r="Z1400"/>
  <c r="Z1398"/>
  <c r="Z1397"/>
  <c r="Z1395"/>
  <c r="Z1394"/>
  <c r="Z1393"/>
  <c r="Z1392"/>
  <c r="Z1391"/>
  <c r="Z1390"/>
  <c r="Z1389"/>
  <c r="Z1388"/>
  <c r="Z1387"/>
  <c r="Z1386"/>
  <c r="Z1385"/>
  <c r="Z1384"/>
  <c r="Z1382"/>
  <c r="Z1381"/>
  <c r="Z1380"/>
  <c r="Z1377"/>
  <c r="Z1376"/>
  <c r="Z1375"/>
  <c r="Z1374"/>
  <c r="Z1373"/>
  <c r="Z1372"/>
  <c r="Z1371"/>
  <c r="Z1370"/>
  <c r="Z1369"/>
  <c r="Z1364"/>
  <c r="Z1362"/>
  <c r="Z1361"/>
  <c r="Z1357"/>
  <c r="Z1356"/>
  <c r="Z1355"/>
  <c r="Z1354"/>
  <c r="Z1353"/>
  <c r="Z1352"/>
  <c r="Z1351"/>
  <c r="Z1350"/>
  <c r="Z1349"/>
  <c r="Z1348"/>
  <c r="Z1347"/>
  <c r="Z1345"/>
  <c r="Z1344"/>
  <c r="Z1343"/>
  <c r="Z1342"/>
  <c r="Z1341"/>
  <c r="Z1340"/>
  <c r="Z1328"/>
  <c r="Z1327"/>
  <c r="Z1326"/>
  <c r="Z1324"/>
  <c r="Z1323"/>
  <c r="Z1321"/>
  <c r="Z1320"/>
  <c r="Z1319"/>
  <c r="Z1316"/>
  <c r="Z1309"/>
  <c r="Z1308"/>
  <c r="Z1307"/>
  <c r="Z1306"/>
  <c r="Z1302"/>
  <c r="Z1301"/>
  <c r="Z1300"/>
  <c r="Z1299"/>
  <c r="Z1298"/>
  <c r="Z1296"/>
  <c r="Z1295"/>
  <c r="Z1293"/>
  <c r="Z1291"/>
  <c r="Z1290"/>
  <c r="Z1289"/>
  <c r="Z1288"/>
  <c r="Z1286"/>
  <c r="Z1281"/>
  <c r="Z1280"/>
  <c r="Z1278"/>
  <c r="Z1276"/>
  <c r="Z1271"/>
  <c r="Z1270"/>
  <c r="Z1269"/>
  <c r="Z1267"/>
  <c r="Z1261"/>
  <c r="Z1260"/>
  <c r="Z1259"/>
  <c r="Z1252"/>
  <c r="Z1250"/>
  <c r="Z1240"/>
  <c r="Z1239"/>
  <c r="Z1238"/>
  <c r="Z1237"/>
  <c r="Z1235"/>
  <c r="Z1233"/>
  <c r="Z1232"/>
  <c r="Z1231"/>
  <c r="Z1230"/>
  <c r="Z1228"/>
  <c r="Z1227"/>
  <c r="Z1226"/>
  <c r="Z1223"/>
  <c r="Z1222"/>
  <c r="Z1221"/>
  <c r="Z1220"/>
  <c r="Z1216"/>
  <c r="Z1215"/>
  <c r="Z1214"/>
  <c r="Z1212"/>
  <c r="Z1205"/>
  <c r="Z1204"/>
  <c r="Z1203"/>
  <c r="Z1202"/>
  <c r="Z1201"/>
  <c r="Z1196"/>
  <c r="Z1195"/>
  <c r="Z1194"/>
  <c r="Z1193"/>
  <c r="Z1189"/>
  <c r="Z1188"/>
  <c r="Z1187"/>
  <c r="Z1186"/>
  <c r="Z1185"/>
  <c r="Z1184"/>
  <c r="Z1183"/>
  <c r="Z1182"/>
  <c r="Z1181"/>
  <c r="Z1180"/>
  <c r="Z1178"/>
  <c r="Z1177"/>
  <c r="Z1176"/>
  <c r="Z1175"/>
  <c r="Z1174"/>
  <c r="Z1171"/>
  <c r="Z1170"/>
  <c r="Z1169"/>
  <c r="Z1168"/>
  <c r="Z1158"/>
  <c r="Z1157"/>
  <c r="Z1156"/>
  <c r="Z1155"/>
  <c r="Z1154"/>
  <c r="Z1152"/>
  <c r="Z1151"/>
  <c r="Z1149"/>
  <c r="Z1146"/>
  <c r="Z1145"/>
  <c r="Z1144"/>
  <c r="Z1143"/>
  <c r="Z1141"/>
  <c r="Z1140"/>
  <c r="Z1139"/>
  <c r="Z1138"/>
  <c r="Z1136"/>
  <c r="Z1135"/>
  <c r="Z1134"/>
  <c r="Z1132"/>
  <c r="Z1117"/>
  <c r="Z1116"/>
  <c r="Z1115"/>
  <c r="Z1114"/>
  <c r="Z1113"/>
  <c r="Z1112"/>
  <c r="Z1111"/>
  <c r="Z1110"/>
  <c r="Z1107"/>
  <c r="Z1106"/>
  <c r="Z1105"/>
  <c r="Z1104"/>
  <c r="Z1103"/>
  <c r="Z1102"/>
  <c r="Z1101"/>
  <c r="Z1100"/>
  <c r="Z1099"/>
  <c r="Z1097"/>
  <c r="Z1096"/>
  <c r="Z1095"/>
  <c r="Z1094"/>
  <c r="Z1093"/>
  <c r="Z1080"/>
  <c r="Z1079"/>
  <c r="Z1078"/>
  <c r="Z1077"/>
  <c r="Z1060"/>
  <c r="Z1059"/>
  <c r="Z1058"/>
  <c r="Z1057"/>
  <c r="Z1056"/>
  <c r="Z1054"/>
  <c r="Z1053"/>
  <c r="Z1052"/>
  <c r="Z1051"/>
  <c r="Z1049"/>
  <c r="Z1047"/>
  <c r="Z1028"/>
  <c r="Z1027"/>
  <c r="Z1026"/>
  <c r="Z1025"/>
  <c r="Z1024"/>
  <c r="Z1023"/>
  <c r="Z1022"/>
  <c r="Z1021"/>
  <c r="Z1020"/>
  <c r="Z1019"/>
  <c r="Z1010"/>
  <c r="Z1009"/>
  <c r="Z1000"/>
  <c r="Z999"/>
  <c r="Z998"/>
  <c r="Z997"/>
  <c r="Z994"/>
  <c r="Z993"/>
  <c r="Z992"/>
  <c r="Z991"/>
  <c r="Z990"/>
  <c r="Z989"/>
  <c r="Z988"/>
  <c r="Z987"/>
  <c r="Z986"/>
  <c r="Z981"/>
  <c r="Z980"/>
  <c r="Z979"/>
  <c r="Z978"/>
  <c r="Z977"/>
  <c r="Z976"/>
  <c r="Z975"/>
  <c r="Z974"/>
  <c r="Z972"/>
  <c r="Z971"/>
  <c r="Z970"/>
  <c r="Z969"/>
  <c r="Z968"/>
  <c r="Z967"/>
  <c r="Z965"/>
  <c r="Z964"/>
  <c r="Z963"/>
  <c r="Z962"/>
  <c r="Z961"/>
  <c r="Z960"/>
  <c r="Z959"/>
  <c r="Z958"/>
  <c r="Z955"/>
  <c r="Z954"/>
  <c r="Z953"/>
  <c r="Z952"/>
  <c r="Z950"/>
  <c r="Z949"/>
  <c r="Z948"/>
  <c r="Z947"/>
  <c r="Z946"/>
  <c r="Z945"/>
  <c r="Z944"/>
  <c r="Z943"/>
  <c r="Z942"/>
  <c r="Z941"/>
  <c r="Z940"/>
  <c r="Z939"/>
  <c r="Z938"/>
  <c r="Z937"/>
  <c r="Z936"/>
  <c r="Z935"/>
  <c r="Z934"/>
  <c r="Z932"/>
  <c r="Z931"/>
  <c r="Z930"/>
  <c r="Z929"/>
  <c r="Z928"/>
  <c r="Z926"/>
  <c r="Z925"/>
  <c r="Z924"/>
  <c r="Z922"/>
  <c r="Z921"/>
  <c r="Z920"/>
  <c r="Z919"/>
  <c r="Z918"/>
  <c r="Z917"/>
  <c r="Z916"/>
  <c r="Z915"/>
  <c r="Z912"/>
  <c r="Z911"/>
  <c r="Z910"/>
  <c r="Z909"/>
  <c r="Z908"/>
  <c r="Z904"/>
  <c r="Z903"/>
  <c r="Z902"/>
  <c r="Z901"/>
  <c r="Z900"/>
  <c r="Z899"/>
  <c r="Z898"/>
  <c r="Z897"/>
  <c r="Z895"/>
  <c r="Z894"/>
  <c r="Z893"/>
  <c r="Z892"/>
  <c r="Z891"/>
  <c r="Z889"/>
  <c r="Z888"/>
  <c r="Z887"/>
  <c r="Z886"/>
  <c r="Z885"/>
  <c r="Z884"/>
  <c r="Z883"/>
  <c r="Z882"/>
  <c r="Z881"/>
  <c r="Z879"/>
  <c r="Z877"/>
  <c r="Z876"/>
  <c r="Z875"/>
  <c r="Z873"/>
  <c r="Z872"/>
  <c r="Z845"/>
  <c r="Z844"/>
  <c r="Z843"/>
  <c r="Z842"/>
  <c r="Z841"/>
  <c r="Z840"/>
  <c r="Z839"/>
  <c r="Z838"/>
  <c r="Z837"/>
  <c r="Z836"/>
  <c r="Z835"/>
  <c r="Z833"/>
  <c r="Z832"/>
  <c r="Z831"/>
  <c r="Z830"/>
  <c r="Z829"/>
  <c r="Z828"/>
  <c r="Z827"/>
  <c r="Z826"/>
  <c r="Z825"/>
  <c r="Z824"/>
  <c r="Z823"/>
  <c r="Z822"/>
  <c r="Z821"/>
  <c r="Z820"/>
  <c r="Z819"/>
  <c r="Z814"/>
  <c r="Z813"/>
  <c r="Z802"/>
  <c r="Z801"/>
  <c r="Z800"/>
  <c r="Z799"/>
  <c r="Z798"/>
  <c r="Z797"/>
  <c r="Z796"/>
  <c r="Z795"/>
  <c r="Z794"/>
  <c r="Z793"/>
  <c r="Z792"/>
  <c r="Z791"/>
  <c r="Z790"/>
  <c r="Z789"/>
  <c r="Z749"/>
  <c r="Z748"/>
  <c r="Z747"/>
  <c r="Z746"/>
  <c r="Z745"/>
  <c r="Z743"/>
  <c r="Z742"/>
  <c r="Z741"/>
  <c r="Z740"/>
  <c r="Z739"/>
  <c r="Z738"/>
  <c r="Z737"/>
  <c r="Z736"/>
  <c r="Z735"/>
  <c r="Z734"/>
  <c r="Z733"/>
  <c r="Z726"/>
  <c r="Z725"/>
  <c r="Z724"/>
  <c r="Z723"/>
  <c r="Z722"/>
  <c r="Z721"/>
  <c r="Z705"/>
  <c r="Z704"/>
  <c r="Z703"/>
  <c r="Z702"/>
  <c r="Z701"/>
  <c r="Z700"/>
  <c r="Z699"/>
  <c r="Z698"/>
  <c r="Z697"/>
  <c r="Z696"/>
  <c r="Z695"/>
  <c r="Z682"/>
  <c r="Z681"/>
  <c r="Z680"/>
  <c r="Z679"/>
  <c r="Z678"/>
  <c r="Z677"/>
  <c r="Z676"/>
  <c r="Z675"/>
  <c r="Z674"/>
  <c r="Z673"/>
  <c r="Z672"/>
  <c r="Z671"/>
  <c r="Z669"/>
  <c r="Z668"/>
  <c r="Z666"/>
  <c r="Z665"/>
  <c r="Z663"/>
  <c r="Z662"/>
  <c r="Z661"/>
  <c r="Z660"/>
  <c r="Z659"/>
  <c r="Z655"/>
  <c r="Z654"/>
  <c r="Z653"/>
  <c r="Z652"/>
  <c r="Z643"/>
  <c r="Z642"/>
  <c r="Z641"/>
  <c r="Z635"/>
  <c r="Z634"/>
  <c r="Z633"/>
  <c r="Z632"/>
  <c r="Z631"/>
  <c r="Z630"/>
  <c r="Z629"/>
  <c r="Z628"/>
  <c r="Z627"/>
  <c r="Z626"/>
  <c r="Z625"/>
  <c r="Z623"/>
  <c r="Z622"/>
  <c r="Z621"/>
  <c r="Z620"/>
  <c r="Z619"/>
  <c r="Z618"/>
  <c r="Z617"/>
  <c r="Z616"/>
  <c r="Z601"/>
  <c r="Z597"/>
  <c r="Z596"/>
  <c r="Z595"/>
  <c r="Z594"/>
  <c r="Z589"/>
  <c r="Z584"/>
  <c r="Z583"/>
  <c r="Z582"/>
  <c r="Z581"/>
  <c r="Z580"/>
  <c r="Z578"/>
  <c r="Z575"/>
  <c r="Z573"/>
  <c r="Z571"/>
  <c r="Z569"/>
  <c r="Z568"/>
  <c r="Z567"/>
  <c r="Z566"/>
  <c r="Z565"/>
  <c r="Z562"/>
  <c r="Z558"/>
  <c r="Z555"/>
  <c r="Z552"/>
  <c r="Z550"/>
  <c r="Z549"/>
  <c r="Z543"/>
  <c r="Z542"/>
  <c r="Z533"/>
  <c r="Z532"/>
  <c r="Z531"/>
  <c r="Z530"/>
  <c r="Z528"/>
  <c r="Z527"/>
  <c r="Z526"/>
  <c r="Z525"/>
  <c r="Z524"/>
  <c r="Z523"/>
  <c r="Z522"/>
  <c r="Z521"/>
  <c r="Z520"/>
  <c r="Z519"/>
  <c r="Z518"/>
  <c r="Z517"/>
  <c r="Z516"/>
  <c r="Z515"/>
  <c r="Z514"/>
  <c r="Z512"/>
  <c r="Z511"/>
  <c r="Z510"/>
  <c r="Z503"/>
  <c r="Z502"/>
  <c r="Z501"/>
  <c r="Z500"/>
  <c r="Z496"/>
  <c r="Z494"/>
  <c r="Z493"/>
  <c r="Z492"/>
  <c r="Z491"/>
  <c r="Z489"/>
  <c r="Z488"/>
  <c r="Z487"/>
  <c r="Z486"/>
  <c r="Z485"/>
  <c r="Z484"/>
  <c r="Z483"/>
  <c r="Z482"/>
  <c r="Z476"/>
  <c r="Z475"/>
  <c r="Z474"/>
  <c r="Z440"/>
  <c r="Z439"/>
  <c r="Z438"/>
  <c r="Z437"/>
  <c r="Z423"/>
  <c r="Z422"/>
  <c r="Z420"/>
  <c r="Z419"/>
  <c r="Z418"/>
  <c r="Z417"/>
  <c r="Z416"/>
  <c r="Z413"/>
  <c r="Z412"/>
  <c r="Z411"/>
  <c r="Z410"/>
  <c r="Z409"/>
  <c r="Z408"/>
  <c r="Z407"/>
  <c r="Z404"/>
  <c r="Z403"/>
  <c r="Z401"/>
  <c r="Z400"/>
  <c r="Z399"/>
  <c r="Z397"/>
  <c r="Z396"/>
  <c r="Z395"/>
  <c r="Z394"/>
  <c r="Z393"/>
  <c r="Z392"/>
  <c r="Z391"/>
  <c r="Z390"/>
  <c r="Z389"/>
  <c r="Z385"/>
  <c r="Z384"/>
  <c r="Z383"/>
  <c r="Z381"/>
  <c r="Z380"/>
  <c r="Z378"/>
  <c r="Z377"/>
  <c r="Z375"/>
  <c r="Z374"/>
  <c r="Z372"/>
  <c r="Z371"/>
  <c r="Z370"/>
  <c r="Z369"/>
  <c r="Z368"/>
  <c r="Z357"/>
  <c r="Z356"/>
  <c r="Z354"/>
  <c r="Z353"/>
  <c r="Z352"/>
  <c r="Z351"/>
  <c r="Z347"/>
  <c r="Z346"/>
  <c r="Z345"/>
  <c r="Z344"/>
  <c r="Z343"/>
  <c r="Z342"/>
  <c r="Z341"/>
  <c r="Z340"/>
  <c r="Z338"/>
  <c r="Z337"/>
  <c r="Z324"/>
  <c r="Z322"/>
  <c r="Z321"/>
  <c r="Z320"/>
  <c r="Z319"/>
  <c r="Z318"/>
  <c r="Z317"/>
  <c r="Z316"/>
  <c r="Z315"/>
  <c r="Z313"/>
  <c r="Z308"/>
  <c r="Z307"/>
  <c r="Z306"/>
  <c r="Z299"/>
  <c r="Z298"/>
  <c r="Z297"/>
  <c r="Z296"/>
  <c r="Z291"/>
  <c r="Z290"/>
  <c r="Z289"/>
  <c r="Z288"/>
  <c r="Z278"/>
  <c r="Z277"/>
  <c r="Z276"/>
  <c r="Z275"/>
  <c r="Z274"/>
  <c r="Z273"/>
  <c r="Z269"/>
  <c r="Z266"/>
  <c r="Z265"/>
  <c r="Z264"/>
  <c r="Z263"/>
  <c r="Z261"/>
  <c r="Z260"/>
  <c r="Z258"/>
  <c r="Z257"/>
  <c r="Z256"/>
  <c r="Z255"/>
  <c r="Z254"/>
  <c r="Z253"/>
  <c r="Z252"/>
  <c r="Z251"/>
  <c r="Z250"/>
  <c r="Z248"/>
  <c r="Z245"/>
  <c r="Z244"/>
  <c r="Z243"/>
  <c r="Z242"/>
  <c r="Z241"/>
  <c r="Z240"/>
  <c r="Z231"/>
  <c r="Z230"/>
  <c r="Z229"/>
  <c r="Z228"/>
  <c r="Z227"/>
  <c r="Z222"/>
  <c r="Z217"/>
  <c r="Z214"/>
  <c r="Z213"/>
  <c r="Z212"/>
  <c r="Z211"/>
  <c r="Z209"/>
  <c r="Z208"/>
  <c r="Z207"/>
  <c r="Z205"/>
  <c r="Z204"/>
  <c r="Z203"/>
  <c r="Z202"/>
  <c r="Z201"/>
  <c r="Z200"/>
  <c r="Z198"/>
  <c r="Z197"/>
  <c r="Z195"/>
  <c r="Z194"/>
  <c r="Z192"/>
  <c r="Z191"/>
  <c r="Z190"/>
  <c r="Z189"/>
  <c r="Z188"/>
  <c r="Z187"/>
  <c r="Z186"/>
  <c r="Z185"/>
  <c r="Z184"/>
  <c r="Z183"/>
  <c r="Z182"/>
  <c r="Z181"/>
  <c r="Z180"/>
  <c r="Z179"/>
  <c r="Z178"/>
  <c r="Z177"/>
  <c r="Z175"/>
  <c r="Z174"/>
  <c r="Z173"/>
  <c r="Z170"/>
  <c r="Z169"/>
  <c r="Z168"/>
  <c r="Z167"/>
  <c r="Z165"/>
  <c r="Z164"/>
  <c r="Z163"/>
  <c r="Z161"/>
  <c r="Z159"/>
  <c r="Z158"/>
  <c r="Z156"/>
  <c r="Z154"/>
  <c r="Z152"/>
  <c r="Z151"/>
  <c r="Z150"/>
  <c r="Z149"/>
  <c r="Z148"/>
  <c r="Z147"/>
  <c r="Z146"/>
  <c r="Z145"/>
  <c r="Z144"/>
  <c r="Z143"/>
  <c r="Z141"/>
  <c r="Z132"/>
  <c r="Z131"/>
  <c r="Z130"/>
  <c r="Z129"/>
  <c r="Z128"/>
  <c r="Z127"/>
  <c r="Z126"/>
  <c r="Z113"/>
  <c r="Z112"/>
  <c r="Z111"/>
  <c r="Z110"/>
  <c r="Z109"/>
  <c r="Z108"/>
  <c r="Z107"/>
  <c r="Z86"/>
  <c r="Z85"/>
  <c r="Z84"/>
  <c r="Z72"/>
  <c r="Z70"/>
  <c r="Z69"/>
  <c r="Z68"/>
  <c r="Z67"/>
  <c r="Z66"/>
  <c r="Z65"/>
  <c r="Z64"/>
  <c r="Z63"/>
  <c r="Z44"/>
  <c r="Z43"/>
  <c r="Z42"/>
  <c r="Z41"/>
  <c r="Z40"/>
  <c r="Z39"/>
  <c r="Z33"/>
  <c r="Z32"/>
  <c r="Z28"/>
  <c r="Z27"/>
  <c r="Z26"/>
  <c r="Z25"/>
  <c r="Z24"/>
  <c r="Z23"/>
  <c r="Z22"/>
  <c r="AM137" l="1"/>
  <c r="AN137" s="1"/>
  <c r="AU137" s="1"/>
  <c r="AM238"/>
  <c r="AM337"/>
  <c r="AN337" s="1"/>
  <c r="AM594"/>
  <c r="AN594" s="1"/>
  <c r="AM606"/>
  <c r="AN606" s="1"/>
  <c r="AM626"/>
  <c r="AN626" s="1"/>
  <c r="AM641"/>
  <c r="AM652"/>
  <c r="AN652" s="1"/>
  <c r="AU652" s="1"/>
  <c r="AM695"/>
  <c r="AN695" s="1"/>
  <c r="AU695" s="1"/>
  <c r="AM482"/>
  <c r="AN482" s="1"/>
  <c r="AU482" s="1"/>
  <c r="AM366"/>
  <c r="AM614"/>
  <c r="AN614" s="1"/>
  <c r="AU614" s="1"/>
  <c r="AM81"/>
  <c r="AN81" s="1"/>
  <c r="AU81" s="1"/>
  <c r="AM248"/>
  <c r="AM498"/>
  <c r="AN498" s="1"/>
  <c r="AU498" s="1"/>
  <c r="AM659"/>
  <c r="AM124"/>
  <c r="AN124" s="1"/>
  <c r="AU124" s="1"/>
  <c r="AM225"/>
  <c r="AN225" s="1"/>
  <c r="AU225" s="1"/>
  <c r="AN271"/>
  <c r="AN304"/>
  <c r="AU304" s="1"/>
  <c r="AN665"/>
  <c r="AU665" s="1"/>
  <c r="AM872"/>
  <c r="AN872" s="1"/>
  <c r="AM891"/>
  <c r="AN891" s="1"/>
  <c r="AU891" s="1"/>
  <c r="AM908"/>
  <c r="AN908" s="1"/>
  <c r="AM915"/>
  <c r="AN915" s="1"/>
  <c r="AM924"/>
  <c r="AN924" s="1"/>
  <c r="AU924" s="1"/>
  <c r="AM934"/>
  <c r="AN934" s="1"/>
  <c r="AM967"/>
  <c r="AN967" s="1"/>
  <c r="AU967" s="1"/>
  <c r="AM986"/>
  <c r="AN986" s="1"/>
  <c r="AU986" s="1"/>
  <c r="AM1019"/>
  <c r="AN1019" s="1"/>
  <c r="AU1019" s="1"/>
  <c r="AM1047"/>
  <c r="AN1047" s="1"/>
  <c r="AU1047" s="1"/>
  <c r="AM1099"/>
  <c r="AN1099" s="1"/>
  <c r="AU1099" s="1"/>
  <c r="AM1132"/>
  <c r="AN1132" s="1"/>
  <c r="AM1149"/>
  <c r="AN1149" s="1"/>
  <c r="AM1166"/>
  <c r="AN1166" s="1"/>
  <c r="AM1199"/>
  <c r="AN1199" s="1"/>
  <c r="AU1199" s="1"/>
  <c r="AM1212"/>
  <c r="AN1212" s="1"/>
  <c r="AU1212" s="1"/>
  <c r="AM1235"/>
  <c r="AN1235" s="1"/>
  <c r="AM1250"/>
  <c r="AN1250" s="1"/>
  <c r="AU1250" s="1"/>
  <c r="AM1304"/>
  <c r="AN1304" s="1"/>
  <c r="AU1304" s="1"/>
  <c r="AM1340"/>
  <c r="AN1340" s="1"/>
  <c r="AM1364"/>
  <c r="AN1364" s="1"/>
  <c r="AU1364" s="1"/>
  <c r="AM1380"/>
  <c r="AN1380" s="1"/>
  <c r="AU1380" s="1"/>
  <c r="AM1405"/>
  <c r="AN1405" s="1"/>
  <c r="AM1437"/>
  <c r="AN1437" s="1"/>
  <c r="AM1456"/>
  <c r="AN1456" s="1"/>
  <c r="AM1526"/>
  <c r="AN1526" s="1"/>
  <c r="AU1526" s="1"/>
  <c r="AM1534"/>
  <c r="AN1534" s="1"/>
  <c r="AU1534" s="1"/>
  <c r="AM1642"/>
  <c r="AN1642" s="1"/>
  <c r="AM1675"/>
  <c r="AN1675" s="1"/>
  <c r="AM1226"/>
  <c r="AN1226" s="1"/>
  <c r="AM1267"/>
  <c r="AN1267" s="1"/>
  <c r="AU1267" s="1"/>
  <c r="AM1276"/>
  <c r="AN1276" s="1"/>
  <c r="AU1276" s="1"/>
  <c r="AM1286"/>
  <c r="AN1286" s="1"/>
  <c r="AM1293"/>
  <c r="AN1293" s="1"/>
  <c r="AU1293" s="1"/>
  <c r="AM1323"/>
  <c r="AN1323" s="1"/>
  <c r="AU1323" s="1"/>
  <c r="AM1427"/>
  <c r="AN1427" s="1"/>
  <c r="AM1461"/>
  <c r="AN1461" s="1"/>
  <c r="AM1481"/>
  <c r="AN1481" s="1"/>
  <c r="AU1481" s="1"/>
  <c r="AM1500"/>
  <c r="AN1500" s="1"/>
  <c r="AU1500" s="1"/>
  <c r="AM1512"/>
  <c r="AN1512" s="1"/>
  <c r="AM1517"/>
  <c r="AN1517" s="1"/>
  <c r="AM1541"/>
  <c r="AN1541" s="1"/>
  <c r="AU1541" s="1"/>
  <c r="AM1574"/>
  <c r="AN1574" s="1"/>
  <c r="AU1574" s="1"/>
  <c r="AM1615"/>
  <c r="AN1615" s="1"/>
  <c r="AU1615" s="1"/>
  <c r="AM1632"/>
  <c r="AN1632" s="1"/>
  <c r="AU1632" s="1"/>
  <c r="AM1647"/>
  <c r="AN1647" s="1"/>
  <c r="AM1652"/>
  <c r="AN1652" s="1"/>
  <c r="AM1657"/>
  <c r="AN1657" s="1"/>
  <c r="AM1668"/>
  <c r="AN1668" s="1"/>
  <c r="AU1668" s="1"/>
  <c r="AM1685"/>
  <c r="AN1685" s="1"/>
  <c r="AM1704"/>
  <c r="AN1704" s="1"/>
  <c r="AM1710"/>
  <c r="AN1710" s="1"/>
  <c r="AM1257"/>
  <c r="AN1257" s="1"/>
  <c r="AM1191"/>
  <c r="AN1191" s="1"/>
  <c r="AU1191" s="1"/>
  <c r="AM1218"/>
  <c r="AN1218" s="1"/>
  <c r="AU1218" s="1"/>
  <c r="AM1663"/>
  <c r="AN1663" s="1"/>
  <c r="AU1663" s="1"/>
  <c r="AN366"/>
  <c r="AM1110"/>
  <c r="AN1110" s="1"/>
  <c r="AU1110" s="1"/>
  <c r="AM105"/>
  <c r="AN105" s="1"/>
  <c r="AU105" s="1"/>
  <c r="AM163"/>
  <c r="AN163" s="1"/>
  <c r="AU163" s="1"/>
  <c r="AM174"/>
  <c r="AN238"/>
  <c r="AM508"/>
  <c r="AN508" s="1"/>
  <c r="AM549"/>
  <c r="AN549" s="1"/>
  <c r="AU549" s="1"/>
  <c r="AN641"/>
  <c r="AU641" s="1"/>
  <c r="AM958"/>
  <c r="AN958" s="1"/>
  <c r="AM974"/>
  <c r="AN248"/>
  <c r="AU248" s="1"/>
  <c r="AN659"/>
  <c r="AU659" s="1"/>
  <c r="AM194"/>
  <c r="AN194" s="1"/>
  <c r="AU194" s="1"/>
  <c r="AM1077"/>
  <c r="AN1077" s="1"/>
  <c r="AU1077" s="1"/>
  <c r="AM1093"/>
  <c r="AN1093" s="1"/>
  <c r="AU1093" s="1"/>
  <c r="AM37"/>
  <c r="AN37" s="1"/>
  <c r="AU37" s="1"/>
  <c r="AM20"/>
  <c r="AM30"/>
  <c r="AN30" s="1"/>
  <c r="AU30" s="1"/>
  <c r="Z22" i="16"/>
  <c r="Z23"/>
  <c r="Z24"/>
  <c r="Z27"/>
  <c r="Z28"/>
  <c r="Z29"/>
  <c r="Z31"/>
  <c r="Z32"/>
  <c r="Z33"/>
  <c r="Z35"/>
  <c r="Z37"/>
  <c r="Z38"/>
  <c r="Z39"/>
  <c r="Z40"/>
  <c r="Z41"/>
  <c r="Z43"/>
  <c r="Z44"/>
  <c r="Z45"/>
  <c r="Z46"/>
  <c r="Z47"/>
  <c r="Z48"/>
  <c r="Z49"/>
  <c r="Z50"/>
  <c r="Z51"/>
  <c r="Z52"/>
  <c r="Z53"/>
  <c r="Z54"/>
  <c r="Z56"/>
  <c r="Z57"/>
  <c r="Z58"/>
  <c r="Z59"/>
  <c r="Z60"/>
  <c r="Z61"/>
  <c r="Z62"/>
  <c r="Z6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5"/>
  <c r="Z116"/>
  <c r="Z117"/>
  <c r="Z118"/>
  <c r="Z119"/>
  <c r="Z120"/>
  <c r="Z121"/>
  <c r="Z123"/>
  <c r="Z124"/>
  <c r="Z125"/>
  <c r="Z126"/>
  <c r="Z127"/>
  <c r="Z129"/>
  <c r="Z130"/>
  <c r="Z131"/>
  <c r="Z132"/>
  <c r="Z133"/>
  <c r="Z134"/>
  <c r="Z135"/>
  <c r="Z136"/>
  <c r="Z137"/>
  <c r="Z139"/>
  <c r="Z140"/>
  <c r="Z141"/>
  <c r="Z142"/>
  <c r="Z143"/>
  <c r="Z144"/>
  <c r="Z145"/>
  <c r="Z146"/>
  <c r="Z147"/>
  <c r="Z148"/>
  <c r="Z149"/>
  <c r="Z150"/>
  <c r="Z151"/>
  <c r="Z152"/>
  <c r="Z153"/>
  <c r="Z154"/>
  <c r="Z156"/>
  <c r="Z157"/>
  <c r="Z159"/>
  <c r="Z160"/>
  <c r="Z161"/>
  <c r="Z162"/>
  <c r="Z163"/>
  <c r="Z166"/>
  <c r="Z167"/>
  <c r="Z168"/>
  <c r="Z169"/>
  <c r="Z172"/>
  <c r="Z175"/>
  <c r="Z176"/>
  <c r="Z177"/>
  <c r="Z178"/>
  <c r="Z179"/>
  <c r="Z181"/>
  <c r="Z182"/>
  <c r="Z185"/>
  <c r="Z186"/>
  <c r="Z188"/>
  <c r="Z189"/>
  <c r="Z192"/>
  <c r="Z193"/>
  <c r="Z194"/>
  <c r="Z195"/>
  <c r="Z198"/>
  <c r="Z200"/>
  <c r="Z201"/>
  <c r="Z202"/>
  <c r="Z204"/>
  <c r="Z212"/>
  <c r="Z213"/>
  <c r="Z215"/>
  <c r="Z217"/>
  <c r="Z219"/>
  <c r="Z220"/>
  <c r="Z224"/>
  <c r="Z225"/>
  <c r="Z226"/>
  <c r="Z229"/>
  <c r="Z230"/>
  <c r="Z236"/>
  <c r="Z237"/>
  <c r="Z238"/>
  <c r="Z241"/>
  <c r="Z249"/>
  <c r="Z250"/>
  <c r="Z251"/>
  <c r="Z252"/>
  <c r="Z254"/>
  <c r="Z256"/>
  <c r="Z257"/>
  <c r="Z258"/>
  <c r="Z259"/>
  <c r="Z261"/>
  <c r="Z262"/>
  <c r="Z264"/>
  <c r="Z265"/>
  <c r="Z267"/>
  <c r="Z268"/>
  <c r="Z269"/>
  <c r="Z270"/>
  <c r="Z271"/>
  <c r="Z272"/>
  <c r="Z273"/>
  <c r="Z274"/>
  <c r="Z275"/>
  <c r="Z276"/>
  <c r="Z277"/>
  <c r="Z278"/>
  <c r="Z279"/>
  <c r="Z280"/>
  <c r="Z281"/>
  <c r="Z282"/>
  <c r="Z22" i="15"/>
  <c r="Z23"/>
  <c r="Z24"/>
  <c r="Z25"/>
  <c r="Z26"/>
  <c r="Z28"/>
  <c r="Z29"/>
  <c r="Z31"/>
  <c r="Z32"/>
  <c r="Z33"/>
  <c r="Z34"/>
  <c r="Z35"/>
  <c r="Z36"/>
  <c r="Z37"/>
  <c r="Z38"/>
  <c r="Z39"/>
  <c r="Z40"/>
  <c r="U45"/>
  <c r="U46" s="1"/>
  <c r="U47" s="1"/>
  <c r="U48" s="1"/>
  <c r="U49" s="1"/>
  <c r="U50" s="1"/>
  <c r="U51" s="1"/>
  <c r="U52" s="1"/>
  <c r="Z56"/>
  <c r="U57"/>
  <c r="Z57"/>
  <c r="U58"/>
  <c r="Z58"/>
  <c r="U59"/>
  <c r="Z59"/>
  <c r="U60"/>
  <c r="Z60"/>
  <c r="U61"/>
  <c r="Z61"/>
  <c r="U62"/>
  <c r="Z62"/>
  <c r="U63"/>
  <c r="Z63"/>
  <c r="U64"/>
  <c r="Z64"/>
  <c r="U65"/>
  <c r="Z65"/>
  <c r="U66"/>
  <c r="Z66"/>
  <c r="U67"/>
  <c r="Z67"/>
  <c r="U68"/>
  <c r="Z68"/>
  <c r="U69"/>
  <c r="Z69"/>
  <c r="U70"/>
  <c r="Z70"/>
  <c r="U71"/>
  <c r="Z71"/>
  <c r="U72"/>
  <c r="Z72"/>
  <c r="U73"/>
  <c r="Z73"/>
  <c r="U74"/>
  <c r="Z74"/>
  <c r="U75"/>
  <c r="Z75"/>
  <c r="U76"/>
  <c r="Z76"/>
  <c r="U77"/>
  <c r="Z77"/>
  <c r="U78"/>
  <c r="Z78"/>
  <c r="U79"/>
  <c r="Z79"/>
  <c r="U80"/>
  <c r="Z80"/>
  <c r="U81"/>
  <c r="Z81"/>
  <c r="U82"/>
  <c r="Z82"/>
  <c r="U87"/>
  <c r="U88" s="1"/>
  <c r="U89" s="1"/>
  <c r="U90" s="1"/>
  <c r="U91" s="1"/>
  <c r="U92" s="1"/>
  <c r="U93" s="1"/>
  <c r="U94" s="1"/>
  <c r="U95" s="1"/>
  <c r="U96" s="1"/>
  <c r="U101"/>
  <c r="U102"/>
  <c r="U103" s="1"/>
  <c r="U104" s="1"/>
  <c r="U105" s="1"/>
  <c r="U106" s="1"/>
  <c r="U107" s="1"/>
  <c r="U108" s="1"/>
  <c r="U109" s="1"/>
  <c r="U110" s="1"/>
  <c r="U111" s="1"/>
  <c r="Z120"/>
  <c r="Z121"/>
  <c r="Z122"/>
  <c r="Z123"/>
  <c r="Z124"/>
  <c r="Z126"/>
  <c r="Z127"/>
  <c r="Z128"/>
  <c r="Z129"/>
  <c r="Z130"/>
  <c r="Z131"/>
  <c r="Z132"/>
  <c r="Z133"/>
  <c r="Z134"/>
  <c r="Z135"/>
  <c r="Z136"/>
  <c r="Z137"/>
  <c r="Z138"/>
  <c r="Z139"/>
  <c r="Z140"/>
  <c r="Z141"/>
  <c r="Z149"/>
  <c r="Z150"/>
  <c r="Z151"/>
  <c r="Z152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F176"/>
  <c r="U179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Z20" i="14"/>
  <c r="Z22"/>
  <c r="F27"/>
  <c r="Z39"/>
  <c r="Z46"/>
  <c r="Z53"/>
  <c r="F58"/>
  <c r="Z66"/>
  <c r="Z71"/>
  <c r="U72"/>
  <c r="Z72"/>
  <c r="U73"/>
  <c r="Z73"/>
  <c r="Z77"/>
  <c r="W83"/>
  <c r="Z83" s="1"/>
  <c r="F87"/>
  <c r="Z87"/>
  <c r="Z89"/>
  <c r="Z90"/>
  <c r="Z93"/>
  <c r="Z94"/>
  <c r="Z95"/>
  <c r="Z96"/>
  <c r="Z97"/>
  <c r="Z99"/>
  <c r="Z101"/>
  <c r="Z102"/>
  <c r="Z110"/>
  <c r="Z111"/>
  <c r="Z112"/>
  <c r="Z114"/>
  <c r="Z117"/>
  <c r="Z118"/>
  <c r="Z119"/>
  <c r="Z120"/>
  <c r="Z123"/>
  <c r="Z124"/>
  <c r="Z125"/>
  <c r="Z126"/>
  <c r="Z127"/>
  <c r="Z128"/>
  <c r="Z130"/>
  <c r="Z131"/>
  <c r="Z132"/>
  <c r="Z135"/>
  <c r="Z137"/>
  <c r="Z138"/>
  <c r="Z139"/>
  <c r="Z141"/>
  <c r="Z143"/>
  <c r="Z144"/>
  <c r="Z150"/>
  <c r="Z151"/>
  <c r="Z152"/>
  <c r="Z154"/>
  <c r="Z155"/>
  <c r="Z156"/>
  <c r="Z158"/>
  <c r="Z160"/>
  <c r="Z161"/>
  <c r="Z162"/>
  <c r="Z163"/>
  <c r="Z164"/>
  <c r="Z165"/>
  <c r="Z166"/>
  <c r="Z167"/>
  <c r="Z168"/>
  <c r="Z169"/>
  <c r="Z170"/>
  <c r="Z171"/>
  <c r="Z172"/>
  <c r="Z173"/>
  <c r="Z174"/>
  <c r="Z175"/>
  <c r="Z177"/>
  <c r="Z178"/>
  <c r="Z179"/>
  <c r="Z180"/>
  <c r="Z181"/>
  <c r="Z183"/>
  <c r="Z184"/>
  <c r="Z185"/>
  <c r="Z186"/>
  <c r="Z188"/>
  <c r="Z189"/>
  <c r="I204" i="12"/>
  <c r="I214"/>
  <c r="AN974" i="1" l="1"/>
  <c r="AU974" s="1"/>
  <c r="AN174"/>
  <c r="AU174" s="1"/>
  <c r="AN20"/>
  <c r="AM1721"/>
  <c r="AU20" l="1"/>
  <c r="AU1721" s="1"/>
  <c r="AN1721"/>
</calcChain>
</file>

<file path=xl/sharedStrings.xml><?xml version="1.0" encoding="utf-8"?>
<sst xmlns="http://schemas.openxmlformats.org/spreadsheetml/2006/main" count="10500" uniqueCount="2014">
  <si>
    <t>Lidah Buaya</t>
  </si>
  <si>
    <t>Patah Tulang</t>
  </si>
  <si>
    <t>Sri Rejeki</t>
  </si>
  <si>
    <t>Kelapa</t>
  </si>
  <si>
    <t>Sereh</t>
  </si>
  <si>
    <t>Mahkota Dewa</t>
  </si>
  <si>
    <t>Betadin</t>
  </si>
  <si>
    <t>Pagar Bata</t>
  </si>
  <si>
    <t>e.</t>
  </si>
  <si>
    <t>3210141008760021</t>
  </si>
  <si>
    <t>Salam</t>
  </si>
  <si>
    <t>Septictank</t>
  </si>
  <si>
    <t>d.</t>
  </si>
  <si>
    <t>Blok Jumat RT/RW 011/004 Desa Sukamulya Kec. Kertajati Kab. Majalengka</t>
  </si>
  <si>
    <t>Mangga</t>
  </si>
  <si>
    <t>Musiman</t>
  </si>
  <si>
    <t>b.</t>
  </si>
  <si>
    <t>Sumur Bor</t>
  </si>
  <si>
    <t>c.</t>
  </si>
  <si>
    <t>Kertajati</t>
  </si>
  <si>
    <t>Petani/Peekebun</t>
  </si>
  <si>
    <t>Teras</t>
  </si>
  <si>
    <t>Sukamulya</t>
  </si>
  <si>
    <t>Majalengka, 10-08-1976</t>
  </si>
  <si>
    <t>Tahunan</t>
  </si>
  <si>
    <t>a.</t>
  </si>
  <si>
    <t>Bangunan Permanen</t>
  </si>
  <si>
    <t>Sertipikat Hak Milik No. 00351 tanggal 10-11-2011</t>
  </si>
  <si>
    <t>M</t>
  </si>
  <si>
    <t>Blok Jumat</t>
  </si>
  <si>
    <t>0051</t>
  </si>
  <si>
    <t>ROHIDIN</t>
  </si>
  <si>
    <t>Mengkudu</t>
  </si>
  <si>
    <t>Cerme</t>
  </si>
  <si>
    <t>Jambu Air</t>
  </si>
  <si>
    <t>3603030102650000</t>
  </si>
  <si>
    <t>Pete</t>
  </si>
  <si>
    <t>Kp. Katomas RT/RW 004/001 Kel. Tigaraksa Kec. Tigaraksa Kab. Tangerang</t>
  </si>
  <si>
    <t>Wiraswasta</t>
  </si>
  <si>
    <t>Majalengka, 01-02-1965</t>
  </si>
  <si>
    <t>SPPT 32.12.140.010.007-0133.0</t>
  </si>
  <si>
    <t>TMA</t>
  </si>
  <si>
    <t>Blok Sabtu</t>
  </si>
  <si>
    <t>0007</t>
  </si>
  <si>
    <t>H. CARUM SUPANDI</t>
  </si>
  <si>
    <t>10 rumpun</t>
  </si>
  <si>
    <t>-</t>
  </si>
  <si>
    <t>180ph</t>
  </si>
  <si>
    <t>Pisang</t>
  </si>
  <si>
    <t>2.800 m2</t>
  </si>
  <si>
    <t>Cabai Besar</t>
  </si>
  <si>
    <t>h.</t>
  </si>
  <si>
    <t>Los Genteng</t>
  </si>
  <si>
    <t>g.</t>
  </si>
  <si>
    <t>f.</t>
  </si>
  <si>
    <t>3210141508640001</t>
  </si>
  <si>
    <t>Lamtoro</t>
  </si>
  <si>
    <t>Blok Minggu RT/RW 002/001 Desa Sukamulya Kec. Kertajati Kab. Majalengka</t>
  </si>
  <si>
    <t>Jati</t>
  </si>
  <si>
    <t>Los Asbes</t>
  </si>
  <si>
    <t>Petani/Pekebun</t>
  </si>
  <si>
    <t>Kersen</t>
  </si>
  <si>
    <t>Bangunan Semi Permanen</t>
  </si>
  <si>
    <t>Majalengka, 15-08-1964</t>
  </si>
  <si>
    <t>Akasia Mangium</t>
  </si>
  <si>
    <t>SPPT 32.12.140.010.014-009.0</t>
  </si>
  <si>
    <t>Blok Pilangkramat 2</t>
  </si>
  <si>
    <t>0002</t>
  </si>
  <si>
    <t>KASTIM</t>
  </si>
  <si>
    <t>a</t>
  </si>
  <si>
    <t>Ploor Rabat</t>
  </si>
  <si>
    <t>Katiasabaru RT/RW 006/001 Desa Kalijaga Kec. Harjamukti Kab. Cirebon</t>
  </si>
  <si>
    <t>PNS</t>
  </si>
  <si>
    <t>Majalengka, 06-03-1969</t>
  </si>
  <si>
    <t>Akta Hibah No. 853/2005 tanggal 01-12-2005 SPPT 32.12.140.010.015-0018.0</t>
  </si>
  <si>
    <t>Blok Pilangkramat 1</t>
  </si>
  <si>
    <t>0053</t>
  </si>
  <si>
    <t>CARMAN</t>
  </si>
  <si>
    <t>840  m2</t>
  </si>
  <si>
    <t>Kukuk</t>
  </si>
  <si>
    <t>Bambu</t>
  </si>
  <si>
    <t>Singkong</t>
  </si>
  <si>
    <t>Jambu Batu</t>
  </si>
  <si>
    <t>Talas</t>
  </si>
  <si>
    <t>1  rumpun</t>
  </si>
  <si>
    <t>2  rumpun</t>
  </si>
  <si>
    <t>Jahe</t>
  </si>
  <si>
    <t>Tisuk</t>
  </si>
  <si>
    <t>Mahoni</t>
  </si>
  <si>
    <t>3210140612430001</t>
  </si>
  <si>
    <t>Turi</t>
  </si>
  <si>
    <t>Berenuk</t>
  </si>
  <si>
    <t>Majalengka, 06-12-1943</t>
  </si>
  <si>
    <t>SPPT 32.12.140.010.015-0016.0</t>
  </si>
  <si>
    <t>Blok Pilangkramat</t>
  </si>
  <si>
    <t>0052</t>
  </si>
  <si>
    <t>DAMA</t>
  </si>
  <si>
    <t>3210140105820061</t>
  </si>
  <si>
    <t>Blok Sabtu RT/RW 013/004 Desa Sukamulya Kec. Kertajati Kab. Majalengka</t>
  </si>
  <si>
    <t>Majalengka, 01-05-1982</t>
  </si>
  <si>
    <t>2 rmp</t>
  </si>
  <si>
    <t>Akta Hibah No. 1103/2014 tanggal 05-08-2014 SPPT 32.12.140.010.014-0030.0</t>
  </si>
  <si>
    <t>0010</t>
  </si>
  <si>
    <t>SUKMANA</t>
  </si>
  <si>
    <t>3210141708520001</t>
  </si>
  <si>
    <t>Blok Ciborelang RT/RW 006/003 Desa Sukakerta Kec. Kertajati Kab. Majalengka</t>
  </si>
  <si>
    <t>Bangunan Los Asbes</t>
  </si>
  <si>
    <t>Buruh Tani</t>
  </si>
  <si>
    <t>Majalengka, 17-08-1952</t>
  </si>
  <si>
    <t>Gempol</t>
  </si>
  <si>
    <t>SPPT 32.12.140.010.014-0004.0</t>
  </si>
  <si>
    <t>0008</t>
  </si>
  <si>
    <t>AMAD</t>
  </si>
  <si>
    <t>3210141709600001</t>
  </si>
  <si>
    <t>1.120  m2</t>
  </si>
  <si>
    <t>Padi</t>
  </si>
  <si>
    <t>Blok Sidamukti RT/RW 006/003 Desa Sukakerta Kec. Kertajati Kab. Majalengka</t>
  </si>
  <si>
    <t>Majalengka, 17-09-1960</t>
  </si>
  <si>
    <t>SPPT 32.12.140.010.014-0033.0</t>
  </si>
  <si>
    <t>TARMA</t>
  </si>
  <si>
    <t>Plat Beton</t>
  </si>
  <si>
    <t>Pagar BRC</t>
  </si>
  <si>
    <t>3210145606540001</t>
  </si>
  <si>
    <t>Blok Jumat RT/RW 010/004 Desa Sukamulya Kec. Kertajati Kab. Majalengka</t>
  </si>
  <si>
    <t>Mengurus Rumah Tangga</t>
  </si>
  <si>
    <t>Majalengka, 16-06-1964</t>
  </si>
  <si>
    <t>Sertipikat Hak Milik No. 00381 tanggal 10-11-2011</t>
  </si>
  <si>
    <t>Jumat</t>
  </si>
  <si>
    <t>0050</t>
  </si>
  <si>
    <t>ARWINAH</t>
  </si>
  <si>
    <t>Jambu batu</t>
  </si>
  <si>
    <t>Campaloh</t>
  </si>
  <si>
    <t>Isuksore</t>
  </si>
  <si>
    <t>Kunyit</t>
  </si>
  <si>
    <t>Wijaya Kusumah</t>
  </si>
  <si>
    <t>Pecah beling</t>
  </si>
  <si>
    <t>Sukun</t>
  </si>
  <si>
    <t>Nangka</t>
  </si>
  <si>
    <t>Ekorria</t>
  </si>
  <si>
    <t>Sarikaya</t>
  </si>
  <si>
    <t>Suji</t>
  </si>
  <si>
    <t>Sri rejeki</t>
  </si>
  <si>
    <t>Sawo</t>
  </si>
  <si>
    <t>Melati</t>
  </si>
  <si>
    <t>Pepaya</t>
  </si>
  <si>
    <t>3210144107730181</t>
  </si>
  <si>
    <t>Saka</t>
  </si>
  <si>
    <t>Blok Jumat RT/RW 009/004 Desa Sukamulya Kec. Kertajati Kab. Majalengka</t>
  </si>
  <si>
    <t>Kembang Kupu-kupu</t>
  </si>
  <si>
    <t>Majalengka, 01-07-1973</t>
  </si>
  <si>
    <t xml:space="preserve">a. </t>
  </si>
  <si>
    <t>Akta Hibah No. 531 tanggal 28-06-2010</t>
  </si>
  <si>
    <t>0049</t>
  </si>
  <si>
    <t>MIHARTI</t>
  </si>
  <si>
    <t>i.</t>
  </si>
  <si>
    <t>Paping Blok</t>
  </si>
  <si>
    <t>Pondasi Pagar Pas Batu</t>
  </si>
  <si>
    <t>Jambu</t>
  </si>
  <si>
    <t>3210144605650081</t>
  </si>
  <si>
    <t xml:space="preserve">c. </t>
  </si>
  <si>
    <t xml:space="preserve">b. </t>
  </si>
  <si>
    <t>Majalengka, 06-05-1965</t>
  </si>
  <si>
    <t>Akta Hibah No. 543 tanggal 25-04-2005</t>
  </si>
  <si>
    <t>0048</t>
  </si>
  <si>
    <t>NYAI SUKAESIH</t>
  </si>
  <si>
    <t>Tarisi</t>
  </si>
  <si>
    <t>Mindi</t>
  </si>
  <si>
    <t>3210141111640001</t>
  </si>
  <si>
    <t>Majalengka, 11-11-1964</t>
  </si>
  <si>
    <t>Sertipikat Hak Milik No.00187 tanggal 26-08-2011 / SPPT 32.12.140.010.013-0076.0</t>
  </si>
  <si>
    <t>0047</t>
  </si>
  <si>
    <t>ATIM</t>
  </si>
  <si>
    <t>j.</t>
  </si>
  <si>
    <t>Gerbang Geser Hollo</t>
  </si>
  <si>
    <t>Pagar Besi Hollo</t>
  </si>
  <si>
    <t>Pagar Tembok</t>
  </si>
  <si>
    <t>Pagar Dinding</t>
  </si>
  <si>
    <t>3210145505660021</t>
  </si>
  <si>
    <t>Blok Sukasari RT/RW 003/001 Desa Kertasari Kec. Kertajati Kab. Majalengka</t>
  </si>
  <si>
    <t>Majalengka, 15-05-1966</t>
  </si>
  <si>
    <t>Akta Jual Beli No. 1372 tanggal 23-12-2013</t>
  </si>
  <si>
    <t xml:space="preserve">Blok Jumat </t>
  </si>
  <si>
    <t>0046</t>
  </si>
  <si>
    <t>CASWIJEN</t>
  </si>
  <si>
    <t>Ploor</t>
  </si>
  <si>
    <t>l.</t>
  </si>
  <si>
    <t>TPT</t>
  </si>
  <si>
    <t>k.</t>
  </si>
  <si>
    <t>Pagar Besi</t>
  </si>
  <si>
    <t>Pagar Tembok Bata</t>
  </si>
  <si>
    <t>3210184606500004</t>
  </si>
  <si>
    <t>Bangunan Kontemporer</t>
  </si>
  <si>
    <t>Teras Bangunan Permanen</t>
  </si>
  <si>
    <t>Majalengka, 06-06-1960</t>
  </si>
  <si>
    <t>SPPT 32.12.140.010.013-0079.0</t>
  </si>
  <si>
    <t>0045</t>
  </si>
  <si>
    <t>ALWIYAH</t>
  </si>
  <si>
    <t>Kandang Ayam Los Asbes</t>
  </si>
  <si>
    <t>Kandang Domba Los Genteng</t>
  </si>
  <si>
    <t>Paving Blok</t>
  </si>
  <si>
    <t>Ruminah/Yoyo Sunaryo</t>
  </si>
  <si>
    <t>Tegel</t>
  </si>
  <si>
    <t>3210144202580001</t>
  </si>
  <si>
    <t>Blok Kamis RT/RW 008/003 Desa Sukamulya Kec. Kertajati Kab. Majalengka</t>
  </si>
  <si>
    <t>Majalengka, 02-02-1958</t>
  </si>
  <si>
    <t>Ruminah / Iin Irawan</t>
  </si>
  <si>
    <t>SPPT 32.12.140.010.007-0026.0</t>
  </si>
  <si>
    <t>0035</t>
  </si>
  <si>
    <t>RUMINAH</t>
  </si>
  <si>
    <t>3210146762520001</t>
  </si>
  <si>
    <t>Blok Sabtu RT/RW 012/004 Desa Sukamulya Kec. Kertajati Kab. Majalengka</t>
  </si>
  <si>
    <t>Majalengka, 29-12-1952</t>
  </si>
  <si>
    <t>SPPT 32.12.140.010.013-0069.0</t>
  </si>
  <si>
    <t>0036</t>
  </si>
  <si>
    <t>SUKAENAH DKK</t>
  </si>
  <si>
    <t>1 rmp</t>
  </si>
  <si>
    <t>Panglay</t>
  </si>
  <si>
    <t>Laja</t>
  </si>
  <si>
    <t>Nanas</t>
  </si>
  <si>
    <t>Leunca</t>
  </si>
  <si>
    <t>Seledri</t>
  </si>
  <si>
    <t>Cabe</t>
  </si>
  <si>
    <t>Singlon</t>
  </si>
  <si>
    <t>Lengkung</t>
  </si>
  <si>
    <t>Anggur</t>
  </si>
  <si>
    <t>1 m</t>
  </si>
  <si>
    <t>Babawangan</t>
  </si>
  <si>
    <t>Tanaman Hias</t>
  </si>
  <si>
    <t>Hanjuang</t>
  </si>
  <si>
    <t>Kuping Gajah</t>
  </si>
  <si>
    <t>Danium</t>
  </si>
  <si>
    <t>Rosalinda</t>
  </si>
  <si>
    <t>Kaktus</t>
  </si>
  <si>
    <t>Tulip</t>
  </si>
  <si>
    <t>Tapak Sirih</t>
  </si>
  <si>
    <t>Ginseng</t>
  </si>
  <si>
    <t>Jawer kotok</t>
  </si>
  <si>
    <t>Kladium</t>
  </si>
  <si>
    <t>Isuk Sore</t>
  </si>
  <si>
    <t>9m</t>
  </si>
  <si>
    <t>Pagar Hidup</t>
  </si>
  <si>
    <t>Insuline</t>
  </si>
  <si>
    <t>Jarak</t>
  </si>
  <si>
    <t>Betadine</t>
  </si>
  <si>
    <t>Lidah Mertua</t>
  </si>
  <si>
    <t>Wijaya Kusuma</t>
  </si>
  <si>
    <t>Geranium</t>
  </si>
  <si>
    <t>Kenanga</t>
  </si>
  <si>
    <t>Sedap malam</t>
  </si>
  <si>
    <t>Melati Paris</t>
  </si>
  <si>
    <t>Sunte</t>
  </si>
  <si>
    <t>3 rmp</t>
  </si>
  <si>
    <t>Daun Dolar</t>
  </si>
  <si>
    <t>20 rmp</t>
  </si>
  <si>
    <t>Lili</t>
  </si>
  <si>
    <t>Kumis Kucing</t>
  </si>
  <si>
    <t>Gelombang Cinta</t>
  </si>
  <si>
    <t>Puring</t>
  </si>
  <si>
    <t>Ekorbia</t>
  </si>
  <si>
    <t>Kaca Piring</t>
  </si>
  <si>
    <t>Kamboja</t>
  </si>
  <si>
    <t>Pucuk Merah</t>
  </si>
  <si>
    <t>Anggrek Tanah</t>
  </si>
  <si>
    <t>Cempaka</t>
  </si>
  <si>
    <t>Buah Naga</t>
  </si>
  <si>
    <t>Jeruk</t>
  </si>
  <si>
    <t>Delima</t>
  </si>
  <si>
    <t>Jabu Air</t>
  </si>
  <si>
    <t>Rambutan</t>
  </si>
  <si>
    <t>Akta Jual Beli No. 232/594.4/Ktj./VIII/1992 tanggal 10-08-1992</t>
  </si>
  <si>
    <t>0038</t>
  </si>
  <si>
    <t>Rolag Bata</t>
  </si>
  <si>
    <t>Lantai Bata</t>
  </si>
  <si>
    <t>3210144103660001</t>
  </si>
  <si>
    <t>Bangunan Semipermanen</t>
  </si>
  <si>
    <t>Beringin</t>
  </si>
  <si>
    <t>Majalengka, 01-03-1966</t>
  </si>
  <si>
    <t>SPPT 32.12.140.010.013-0066.0</t>
  </si>
  <si>
    <t>0039</t>
  </si>
  <si>
    <t>SANTI</t>
  </si>
  <si>
    <t>3210140803800021</t>
  </si>
  <si>
    <t>Majalengka, 08-03-1980</t>
  </si>
  <si>
    <t>Akta Jual Beli No. 917 tanggal 02--06-2014</t>
  </si>
  <si>
    <t>0041</t>
  </si>
  <si>
    <t>YUDI HARTONO</t>
  </si>
  <si>
    <t>Katuk</t>
  </si>
  <si>
    <t>Tebu</t>
  </si>
  <si>
    <t>Pagar hidup</t>
  </si>
  <si>
    <t>3210145010900141</t>
  </si>
  <si>
    <t>Belum/Tidak Bekerja</t>
  </si>
  <si>
    <t>Asem</t>
  </si>
  <si>
    <t>Majalengka, 10-10-1990</t>
  </si>
  <si>
    <t>SPPT 32.12.140.010.013-0063.0</t>
  </si>
  <si>
    <t>0042</t>
  </si>
  <si>
    <t>TITIN</t>
  </si>
  <si>
    <t>Ploot</t>
  </si>
  <si>
    <t>3210144712900002</t>
  </si>
  <si>
    <t>Semi permanen</t>
  </si>
  <si>
    <t>Majalengka, 07-12-1990</t>
  </si>
  <si>
    <t>Ruskana</t>
  </si>
  <si>
    <t>SPPT 32.12.140.010.013-0061.0</t>
  </si>
  <si>
    <t>0043</t>
  </si>
  <si>
    <t>TATI ROHAETI</t>
  </si>
  <si>
    <t>Konyal</t>
  </si>
  <si>
    <t>Polong</t>
  </si>
  <si>
    <t>Kemangi</t>
  </si>
  <si>
    <t>Lenca</t>
  </si>
  <si>
    <t>Cereme</t>
  </si>
  <si>
    <t>SPPT 32.12.140.010.013-0060.0</t>
  </si>
  <si>
    <t>0044</t>
  </si>
  <si>
    <t>Driil Besi</t>
  </si>
  <si>
    <t>Pondasi Bata Rollag</t>
  </si>
  <si>
    <t>3210144101860061</t>
  </si>
  <si>
    <t>Lengkeng</t>
  </si>
  <si>
    <t>Jawer Kotok</t>
  </si>
  <si>
    <t>Majalengka, 01-01-1986</t>
  </si>
  <si>
    <t>Akta Hibah No. 406 tanggal 05-07-2012</t>
  </si>
  <si>
    <t>0034</t>
  </si>
  <si>
    <t>TARINI</t>
  </si>
  <si>
    <t>Kolam Ikan</t>
  </si>
  <si>
    <t>Pondasi</t>
  </si>
  <si>
    <t>3210141905680001</t>
  </si>
  <si>
    <t>Cabe Rawit</t>
  </si>
  <si>
    <t>Semi Permanen</t>
  </si>
  <si>
    <t>Majalengka, 19-05-1968</t>
  </si>
  <si>
    <t>SPPT 32.12.140.010.013-0025.0</t>
  </si>
  <si>
    <t>0033</t>
  </si>
  <si>
    <t>MUSTANI</t>
  </si>
  <si>
    <t>Bunga Mawar</t>
  </si>
  <si>
    <t>3210141712720021</t>
  </si>
  <si>
    <t>Majalengka, 17-12-1972</t>
  </si>
  <si>
    <t>SPPT 32.12.140.010.013-0153.0</t>
  </si>
  <si>
    <t>0032</t>
  </si>
  <si>
    <t>SARBINI</t>
  </si>
  <si>
    <t>o.</t>
  </si>
  <si>
    <t>n.</t>
  </si>
  <si>
    <t>m.</t>
  </si>
  <si>
    <t>Makam Keramik</t>
  </si>
  <si>
    <t>3210142503450003</t>
  </si>
  <si>
    <t>Majalengka, 25-03-1945</t>
  </si>
  <si>
    <t>SPPT 32.12.140.010.013-0027.0</t>
  </si>
  <si>
    <t>0031</t>
  </si>
  <si>
    <t>ANGWAR</t>
  </si>
  <si>
    <t>Korbio</t>
  </si>
  <si>
    <t>Petai</t>
  </si>
  <si>
    <t>Kandang Burung Ram</t>
  </si>
  <si>
    <t>Jambu air</t>
  </si>
  <si>
    <t>Pagar Bata Hebbel</t>
  </si>
  <si>
    <t>32121420090249</t>
  </si>
  <si>
    <t>Blok Jumat RT/RW 010/011 Desa Sukamulya Kec. Kertajati Kab. Majalengka</t>
  </si>
  <si>
    <t xml:space="preserve">Petani </t>
  </si>
  <si>
    <t>Majalengka, 10-11-1955</t>
  </si>
  <si>
    <t>SPPT 32.12.140.010.013-0028.0</t>
  </si>
  <si>
    <t>0030</t>
  </si>
  <si>
    <t>WARJI</t>
  </si>
  <si>
    <t>3210141210640001</t>
  </si>
  <si>
    <t>Blok Jumat RT/RW 010/04 Desa Sukamulya Kec. Kertajati Kab. Majalengka</t>
  </si>
  <si>
    <t>Majalengka, 12-10-1964</t>
  </si>
  <si>
    <t>0029</t>
  </si>
  <si>
    <t>JASMA</t>
  </si>
  <si>
    <t>3210141403810021</t>
  </si>
  <si>
    <t>Blok Jumat RT/RW 011/04 Desa Sukamulya Kec. Kertajati Kab. Majalengka</t>
  </si>
  <si>
    <t>Majalengka, 14-03-1981</t>
  </si>
  <si>
    <t>0028</t>
  </si>
  <si>
    <t>SUBHI</t>
  </si>
  <si>
    <t>Pondasi Batu</t>
  </si>
  <si>
    <t>3173042512740013</t>
  </si>
  <si>
    <t>Jl. Kalianyar V RT/RW 003/007 Kel. Kalianyar Kec. Tambora Jakarta Barat</t>
  </si>
  <si>
    <t>Karyawan Swasta</t>
  </si>
  <si>
    <t>Jakarta, 25-12-1974</t>
  </si>
  <si>
    <t>Akta Hibah No. 1016 tanggal 02-12-2015</t>
  </si>
  <si>
    <t>0027</t>
  </si>
  <si>
    <t>RUYAT</t>
  </si>
  <si>
    <t>3601350107600053</t>
  </si>
  <si>
    <t>Kp. Kubang Bale RT/RW 001/008 Desa Teluk Lada Kec. Sobang Kab. Pandeglang</t>
  </si>
  <si>
    <t>Indramayu, 12-04-1962</t>
  </si>
  <si>
    <t>Akta Jual Beli No. 539 tanggal 21-03-2014</t>
  </si>
  <si>
    <t>0026</t>
  </si>
  <si>
    <t>KADORI</t>
  </si>
  <si>
    <t>Salak</t>
  </si>
  <si>
    <t>3210146911760001</t>
  </si>
  <si>
    <t>Buruh Harian Lepas</t>
  </si>
  <si>
    <t>Teras / Pergola</t>
  </si>
  <si>
    <t>Majalengka, 29-11-1976</t>
  </si>
  <si>
    <t>Akta Jual Beli No. 91 tanggal 25-02-2010</t>
  </si>
  <si>
    <t>0024</t>
  </si>
  <si>
    <t>MARINAH</t>
  </si>
  <si>
    <t>Panglai</t>
  </si>
  <si>
    <t>Hiris</t>
  </si>
  <si>
    <t>Sirih</t>
  </si>
  <si>
    <t>Kencur</t>
  </si>
  <si>
    <t>Lidah buaya</t>
  </si>
  <si>
    <t>Buk Tempat Duduk Keramik</t>
  </si>
  <si>
    <t>Pagar Peras Buk Keramik</t>
  </si>
  <si>
    <t>Pagar TPT</t>
  </si>
  <si>
    <t>Teras Permanen</t>
  </si>
  <si>
    <t>Sertipikat Hak Milik No. 00187 tanggal 26-08-2011</t>
  </si>
  <si>
    <t>0023</t>
  </si>
  <si>
    <t>Panggung Kayu Heleran</t>
  </si>
  <si>
    <t>Gerbang Pagar Besi</t>
  </si>
  <si>
    <t>Manda</t>
  </si>
  <si>
    <t>Tembok Rumah Pompa T=0,74m</t>
  </si>
  <si>
    <t>3210140502730002</t>
  </si>
  <si>
    <t>Manoa</t>
  </si>
  <si>
    <t>Pedagang</t>
  </si>
  <si>
    <t>Majalengka, 05-02-1973</t>
  </si>
  <si>
    <t>Sertipikat Hak Milik No. 00102 tanggal 30-04-2009</t>
  </si>
  <si>
    <t>0018</t>
  </si>
  <si>
    <t>DIDI SUWARDI</t>
  </si>
  <si>
    <t>1400m</t>
  </si>
  <si>
    <t>Sirsak</t>
  </si>
  <si>
    <t>Mawar</t>
  </si>
  <si>
    <t>Pandan</t>
  </si>
  <si>
    <t>Melinjo</t>
  </si>
  <si>
    <t>3603030102650006</t>
  </si>
  <si>
    <t>Palasah</t>
  </si>
  <si>
    <t>SPPT 32.12.140.010.013-0023.0</t>
  </si>
  <si>
    <t>0019</t>
  </si>
  <si>
    <t>Jeruk Nipis</t>
  </si>
  <si>
    <t>Bunga Soka</t>
  </si>
  <si>
    <t>Jumari</t>
  </si>
  <si>
    <t>3210141506600031</t>
  </si>
  <si>
    <t>Majalengka, 15-06-1960</t>
  </si>
  <si>
    <t>Wasja / Dasa</t>
  </si>
  <si>
    <t>SPPT 32.12.140.010.013-0016.0</t>
  </si>
  <si>
    <t>0022</t>
  </si>
  <si>
    <t>DASA</t>
  </si>
  <si>
    <t>g</t>
  </si>
  <si>
    <t>f</t>
  </si>
  <si>
    <t>e</t>
  </si>
  <si>
    <t>3210146004870041</t>
  </si>
  <si>
    <t>d</t>
  </si>
  <si>
    <t>Blok Senin RT/RW 002/002 Desa Kertajati Kec. Kertajati Kab. Majalengka</t>
  </si>
  <si>
    <t>c</t>
  </si>
  <si>
    <t>Bangunan Los Genteng</t>
  </si>
  <si>
    <t>b</t>
  </si>
  <si>
    <t>Majalengka, 20-04-1987</t>
  </si>
  <si>
    <t>SPPT 32.12.140.010.013-0170.0</t>
  </si>
  <si>
    <t>0020</t>
  </si>
  <si>
    <t>RUSNAWATI</t>
  </si>
  <si>
    <t>3210141406500001</t>
  </si>
  <si>
    <t>Majalengka, 14-06-1950</t>
  </si>
  <si>
    <t>SPPT 32.12.140.010.013-0015.0</t>
  </si>
  <si>
    <t>0021</t>
  </si>
  <si>
    <t>KARYIM</t>
  </si>
  <si>
    <t>i</t>
  </si>
  <si>
    <t>h</t>
  </si>
  <si>
    <t>Pagar Pas. Bata</t>
  </si>
  <si>
    <t>3210142706660021</t>
  </si>
  <si>
    <t>Buruh Tani/Perkebunan</t>
  </si>
  <si>
    <t>Majalengka, 27-06-1966</t>
  </si>
  <si>
    <t>Akta Jual Beli No. 591 tanggal 24-06-2015</t>
  </si>
  <si>
    <t>m</t>
  </si>
  <si>
    <t>Beton Torn</t>
  </si>
  <si>
    <t>l</t>
  </si>
  <si>
    <t>k</t>
  </si>
  <si>
    <t>Tembol Balong T=0,75 M</t>
  </si>
  <si>
    <t>j</t>
  </si>
  <si>
    <t>Paping Block</t>
  </si>
  <si>
    <t>3210142912660001</t>
  </si>
  <si>
    <t>Majalengka, 29-12-1966</t>
  </si>
  <si>
    <t>Banguanan Permanen</t>
  </si>
  <si>
    <t>Akta Jual Beli No. 129 tanggal 28-02-2017</t>
  </si>
  <si>
    <t>0011</t>
  </si>
  <si>
    <t>TAMIM RUKMANA, S.PD</t>
  </si>
  <si>
    <t>Akta Jual Beli No. 62 tanggal 20-01-2015</t>
  </si>
  <si>
    <t>Alpukat</t>
  </si>
  <si>
    <t>Gerbang Besi</t>
  </si>
  <si>
    <t>Bunga Lili</t>
  </si>
  <si>
    <t>3210141708740021</t>
  </si>
  <si>
    <t>Majalengka, 17-08-1974</t>
  </si>
  <si>
    <t>SPPT 32.12.140.010.007-0224.0</t>
  </si>
  <si>
    <t>0012</t>
  </si>
  <si>
    <t>AGUS</t>
  </si>
  <si>
    <t>n</t>
  </si>
  <si>
    <t>SPPT 32.12.140.010.007-0132.0</t>
  </si>
  <si>
    <t>0013</t>
  </si>
  <si>
    <t>Lenkeng</t>
  </si>
  <si>
    <t>3210144703880001</t>
  </si>
  <si>
    <t>Bulanan</t>
  </si>
  <si>
    <t>18,91</t>
  </si>
  <si>
    <t>Bangunan Temporer</t>
  </si>
  <si>
    <t>Majalengka, 07-03-1975</t>
  </si>
  <si>
    <t>Akta Jual Beli No. 678 tanggal 12-10-2012</t>
  </si>
  <si>
    <t>0014</t>
  </si>
  <si>
    <t>DARWINI</t>
  </si>
  <si>
    <t>Kingkong</t>
  </si>
  <si>
    <t>3210146305550002</t>
  </si>
  <si>
    <t>Majalengka, 23-05-1955</t>
  </si>
  <si>
    <t>Akta Jual Beli No. 677 tanggal 12-10-2012</t>
  </si>
  <si>
    <t>0015</t>
  </si>
  <si>
    <t>YUSIH</t>
  </si>
  <si>
    <t>Bunga Bakung</t>
  </si>
  <si>
    <t>Pagar Kreweng</t>
  </si>
  <si>
    <t>3210145208740061</t>
  </si>
  <si>
    <t>Jeruk Bali</t>
  </si>
  <si>
    <t>Majalengka, 12-08-1974</t>
  </si>
  <si>
    <t>Sertipikat Hak Milik No. 00128 tanggal 08-09-2009</t>
  </si>
  <si>
    <t>Sabtu</t>
  </si>
  <si>
    <t>0017</t>
  </si>
  <si>
    <t>DASINI SUHAENI HJ</t>
  </si>
  <si>
    <t>NIK</t>
  </si>
  <si>
    <t>Dan lain-lain</t>
  </si>
  <si>
    <t>Rumah Kantor</t>
  </si>
  <si>
    <t>Alamat</t>
  </si>
  <si>
    <t>Saluran Gas</t>
  </si>
  <si>
    <t>Rumah Toko</t>
  </si>
  <si>
    <t>Kecamatan</t>
  </si>
  <si>
    <t>Pekerjaan</t>
  </si>
  <si>
    <t>Saluran Tlpn</t>
  </si>
  <si>
    <t>Rumah Usaha</t>
  </si>
  <si>
    <t>Desa/Kelurahan</t>
  </si>
  <si>
    <t>Tanggal Lahir</t>
  </si>
  <si>
    <t>Saluran Air</t>
  </si>
  <si>
    <t>Rumah tinggal</t>
  </si>
  <si>
    <t>Sertipikat/ Girik/ Letter C/ Akta Jual Beli, Lainnya</t>
  </si>
  <si>
    <t>M/U/B/L/TN/TMA</t>
  </si>
  <si>
    <t>RT/RW</t>
  </si>
  <si>
    <t xml:space="preserve">Nama </t>
  </si>
  <si>
    <t>Kecil</t>
  </si>
  <si>
    <t>Sedang</t>
  </si>
  <si>
    <t>Besar</t>
  </si>
  <si>
    <t>Jenis Tanaman</t>
  </si>
  <si>
    <t>No.</t>
  </si>
  <si>
    <t>Jml</t>
  </si>
  <si>
    <t>Jenis</t>
  </si>
  <si>
    <t>Klasifikasi</t>
  </si>
  <si>
    <t>Jml Total</t>
  </si>
  <si>
    <t>Luas  (m2)</t>
  </si>
  <si>
    <t>HM/  Sarusun/ Lainnya</t>
  </si>
  <si>
    <t>Surat Tanda Bukti/ Alas Hak</t>
  </si>
  <si>
    <t>Status Tanah</t>
  </si>
  <si>
    <t>Luas Hasil Ukur</t>
  </si>
  <si>
    <t>Letak</t>
  </si>
  <si>
    <t>NIS</t>
  </si>
  <si>
    <t>Menguasai/ Menggarap/ Menyewa</t>
  </si>
  <si>
    <t>Pemilik</t>
  </si>
  <si>
    <t>Ket.</t>
  </si>
  <si>
    <t>Perkiraan Dampak dari Rencana Pembangunan</t>
  </si>
  <si>
    <t>Pembebanan Hak Atas Tanah/ Fiducia</t>
  </si>
  <si>
    <t>BENDA LAIN YANG BERKAITAN DENGAN TANAH</t>
  </si>
  <si>
    <t>RINCIAN TANAMAN</t>
  </si>
  <si>
    <t>TANAMAN</t>
  </si>
  <si>
    <t>BANGUNAN</t>
  </si>
  <si>
    <t>RUANG ATAS DAN RUANG BAWAH</t>
  </si>
  <si>
    <t>TANAH</t>
  </si>
  <si>
    <t>PIHAK YANG BERHAK</t>
  </si>
  <si>
    <t>No. Urut</t>
  </si>
  <si>
    <t xml:space="preserve">PENGADAAN TANAH UNTUK PEMBANGUNAN BANDARA INTERNASIONAL JAWA BARAT (BIJB) KERTAJATI DESA SUKAMULYA </t>
  </si>
  <si>
    <t>DAFTAR NOMINATIF</t>
  </si>
  <si>
    <t>Petunjuk Teknis Pelaksanaan Pengadaan Tanah</t>
  </si>
  <si>
    <t>Tentang</t>
  </si>
  <si>
    <t>Nomor 5 Tahun 2012</t>
  </si>
  <si>
    <t>Peraturan Kepala Badan Pertanahan Nasional Republik Indonesia</t>
  </si>
  <si>
    <t>Lampiran V</t>
  </si>
  <si>
    <t>NIP. 196009181981031002</t>
  </si>
  <si>
    <t>NIP. 197003261989031003</t>
  </si>
  <si>
    <t>SOELISTIONO</t>
  </si>
  <si>
    <t>IMAN SOEDRADJAT, A.Ptnh.</t>
  </si>
  <si>
    <t>Ketua</t>
  </si>
  <si>
    <t>Satuan Tugas B</t>
  </si>
  <si>
    <t>Satuan Tugas A</t>
  </si>
  <si>
    <t>Untuk pembuatan dan pengesahan</t>
  </si>
  <si>
    <t>3210071212580121</t>
  </si>
  <si>
    <t>Jl.K.H.Abdul Halim No.5 RT/RW 001/001 Kelurahan Munjul Kecamatan Majalengka Kabupaten Majalengka</t>
  </si>
  <si>
    <t>Kertasari</t>
  </si>
  <si>
    <t>Majalengka, 12-12-1958</t>
  </si>
  <si>
    <t>Sertipikat Hak Milik No. 00354 tanggal 18-11-2009</t>
  </si>
  <si>
    <t>Blok Kanjut</t>
  </si>
  <si>
    <t>00339</t>
  </si>
  <si>
    <t>M. MULYADI</t>
  </si>
  <si>
    <t>21</t>
  </si>
  <si>
    <t>3210142907850001</t>
  </si>
  <si>
    <t>Blok Sukasari RT/RW 004/001 Desa Kertasari Kecamatan Kertajati Kabupaten Majalengka</t>
  </si>
  <si>
    <t>Majalengka, 29-07-1985</t>
  </si>
  <si>
    <t>Sertipikat Hak Milik No. 00344 tanggal 02-12-2009</t>
  </si>
  <si>
    <t>00329</t>
  </si>
  <si>
    <t>ADNA</t>
  </si>
  <si>
    <t>20</t>
  </si>
  <si>
    <t>3210141203720005</t>
  </si>
  <si>
    <t>3210143003670021</t>
  </si>
  <si>
    <t>Blok Sukabungah RT/RW 008/002 Desa Kertasari Kecamatan Kertajati Kabupaten Majalengka</t>
  </si>
  <si>
    <t>Blok Sukasari RT/RW 001/001 Desa Kertasari Kecamatan Kertajati Kabupaten Majalengka</t>
  </si>
  <si>
    <t>Majalengka, 12-03-1972</t>
  </si>
  <si>
    <t>Majalengka, 30-03-1967</t>
  </si>
  <si>
    <t>Kersem</t>
  </si>
  <si>
    <t>Akta Jual Beli No. 865 tanggal 10-12-2012</t>
  </si>
  <si>
    <t>00036</t>
  </si>
  <si>
    <t>ADE SUKARTA</t>
  </si>
  <si>
    <t>DANU</t>
  </si>
  <si>
    <t>3210156801760001</t>
  </si>
  <si>
    <t>Blok Sabtu  RT/RW 006/002 Desa Jatitujuh Kecamatan Jatitujuh Kabupaten Majalengka</t>
  </si>
  <si>
    <t>Karyawan BUMD</t>
  </si>
  <si>
    <t>Majalengka, 28-01-1976</t>
  </si>
  <si>
    <t>Akta Jual Beli No.1043 tanggal 09-11-2011</t>
  </si>
  <si>
    <t>00070</t>
  </si>
  <si>
    <t>NUNUNG NURHAENI</t>
  </si>
  <si>
    <t>3210070605640001</t>
  </si>
  <si>
    <t>3210141107570001</t>
  </si>
  <si>
    <t>Jl.Emen Slamet GG.Payung No.26 Kelurahan Majalengka Kulon Kecamatan Majalengka Kabupaten Majalengka</t>
  </si>
  <si>
    <t>Blok Sukasari Desa Kertasari Kecamatan Kertajati Kabupaten Majalengka</t>
  </si>
  <si>
    <t>Petani/ Pekebun</t>
  </si>
  <si>
    <t>Majalengka, 06-05-1964</t>
  </si>
  <si>
    <t>Sumedang, 11-07-1957</t>
  </si>
  <si>
    <t>Sertipikat Hak Milik No. 00355 tanggal 12-12-2009</t>
  </si>
  <si>
    <t>00340</t>
  </si>
  <si>
    <t>ENDANG IRIANTO</t>
  </si>
  <si>
    <t>SANA</t>
  </si>
  <si>
    <t>3212150304560001</t>
  </si>
  <si>
    <t>Padi Sawah</t>
  </si>
  <si>
    <t>Jl.Talang Tembaga No.8A Kelurahan Lemah Abang Kecamatan Indramayu Kabupaten Indramayu</t>
  </si>
  <si>
    <t>Blok Kanjut Desa Kertasari Kecamatan Kertajati Kabupaten Majalengka</t>
  </si>
  <si>
    <t>Pegawai Negeri Sipil (PNS)</t>
  </si>
  <si>
    <t>Buruh tani/Perkebunan</t>
  </si>
  <si>
    <t>Majalengka, 03-04-1956</t>
  </si>
  <si>
    <t>Majalengka, 13-12-1958</t>
  </si>
  <si>
    <t>Sertipikat Hak Milik No. 00327 tanggal 02-12-2009</t>
  </si>
  <si>
    <t>00312</t>
  </si>
  <si>
    <t>EDI DJUBAEDI</t>
  </si>
  <si>
    <t>SUMANTA</t>
  </si>
  <si>
    <t>3210140304450021</t>
  </si>
  <si>
    <t>Majalengka, 03-04-1945</t>
  </si>
  <si>
    <t>Sertipikat Hak Milik No. 00334 tanggal 02-12-2009</t>
  </si>
  <si>
    <t>00319</t>
  </si>
  <si>
    <t>DATAR</t>
  </si>
  <si>
    <t>3210145006780081</t>
  </si>
  <si>
    <t>Majalengka, 10-06-1978</t>
  </si>
  <si>
    <t>Sertipikat Hak Milik No.00345 tanggal 02-12-2009</t>
  </si>
  <si>
    <t>00330</t>
  </si>
  <si>
    <t>SANILEM</t>
  </si>
  <si>
    <t>14.</t>
  </si>
  <si>
    <t>Mastar/Riza Mahmud Y.</t>
  </si>
  <si>
    <t>3210145504830041</t>
  </si>
  <si>
    <t>Mengurus rumah tangga</t>
  </si>
  <si>
    <t>Majalengka, 15-04-1983</t>
  </si>
  <si>
    <t>Sertipikat Hak Milik No. 00326 tanggal 02-12-2009</t>
  </si>
  <si>
    <t>00311</t>
  </si>
  <si>
    <t>YULI PUJIANTI</t>
  </si>
  <si>
    <t>13.</t>
  </si>
  <si>
    <t>3210146110910004</t>
  </si>
  <si>
    <t>Dusun Cipakujaya Desa Mekarjaya Kecamatan Kertajati Kabupaten Majalengka</t>
  </si>
  <si>
    <t>Majalengka, 21-10-1991</t>
  </si>
  <si>
    <t>Sertipikat Hak Milik No. 00343 tanggal 02-12-2009</t>
  </si>
  <si>
    <t>00328</t>
  </si>
  <si>
    <t>AI NANI MARYANI</t>
  </si>
  <si>
    <t>12.</t>
  </si>
  <si>
    <t>Dusun Neglasari Desa Babakan Asem Kecamatan Conggeang Kabupaten Sumedang</t>
  </si>
  <si>
    <t>Mangga Harumanis</t>
  </si>
  <si>
    <t>Majalengka, 01-07-1971</t>
  </si>
  <si>
    <t>SPPT</t>
  </si>
  <si>
    <t>Blok Sukasari</t>
  </si>
  <si>
    <t>ROHIM</t>
  </si>
  <si>
    <t>11.</t>
  </si>
  <si>
    <t>3210141010420006</t>
  </si>
  <si>
    <t>Mangga Lainnya</t>
  </si>
  <si>
    <t>Indramayu, 10-10-1942</t>
  </si>
  <si>
    <t>Sertipikat Hak Milik No. 01010 tanggal 21-09-2010</t>
  </si>
  <si>
    <t>01033</t>
  </si>
  <si>
    <t>WARDI</t>
  </si>
  <si>
    <t>3210141703640001</t>
  </si>
  <si>
    <t>Dusun Pongpok Rt.008/004 Desa Bantarjati Kecamatan Kertajati Kabupaten Majalengka</t>
  </si>
  <si>
    <t>Majalengka, 17-03-1964</t>
  </si>
  <si>
    <t>Sertipikat Hak Milik No. 01011 tanggal 21-09-2010</t>
  </si>
  <si>
    <t>01034</t>
  </si>
  <si>
    <t>ADANG SUTISNA</t>
  </si>
  <si>
    <t>9.</t>
  </si>
  <si>
    <t>Semangka</t>
  </si>
  <si>
    <t>3211070507420003</t>
  </si>
  <si>
    <t>Desa Cacaban Kecamatan Conggeang Kabupaten Sumedang</t>
  </si>
  <si>
    <t>Sumedang, 05-07-1942</t>
  </si>
  <si>
    <t>Sertipikat Hak Milik No. 01012 tanggal 21-09-2010</t>
  </si>
  <si>
    <t>Milik</t>
  </si>
  <si>
    <t>01035</t>
  </si>
  <si>
    <t>OHAT ROHAYATI</t>
  </si>
  <si>
    <t>8.</t>
  </si>
  <si>
    <t>3212061706650001</t>
  </si>
  <si>
    <t>Blok Jembatan I Rt.016/004 Desa Gadel Kecamatan Tukdana Kabupaten Indramayu</t>
  </si>
  <si>
    <t>Indramayu, 17-06-1965</t>
  </si>
  <si>
    <t>Sertipikat Hak Milik No. 01013 tanggal 21-09-2010</t>
  </si>
  <si>
    <t>01036</t>
  </si>
  <si>
    <t>KINO</t>
  </si>
  <si>
    <t>7.</t>
  </si>
  <si>
    <t>3210145702630001</t>
  </si>
  <si>
    <t>Blok Desa Rt.007/001 Desa Kertasari Kecamatan Kertajati Kabupaten Majalengka</t>
  </si>
  <si>
    <t>Majalengka,17-02-1963</t>
  </si>
  <si>
    <t>Akta Jual Beli No. 748 tanggal 11-11-2005</t>
  </si>
  <si>
    <t>EVI</t>
  </si>
  <si>
    <t>6.</t>
  </si>
  <si>
    <t>3210140107420322</t>
  </si>
  <si>
    <t>Blok Sukasari Rt.007/001 Desa Kertasari Kecamatan Kertajati Kabupaten Majalengka</t>
  </si>
  <si>
    <t>Majalengka, 01-07-1942</t>
  </si>
  <si>
    <t>Sertipikat Hak Milik No. 01014 tanggal 21-09-2010</t>
  </si>
  <si>
    <t>01037</t>
  </si>
  <si>
    <t>OJO</t>
  </si>
  <si>
    <t>5.</t>
  </si>
  <si>
    <t>3210141905740021</t>
  </si>
  <si>
    <t>474/0154/Pemdes/XI/2017</t>
  </si>
  <si>
    <t>Dusun Cisahang Rt.006/002 Desa Mekarmulya Kecamatan Kertajati Kabupaten Majalengka</t>
  </si>
  <si>
    <t>Majalengka, 19-05-1974</t>
  </si>
  <si>
    <t>Majalengka, 25-05-1955</t>
  </si>
  <si>
    <t>Sertipikat Hak Milik No. 01015 tanggal 21-09-2010</t>
  </si>
  <si>
    <t>01038</t>
  </si>
  <si>
    <t>AGUS ROHMANA</t>
  </si>
  <si>
    <t>JAYA SONJAYA</t>
  </si>
  <si>
    <t>4.</t>
  </si>
  <si>
    <t>3210146102520002</t>
  </si>
  <si>
    <t>Blok Sukasari Rt.001/001 Desa Kertasari Kecamatan Kertajati Kabupaten Majalengka</t>
  </si>
  <si>
    <t>Majalengka, 21-02-1952</t>
  </si>
  <si>
    <t>Sertipikat Hak Milik No. 01016 tanggal 21-09-2010</t>
  </si>
  <si>
    <t>01039</t>
  </si>
  <si>
    <t>NURMI</t>
  </si>
  <si>
    <t>3.</t>
  </si>
  <si>
    <t>Akta Jual Beli No. 472 tanggal 13-11-1995</t>
  </si>
  <si>
    <t>2.</t>
  </si>
  <si>
    <t>3210145012750041</t>
  </si>
  <si>
    <t>Majalengka, 10-12-1975</t>
  </si>
  <si>
    <t>Sertipikat Hak Milik No. 01017 tanggal 21-09-2010</t>
  </si>
  <si>
    <t>01040</t>
  </si>
  <si>
    <t>EROH</t>
  </si>
  <si>
    <t>1.</t>
  </si>
  <si>
    <t>M/U/B/L/TN/T/MA</t>
  </si>
  <si>
    <t>RT/RW/Blok</t>
  </si>
  <si>
    <t>PENGADAAN TANAH UNTUK PEMBANGUNAN BANDARA INTERNASIONAL JAWA BARAT (BIJB) KERTAJATI DESA KERTASARI</t>
  </si>
  <si>
    <t>WAWAN</t>
  </si>
  <si>
    <t>3210140410700002</t>
  </si>
  <si>
    <t>Blok Padasuka Rt.014/005 Desa Sukamulya Kec. Kertajati Kab. Majalengka</t>
  </si>
  <si>
    <t>Bantarjati</t>
  </si>
  <si>
    <t>Majalengka, 04-10-1970</t>
  </si>
  <si>
    <t>Sertipikat Hak Milik No. 00953 tanggal03-10-2011</t>
  </si>
  <si>
    <t>Buah Kopek</t>
  </si>
  <si>
    <t>DULYAMIN</t>
  </si>
  <si>
    <t>Pagar Pas. Beton</t>
  </si>
  <si>
    <t>Pagar batako</t>
  </si>
  <si>
    <t>Sumur Gali</t>
  </si>
  <si>
    <t>Los Galvalum</t>
  </si>
  <si>
    <t>Sertipikat Hak Milik No. 00952 tanggal 03-10-2011</t>
  </si>
  <si>
    <t>3210140410600001</t>
  </si>
  <si>
    <t>Blok Kamis Rt.008/Rw.003 Ds. Sukamulya Kec. Kertajati Kab. Majalengka</t>
  </si>
  <si>
    <t>Majalengka, 04-10-1960</t>
  </si>
  <si>
    <t>Buah Leutik</t>
  </si>
  <si>
    <t>WARSIDI</t>
  </si>
  <si>
    <t>3210141406500021</t>
  </si>
  <si>
    <t>Akta Jual Beli No. 41/2010 tanggal 28-01-2010</t>
  </si>
  <si>
    <t>H.MAKMUR</t>
  </si>
  <si>
    <t>Akta Jual Beli No. 267/Kertajati/1996 tanggal 09-07-1996</t>
  </si>
  <si>
    <t>Blok Kubangbale Rt.001/Rw.008 Kelurahan Teluklada Kecamatan Sobang Kabupaten Pandeglang</t>
  </si>
  <si>
    <t>MARJONO</t>
  </si>
  <si>
    <t>Sertipikat Hak Milik No. 00929 tanggal 12-09-2006</t>
  </si>
  <si>
    <t>Pal</t>
  </si>
  <si>
    <t>3212305307670004</t>
  </si>
  <si>
    <t>Blok Sukajadi Rt.006/Rw.003 Desa Tukdana Kecamatan Tukdana Kabupaten Indramayu</t>
  </si>
  <si>
    <t>Majalengka, 13-07-1967</t>
  </si>
  <si>
    <t>Sertipikat Hak Milik No.00927 tanggal 12-09-2006</t>
  </si>
  <si>
    <t>SARINAH</t>
  </si>
  <si>
    <t>3210144304570021</t>
  </si>
  <si>
    <t>Blok Minggu Rt.001/Rw.001 Ds. Sukamulya Kec. Kertajati Kab. Majalengka</t>
  </si>
  <si>
    <t>Majalengka, 03-04-1957</t>
  </si>
  <si>
    <t>TARINAH</t>
  </si>
  <si>
    <t>FATIMAH SULASTRI</t>
  </si>
  <si>
    <t>Akta Jual Beli No. 769/2011 tanggal 25-07-2011</t>
  </si>
  <si>
    <t>Akta Jual Beli No. 770/2011 tanggal 25-07-2011</t>
  </si>
  <si>
    <t>Akta Jual Beli No. 157/593.4/V/1989 tanggal 19-05-1989</t>
  </si>
  <si>
    <t>KUNAH MARKUNAH</t>
  </si>
  <si>
    <t>Akta Jual Beli No. 256/594.4/Ktj/VII/1991 tanggal 22-07-1991</t>
  </si>
  <si>
    <t>Akta Jual Beli No.449/594.4/Ktj/II/1989 tanggal 13-11-1989</t>
  </si>
  <si>
    <t>Samsiah Kidul</t>
  </si>
  <si>
    <t>Rolling Door</t>
  </si>
  <si>
    <t>3210140707640021</t>
  </si>
  <si>
    <t>Kanopy Teras</t>
  </si>
  <si>
    <t>Blok Minggu Rt.002/001 Desa Sukamulya Kec. Kertajati Kab. Majalengka</t>
  </si>
  <si>
    <t>Majalengka, 07-07-1964</t>
  </si>
  <si>
    <t>NURYAMAN</t>
  </si>
  <si>
    <t>Akta Jual Beli No. 253/Kertajati/1998 tanggal 16-07-1998</t>
  </si>
  <si>
    <t>WATIM</t>
  </si>
  <si>
    <t>Pas. Pondasi Bata</t>
  </si>
  <si>
    <t>TEras</t>
  </si>
  <si>
    <t>Majalengka,03-03-1971</t>
  </si>
  <si>
    <t>Akta Jual Beli No. 203/594.4/Ktj/VII/1992 tanggal 14-07-1992</t>
  </si>
  <si>
    <t>JUBAEDAH</t>
  </si>
  <si>
    <t>3210142808730003</t>
  </si>
  <si>
    <t>Majalengka, 28-08-1973</t>
  </si>
  <si>
    <t>Kolam Pasangan Batu</t>
  </si>
  <si>
    <t>Akta Jual Beli No. 645 tanggal 19-09-2005</t>
  </si>
  <si>
    <t>CASMINTA</t>
  </si>
  <si>
    <t>Teras Bangunan Semi Permanen</t>
  </si>
  <si>
    <t>NURIMAN</t>
  </si>
  <si>
    <t>NURIMAH</t>
  </si>
  <si>
    <t>DEWI LESTARI</t>
  </si>
  <si>
    <t>Akta Jual Beli No. 644 tanggal 19-09-2005</t>
  </si>
  <si>
    <t>Bangunan Semipermanien</t>
  </si>
  <si>
    <t>CASTIMAN</t>
  </si>
  <si>
    <t>3210141406670061</t>
  </si>
  <si>
    <t>Majalengka, 14-06-1967</t>
  </si>
  <si>
    <t>CASTA WIJAYA</t>
  </si>
  <si>
    <t>Akta Jual Beli No. 90 tanggal 09-03-2007</t>
  </si>
  <si>
    <t>3210144808820101</t>
  </si>
  <si>
    <t>Blok Minggu Rt.001/002 Desa Sukamulya Kec. Kertajati Kab. Majalengka</t>
  </si>
  <si>
    <t>Majalengka,08-08-1982</t>
  </si>
  <si>
    <t>Akta Jual Beli No. 332 tanggal 11-03-2016</t>
  </si>
  <si>
    <t>3210140910600001</t>
  </si>
  <si>
    <t>Dusun Sukaresmi Rt.015/006 Desa Sukamulya Kec. Kertajati Kab. Majalengka</t>
  </si>
  <si>
    <t>HERMAN</t>
  </si>
  <si>
    <t>Majalengka, 09-10-1960</t>
  </si>
  <si>
    <t>SARIPAH</t>
  </si>
  <si>
    <t>PENGADAAN TANAH UNTUK PEMBANGUNAN BANDARA INTERNASIONAL JAWA BARAT (BIJB) KERTAJATI DESA BANTARJATI</t>
  </si>
  <si>
    <t>Sisipan (1/3)</t>
  </si>
  <si>
    <t>Mangium</t>
  </si>
  <si>
    <t>Randu</t>
  </si>
  <si>
    <t>Jambu Biji</t>
  </si>
  <si>
    <t>Risom</t>
  </si>
  <si>
    <t>Ade Karta</t>
  </si>
  <si>
    <t>sawo</t>
  </si>
  <si>
    <t>jambu biji</t>
  </si>
  <si>
    <t>100 bata</t>
  </si>
  <si>
    <t>salam</t>
  </si>
  <si>
    <t>kersem</t>
  </si>
  <si>
    <t>jati</t>
  </si>
  <si>
    <t>mangium</t>
  </si>
  <si>
    <t>Endang Iryanto</t>
  </si>
  <si>
    <t>Semipermanen</t>
  </si>
  <si>
    <t>Ojo</t>
  </si>
  <si>
    <t>Casida</t>
  </si>
  <si>
    <t>Nia Yuliana</t>
  </si>
  <si>
    <t>EEM SHAEMAH</t>
  </si>
  <si>
    <t>Suharta</t>
  </si>
  <si>
    <t>Eem Shaemah</t>
  </si>
  <si>
    <t>Kunir</t>
  </si>
  <si>
    <t>Talas Hias</t>
  </si>
  <si>
    <t>Cemara Hias</t>
  </si>
  <si>
    <t>Kacapiring</t>
  </si>
  <si>
    <t>Sereh (rumpun)</t>
  </si>
  <si>
    <t>Bunga Lainnya</t>
  </si>
  <si>
    <t>Pagar Genteng</t>
  </si>
  <si>
    <t>3210141012840121</t>
  </si>
  <si>
    <t>Blok Sidamukti RT/RW : 005/003 Desa Sukakerta Kecamatan Kertajati Kabupaten Majalengka</t>
  </si>
  <si>
    <t>Soka</t>
  </si>
  <si>
    <t>Sukakerta</t>
  </si>
  <si>
    <t>Majalengka, 10-12-1984</t>
  </si>
  <si>
    <t>Sertipikkat Hak Milik No.00019 tanggal 22-02-1997</t>
  </si>
  <si>
    <t>Blok Sidamukti</t>
  </si>
  <si>
    <t>SUNARTO</t>
  </si>
  <si>
    <t>Kelengkeng</t>
  </si>
  <si>
    <t>Mangga Besar</t>
  </si>
  <si>
    <t>Eforbia</t>
  </si>
  <si>
    <t>Andong</t>
  </si>
  <si>
    <t>Daun Cemara</t>
  </si>
  <si>
    <t>Bakung</t>
  </si>
  <si>
    <t xml:space="preserve">Anggrek </t>
  </si>
  <si>
    <t>Bunga Kertas</t>
  </si>
  <si>
    <t>Bunga Talas</t>
  </si>
  <si>
    <t>Daun kuning</t>
  </si>
  <si>
    <t>Puring (meter)</t>
  </si>
  <si>
    <t>Daun Kupu-kupu</t>
  </si>
  <si>
    <t>Daun Beringin</t>
  </si>
  <si>
    <t xml:space="preserve">Nusa Indah </t>
  </si>
  <si>
    <t>Anggrek Bawang</t>
  </si>
  <si>
    <t>Bonsay</t>
  </si>
  <si>
    <t>3210141012350002</t>
  </si>
  <si>
    <t>Bernuk</t>
  </si>
  <si>
    <t>Blok Kliwon RT/RW : 003/002 Desa Sukakerta Kecamatan Kertajati Kabupaten Majalengka</t>
  </si>
  <si>
    <t>Blok Sabtu RT/RW : 013/004 Desa Sukamulya Kecamatan Kertajati Kabupaten Majalengka</t>
  </si>
  <si>
    <t>Majalengka, 10-12-1935</t>
  </si>
  <si>
    <t>Sertipikkat Hak Milik No.00153 tanggal 22-05-1996</t>
  </si>
  <si>
    <t>Blok Bengkok</t>
  </si>
  <si>
    <t>00112</t>
  </si>
  <si>
    <t>H. TATANG</t>
  </si>
  <si>
    <t>9</t>
  </si>
  <si>
    <t>H. Amir</t>
  </si>
  <si>
    <t>Jambu Lilin</t>
  </si>
  <si>
    <t>Pagar Besi Tempa</t>
  </si>
  <si>
    <t>3210140505640001</t>
  </si>
  <si>
    <t>Blok Sidamukti Rt.005/006 Desa Sukakerta Kecamatan Kertajati Kabupaten Majalengka</t>
  </si>
  <si>
    <t>Kedondong</t>
  </si>
  <si>
    <t>Rumah Tinggal Permanen</t>
  </si>
  <si>
    <t>Desa Sukakerta</t>
  </si>
  <si>
    <t>Majalengka, 05-05-1964</t>
  </si>
  <si>
    <t>Amir</t>
  </si>
  <si>
    <t>Hak Milik No. 17/ 1996 Tanggal. 22-02-1997</t>
  </si>
  <si>
    <t>00049</t>
  </si>
  <si>
    <t>H. AMIR</t>
  </si>
  <si>
    <t>Bambu Aur</t>
  </si>
  <si>
    <t>Bengle</t>
  </si>
  <si>
    <t>Jaringao</t>
  </si>
  <si>
    <t>Kihujan</t>
  </si>
  <si>
    <t>3210144410770002</t>
  </si>
  <si>
    <t>Blok Laksanakarya RT/RW : 007/044 Desa Sukakerta Kecamatan Kertajati Kabupaten Majalengka</t>
  </si>
  <si>
    <t>Majalengka, 04-10-1977</t>
  </si>
  <si>
    <t>Akta Jual Beli No 846/2015 tanggal 06-10-2015</t>
  </si>
  <si>
    <t>00004</t>
  </si>
  <si>
    <t>RUMSITI</t>
  </si>
  <si>
    <t>Pagar Hidup (Cemara Jepang) (m2)</t>
  </si>
  <si>
    <t>Melati Air</t>
  </si>
  <si>
    <t>3210144107430702</t>
  </si>
  <si>
    <t>Blok Sidamukti RT/RW : 006/003 Desa Sukakerta Kecamatan Kertajati Kabupaten Majalengka</t>
  </si>
  <si>
    <t>Bangunan Tinggal Semipermanen</t>
  </si>
  <si>
    <t>Majalengka, 01-07-1943</t>
  </si>
  <si>
    <t>00022</t>
  </si>
  <si>
    <t>TITI</t>
  </si>
  <si>
    <t>Kangkung</t>
  </si>
  <si>
    <t>3210144204600001</t>
  </si>
  <si>
    <t>Markisa</t>
  </si>
  <si>
    <t>Blok Sidamukti Rt. 06/03 Desa Sukakerta Kecamatan Kertajati Kabupaten Majalengka</t>
  </si>
  <si>
    <t>Mangga Cengkir</t>
  </si>
  <si>
    <t>Majalengka, 02-04-1960</t>
  </si>
  <si>
    <t>00003</t>
  </si>
  <si>
    <t>RASKEM</t>
  </si>
  <si>
    <t>Rumput Jepang (meter2)</t>
  </si>
  <si>
    <t>kunir</t>
  </si>
  <si>
    <t>`</t>
  </si>
  <si>
    <t>Lengkuas</t>
  </si>
  <si>
    <t>Ubi Kayu</t>
  </si>
  <si>
    <t>Koswara</t>
  </si>
  <si>
    <t>Bunga Belalang</t>
  </si>
  <si>
    <t>3210146509670002</t>
  </si>
  <si>
    <t>Majalengka, 25-09-1967</t>
  </si>
  <si>
    <t>00025</t>
  </si>
  <si>
    <t>INOH</t>
  </si>
  <si>
    <t>3210145004810001</t>
  </si>
  <si>
    <t>BlokSidamukti RT/RW : 006/003 Desa Sukakerta Kecamatan Kertajati Kabupaten Majalengka</t>
  </si>
  <si>
    <t>Mangga Gedong</t>
  </si>
  <si>
    <t>Majalengka, 10-04-1981</t>
  </si>
  <si>
    <t>Rumah Semi Permanen</t>
  </si>
  <si>
    <t>Akta Jual Beli No 175/2013 Tanggal. 16-03-2013</t>
  </si>
  <si>
    <t>00018</t>
  </si>
  <si>
    <t>JUMIATIN</t>
  </si>
  <si>
    <t>Srirejeki</t>
  </si>
  <si>
    <t>Bunga</t>
  </si>
  <si>
    <t>Ceri</t>
  </si>
  <si>
    <t>pisang</t>
  </si>
  <si>
    <t>Srikaya</t>
  </si>
  <si>
    <t>Petei</t>
  </si>
  <si>
    <t>3210146006900001</t>
  </si>
  <si>
    <t>Kihiyang</t>
  </si>
  <si>
    <t>Majalengka, 20-06-1990</t>
  </si>
  <si>
    <t>Akta Jual Beli No 391/2012 Tanggal 28-06-2012</t>
  </si>
  <si>
    <t>00007</t>
  </si>
  <si>
    <t>TARSITI</t>
  </si>
  <si>
    <t>Pagar Hidup (Sri Rejeki)</t>
  </si>
  <si>
    <t>Bunga Kantil</t>
  </si>
  <si>
    <t>3210141006670021</t>
  </si>
  <si>
    <t>Majalengka, 10-06-1967</t>
  </si>
  <si>
    <t>Akta Jual Beli No. 481/2015 Tanggal. 22-05-2015</t>
  </si>
  <si>
    <t>NARDI</t>
  </si>
  <si>
    <t>PENGADAAN TANAH UNTUK PEMBANGUNAN BANDARA INTERNASIONAL JAWA BARAT (BIJB) KERTAJATI DESA SUKAKERTA</t>
  </si>
  <si>
    <t>Bayam</t>
  </si>
  <si>
    <t xml:space="preserve"> Mangga Gedong </t>
  </si>
  <si>
    <t xml:space="preserve"> Jambu Biji </t>
  </si>
  <si>
    <t xml:space="preserve"> Bayam </t>
  </si>
  <si>
    <t xml:space="preserve"> Soka </t>
  </si>
  <si>
    <t xml:space="preserve"> Pakar Kuku </t>
  </si>
  <si>
    <t xml:space="preserve">                 -</t>
  </si>
  <si>
    <t xml:space="preserve"> Lidah Mertua </t>
  </si>
  <si>
    <t xml:space="preserve"> Mawar </t>
  </si>
  <si>
    <t xml:space="preserve"> Mangga </t>
  </si>
  <si>
    <t xml:space="preserve"> Bogenvil </t>
  </si>
  <si>
    <t xml:space="preserve"> Kumis Kucing </t>
  </si>
  <si>
    <t xml:space="preserve"> Nusa Indah </t>
  </si>
  <si>
    <t xml:space="preserve"> Hanjuang </t>
  </si>
  <si>
    <t xml:space="preserve"> Pisang </t>
  </si>
  <si>
    <t xml:space="preserve"> Ubi Kayu </t>
  </si>
  <si>
    <t xml:space="preserve"> Cecendet </t>
  </si>
  <si>
    <t xml:space="preserve"> Kunir </t>
  </si>
  <si>
    <t xml:space="preserve"> Talas </t>
  </si>
  <si>
    <t xml:space="preserve"> Laja </t>
  </si>
  <si>
    <t xml:space="preserve"> Katuk </t>
  </si>
  <si>
    <t xml:space="preserve"> Pandan </t>
  </si>
  <si>
    <t xml:space="preserve"> Sereh Wangi (Rumpun) </t>
  </si>
  <si>
    <t xml:space="preserve"> Pepaya </t>
  </si>
  <si>
    <t xml:space="preserve"> Melati </t>
  </si>
  <si>
    <t xml:space="preserve"> Lenca </t>
  </si>
  <si>
    <t xml:space="preserve"> Kemangi </t>
  </si>
  <si>
    <t xml:space="preserve"> Buah Naga </t>
  </si>
  <si>
    <t xml:space="preserve"> Seureuh </t>
  </si>
  <si>
    <t xml:space="preserve"> Pisang Hias </t>
  </si>
  <si>
    <t xml:space="preserve"> Bunga Sepatu </t>
  </si>
  <si>
    <t xml:space="preserve"> Cabe </t>
  </si>
  <si>
    <t xml:space="preserve"> Ketimun </t>
  </si>
  <si>
    <t xml:space="preserve"> Keuncur </t>
  </si>
  <si>
    <t xml:space="preserve"> - </t>
  </si>
  <si>
    <t xml:space="preserve"> Kenanga </t>
  </si>
  <si>
    <t xml:space="preserve"> Jahe </t>
  </si>
  <si>
    <t xml:space="preserve"> Rambutan </t>
  </si>
  <si>
    <t xml:space="preserve"> Aster </t>
  </si>
  <si>
    <t xml:space="preserve"> Bunga Lainnya </t>
  </si>
  <si>
    <t xml:space="preserve"> Sri Rejeki </t>
  </si>
  <si>
    <t xml:space="preserve"> Jambu Batu </t>
  </si>
  <si>
    <t xml:space="preserve"> Mangga Arumanis </t>
  </si>
  <si>
    <t xml:space="preserve"> Pacar Kuku </t>
  </si>
  <si>
    <t xml:space="preserve"> Cemara Hias </t>
  </si>
  <si>
    <t xml:space="preserve"> Patah Tulang </t>
  </si>
  <si>
    <t xml:space="preserve"> Salak </t>
  </si>
  <si>
    <t xml:space="preserve"> Jeruk Nipis </t>
  </si>
  <si>
    <t xml:space="preserve"> Jambu Air </t>
  </si>
  <si>
    <t xml:space="preserve"> Betadin </t>
  </si>
  <si>
    <t xml:space="preserve"> Tespong </t>
  </si>
  <si>
    <t xml:space="preserve"> Jarak </t>
  </si>
  <si>
    <t xml:space="preserve"> Sawo </t>
  </si>
  <si>
    <t xml:space="preserve"> Beringin Hias </t>
  </si>
  <si>
    <t xml:space="preserve"> Petai Besar </t>
  </si>
  <si>
    <t xml:space="preserve"> Talas Hias </t>
  </si>
  <si>
    <t xml:space="preserve"> Pagar Hidup (meter) </t>
  </si>
  <si>
    <t xml:space="preserve"> Konyal </t>
  </si>
  <si>
    <t xml:space="preserve"> Teh Tehan </t>
  </si>
  <si>
    <t xml:space="preserve"> Hanjuang Merah </t>
  </si>
  <si>
    <t xml:space="preserve"> Jambu Mete </t>
  </si>
  <si>
    <t xml:space="preserve"> Kaktus </t>
  </si>
  <si>
    <t xml:space="preserve"> Puring </t>
  </si>
  <si>
    <t xml:space="preserve"> Kemanggi </t>
  </si>
  <si>
    <t xml:space="preserve"> Tebu </t>
  </si>
  <si>
    <t xml:space="preserve"> Palem Raja </t>
  </si>
  <si>
    <t xml:space="preserve"> Sarikaya </t>
  </si>
  <si>
    <t xml:space="preserve"> Seureh </t>
  </si>
  <si>
    <t xml:space="preserve"> Sri rejeki </t>
  </si>
  <si>
    <t xml:space="preserve"> Mahadewa </t>
  </si>
  <si>
    <t xml:space="preserve"> Bogenvile </t>
  </si>
  <si>
    <t xml:space="preserve"> Bunga Lili </t>
  </si>
  <si>
    <t xml:space="preserve"> Randu </t>
  </si>
  <si>
    <t xml:space="preserve"> Sirsak </t>
  </si>
  <si>
    <t xml:space="preserve"> Pandanwangi </t>
  </si>
  <si>
    <t>Laja Merah</t>
  </si>
  <si>
    <t>Belembing</t>
  </si>
  <si>
    <t>Sedap Malam</t>
  </si>
  <si>
    <t>Ketapang</t>
  </si>
  <si>
    <t>Pormis</t>
  </si>
  <si>
    <t>Dadap</t>
  </si>
  <si>
    <t xml:space="preserve">Sertipikat Hak Milik No. 94/Ds. Sukamulya, SPPT PBB NOP : 32.12.140.010.006-0011.0 </t>
  </si>
  <si>
    <t>SHM</t>
  </si>
  <si>
    <t>0111</t>
  </si>
  <si>
    <t>15 m</t>
  </si>
  <si>
    <t>3210144512950002</t>
  </si>
  <si>
    <t>Blok Cisagara RT/RW 003/001 Desa Biyawak Kec. Jatitujuh Kab. Majalengka</t>
  </si>
  <si>
    <t>Majalengka, 03-02-1995</t>
  </si>
  <si>
    <t>SPPT PBB NOP : 32.12.140.010.006-0011.0  Letter C No.- Persil - Kelas -An. Darpan Wabul</t>
  </si>
  <si>
    <t>Blok Gempol 2</t>
  </si>
  <si>
    <t>0156</t>
  </si>
  <si>
    <t>RESTAWATI</t>
  </si>
  <si>
    <t>3210141909640021</t>
  </si>
  <si>
    <t>Dusun Sukaresmi RT/RW 015/006 Desa Sukamulya Kec. Kertajati Kab. Majalengka</t>
  </si>
  <si>
    <t>Petani/ Perkebunan</t>
  </si>
  <si>
    <t>Indramayu, 19-09-1964</t>
  </si>
  <si>
    <t>Akta Jual Beli No.126/2017 tgl.28-02-2017</t>
  </si>
  <si>
    <t>WARSINAH</t>
  </si>
  <si>
    <t>Sumur Pompa</t>
  </si>
  <si>
    <t>Bangunan Saung</t>
  </si>
  <si>
    <t>Teras Semi Permanen</t>
  </si>
  <si>
    <t>0137</t>
  </si>
  <si>
    <t>SARIYAH</t>
  </si>
  <si>
    <t>3210146307320001</t>
  </si>
  <si>
    <t>Blok Sabtu RT/RW 012/004 Desa Sukamulya Kec. Kertajati Kab. Majalengkai</t>
  </si>
  <si>
    <t>Majalengka, 23-07-1932</t>
  </si>
  <si>
    <t>SPPT PBB NOP : 32.12.140.010.006-0001.0  Letter C No.- Persil - Kelas -An. RINTA</t>
  </si>
  <si>
    <t>0145</t>
  </si>
  <si>
    <t>SANGKEM</t>
  </si>
  <si>
    <t>3210140508710041</t>
  </si>
  <si>
    <t>Blok Sukasari RT/RW. 002/001 Desa Kertasari Kec. Kertajati Kab. Majalengka</t>
  </si>
  <si>
    <t>Majalengka, 05-08-1971</t>
  </si>
  <si>
    <t>Akta Jual Beli No.18/2014 tgl.13-01-2014</t>
  </si>
  <si>
    <t>0146</t>
  </si>
  <si>
    <t>SUTA</t>
  </si>
  <si>
    <t>3210142606680001</t>
  </si>
  <si>
    <t>Blok Sabtu RT/RW. 013/004 Desa Sukamulya Kec. Kertajati Kab. Majalengka</t>
  </si>
  <si>
    <t>5x7 m</t>
  </si>
  <si>
    <t>Semaian Padi</t>
  </si>
  <si>
    <t>Majalengka, 26-06-1968</t>
  </si>
  <si>
    <t>Akta Pembagian Hak Bersama No.60 / 2016 tgl.20-01-2016</t>
  </si>
  <si>
    <t>Blok Gempol2</t>
  </si>
  <si>
    <t>0147</t>
  </si>
  <si>
    <t>TARSAM</t>
  </si>
  <si>
    <t>1x7m</t>
  </si>
  <si>
    <t>1x7 m</t>
  </si>
  <si>
    <t>Terong</t>
  </si>
  <si>
    <t>100 m</t>
  </si>
  <si>
    <t>5 rumpun</t>
  </si>
  <si>
    <t>0148</t>
  </si>
  <si>
    <t>SANTI SUSANTI</t>
  </si>
  <si>
    <t>50 m</t>
  </si>
  <si>
    <t>0149</t>
  </si>
  <si>
    <t>NENGSIH ANOTO</t>
  </si>
  <si>
    <t>3210146704720002</t>
  </si>
  <si>
    <t>Blok Senin RT/RW. 003/002 Desa Sukamulya Kec. Kertajati Kab. Majalengka</t>
  </si>
  <si>
    <t>2 rumpun</t>
  </si>
  <si>
    <t>Majalengka, 27-04-1972</t>
  </si>
  <si>
    <t>Akta Jual Beli No.1025/2013 tgl.11-10-2013</t>
  </si>
  <si>
    <t>0151</t>
  </si>
  <si>
    <t>Akta Jual Beli No.516/2016 tgl.24-05-2016</t>
  </si>
  <si>
    <t>0155</t>
  </si>
  <si>
    <t>3210141106660001</t>
  </si>
  <si>
    <t>Blok Jumat RT/RW 011/004 Desa Sukamulya Kecamatan Kertajati Kab. Majalengka</t>
  </si>
  <si>
    <t>WIRASWASTA</t>
  </si>
  <si>
    <t>MAJALENGKA, 11-06-1966</t>
  </si>
  <si>
    <t>Akta Jual Beli No.143/2016 tgl.02-02-2016</t>
  </si>
  <si>
    <t>0157</t>
  </si>
  <si>
    <t>TASMIN DALI</t>
  </si>
  <si>
    <t>0158</t>
  </si>
  <si>
    <t>WATI</t>
  </si>
  <si>
    <t>Tangkil</t>
  </si>
  <si>
    <t>3210140810820021</t>
  </si>
  <si>
    <t>Cor Beton</t>
  </si>
  <si>
    <t>Blok Sabtu RT/RW 012/004 Desa Sukamulya, Kec. Kertajati, Kab. Majalengka</t>
  </si>
  <si>
    <t>wiraswasta</t>
  </si>
  <si>
    <t>Majalengka, 08-10-1982</t>
  </si>
  <si>
    <t>SPPT PBB NOP : 32.12.140.010.007-037.0  Letter C No.- Persil - Kelas -An. KARWAN</t>
  </si>
  <si>
    <t>0124</t>
  </si>
  <si>
    <t>MUKIDIN</t>
  </si>
  <si>
    <t>3274011102680003</t>
  </si>
  <si>
    <t>Jl. Wahidin No. I  RT.005 RW.009 Kel. Sukapura, Kec. Kejaksan Kota Cirebon</t>
  </si>
  <si>
    <t>Sumedang, 11-02-1968</t>
  </si>
  <si>
    <t>SHM No. 1/ Sukamulya</t>
  </si>
  <si>
    <t>Blok Caringin</t>
  </si>
  <si>
    <t>0123</t>
  </si>
  <si>
    <t>TANAH KEHUTANAN / HENDRA KUSNENDAR</t>
  </si>
  <si>
    <t>300 ruyuk</t>
  </si>
  <si>
    <t>Pagar Pas. Genteng</t>
  </si>
  <si>
    <t>3374131510640001</t>
  </si>
  <si>
    <t>Blok Kamis RT.008/RW.003 Desa Sukamulya, Kec. Kertajati Kab. Majalengka</t>
  </si>
  <si>
    <t>SPPT PBB NOP : 32.12.140.010.007-026.0  Letter C No.- Persil - Kelas -An. ERUM</t>
  </si>
  <si>
    <t>0116</t>
  </si>
  <si>
    <t>0115</t>
  </si>
  <si>
    <t>KUD</t>
  </si>
  <si>
    <t>3210144712600021</t>
  </si>
  <si>
    <t>Bendara</t>
  </si>
  <si>
    <t>Blok Minggu  RT/RW. 002/001 Desa Sukamulya Kec. Kertajat Kab. Majalengkai</t>
  </si>
  <si>
    <t>Indramayu, 07-12-1960</t>
  </si>
  <si>
    <t>Akta Jual Beli No.1021/2013 tgl.11-10-2013</t>
  </si>
  <si>
    <t>0106</t>
  </si>
  <si>
    <t>SUMINAH</t>
  </si>
  <si>
    <t>Laja / Jahe</t>
  </si>
  <si>
    <t>3210146601840001</t>
  </si>
  <si>
    <t>Blok Sabtu RT/RW. 012/004 Desa Sukamulya Kec. Kertajati Kab. Majalengka</t>
  </si>
  <si>
    <t>Majalengka, 26-01-1984</t>
  </si>
  <si>
    <t>Akta Jual Beli No.63/2015 tgl.20-01-2015</t>
  </si>
  <si>
    <t>0139</t>
  </si>
  <si>
    <t>TITI DIANTI</t>
  </si>
  <si>
    <t>Bunga Pipisangan</t>
  </si>
  <si>
    <t>Bunga Kingkong</t>
  </si>
  <si>
    <t>Pagar Pas. Bata + Besi Hollo</t>
  </si>
  <si>
    <t>Bunga Pengantin</t>
  </si>
  <si>
    <t>Plat Beton / Gorong-gorong</t>
  </si>
  <si>
    <t>Ketela Pohon</t>
  </si>
  <si>
    <t>3 m2</t>
  </si>
  <si>
    <t>3210144604720101</t>
  </si>
  <si>
    <t>Blok Sabtu RT.013 RW.004 Desa Sukamulya, Kec. Kertajati, Kab. Majalengka</t>
  </si>
  <si>
    <t>Majalengka, 06-04-1972</t>
  </si>
  <si>
    <t>Akta Jual Beli No.268/Kertajati/1998 tgl.27-07-1998</t>
  </si>
  <si>
    <t>0138</t>
  </si>
  <si>
    <t>NENGSIH</t>
  </si>
  <si>
    <t>3210141012300021</t>
  </si>
  <si>
    <t>Bunga Scorpio</t>
  </si>
  <si>
    <t>Majalengka, 10-12-1930</t>
  </si>
  <si>
    <t>SPPT PBB NOP : 32.12.140.010.007-054.0  Letter C No.- Persil - Kelas -An. TENGGEK</t>
  </si>
  <si>
    <t>0136</t>
  </si>
  <si>
    <t>TENGGEK</t>
  </si>
  <si>
    <t>Akta Jual Beli No.1020/2013 tgl.11-10-2013</t>
  </si>
  <si>
    <t>0141</t>
  </si>
  <si>
    <t>3210140802580001</t>
  </si>
  <si>
    <t>Blok Sukasari RT/RW. 005/001 Desa Kertasari Kec. Kertajati Kab. Majalengka</t>
  </si>
  <si>
    <t>Sumedang, 08-02-1958</t>
  </si>
  <si>
    <t>Akta Jual Beli No.10/2014 tgl.10-01-2014</t>
  </si>
  <si>
    <t>0140</t>
  </si>
  <si>
    <t>ADAS</t>
  </si>
  <si>
    <t>3210141611760001</t>
  </si>
  <si>
    <t>Blok Nanjung mulya RT/RW. 009/003 Desa Sukamulya Kec. Kertajati Kab. Majalengka</t>
  </si>
  <si>
    <t>Majalengka, 16-11-1976</t>
  </si>
  <si>
    <t>SPPT PBB NOP : 32.12.140.010.007-053.0  Letter C No.- Persil - Kelas -An. DIDI WIDIANTO</t>
  </si>
  <si>
    <t>0135</t>
  </si>
  <si>
    <t>DIDI WIDIANTO</t>
  </si>
  <si>
    <t>3210141606670041</t>
  </si>
  <si>
    <t>Majalengka, 16-06-1967</t>
  </si>
  <si>
    <t>SPPT PBB NOP : 32.12.140.010.007-051.0  Letter C No.- Persil - Kelas -An. KASTA</t>
  </si>
  <si>
    <t>0142</t>
  </si>
  <si>
    <t>KASTA</t>
  </si>
  <si>
    <t>3210142307630021</t>
  </si>
  <si>
    <t>Blok Sabtu RT/RW 013/004 Desa Sukmulya Kec. Kertajati Kab. Majalengka</t>
  </si>
  <si>
    <t>Majalengka, 23-07-1963</t>
  </si>
  <si>
    <t>SPPT PBB NOP : 32.12.140.010.007-052.0  Letter C No.- Persil - Kelas -An. TARMONO</t>
  </si>
  <si>
    <t>0134</t>
  </si>
  <si>
    <t>TARMONO</t>
  </si>
  <si>
    <t>Oom :</t>
  </si>
  <si>
    <t>Tarmini :</t>
  </si>
  <si>
    <t>3210144511750081</t>
  </si>
  <si>
    <t>Blok Sabtu RT/RW 02/03 Desa Sukmulya Kec. Kertajati Kab. Majalengka</t>
  </si>
  <si>
    <t>Majalengka, 05-11-1975</t>
  </si>
  <si>
    <t>SPPT PBB NOP : 32.12.140.010.007-049.0  Letter C No.- Persil - Kelas -An. KADMARI</t>
  </si>
  <si>
    <t>0133</t>
  </si>
  <si>
    <t>TARMINAH</t>
  </si>
  <si>
    <t>Blok Sabtu RT.013 RW.004 Desa Sukamulya Kec. Kertajati, Kab. Majalengka</t>
  </si>
  <si>
    <t>Majalengka, 25-10-1957</t>
  </si>
  <si>
    <t>SPPT PBB NOP : 32.12.140.010.007-048.0  Letter C No.- Persil - Kelas -An. MAYA</t>
  </si>
  <si>
    <t>0132</t>
  </si>
  <si>
    <t>EYOH</t>
  </si>
  <si>
    <t>3210142312650001</t>
  </si>
  <si>
    <t>Petani/Perkebunan</t>
  </si>
  <si>
    <t>Majalengka, 23-12-1965</t>
  </si>
  <si>
    <t>SPPT PBB NOP : 32.12.140.010.007-0173.0  Letter C No.- Persil - Kelas -An. SARWID</t>
  </si>
  <si>
    <t>0143</t>
  </si>
  <si>
    <t>SARWID</t>
  </si>
  <si>
    <t>SPPT PBB NOP : 32.12.140.010.007-0170.0  Letter C No.- Persil - Kelas -An. SARWID</t>
  </si>
  <si>
    <t>0144</t>
  </si>
  <si>
    <t>Cor Tumbuk</t>
  </si>
  <si>
    <t>Kolam Tanah</t>
  </si>
  <si>
    <t>Los Atap Eurih</t>
  </si>
  <si>
    <t>Daswini :</t>
  </si>
  <si>
    <t>Cepuk</t>
  </si>
  <si>
    <t>3210145011600007</t>
  </si>
  <si>
    <t>Blok Sabtu RT.013 RW.004 Desa Sukamulyai, Kec. Kertajati, Kab. Majalengka</t>
  </si>
  <si>
    <t>Grami :</t>
  </si>
  <si>
    <t>Majalengka, 10-11-1960</t>
  </si>
  <si>
    <t>H. Kasal :</t>
  </si>
  <si>
    <t>SPPT PBB NOP : 32.12.140.010.007-0047.0  Letter C No.- Persil - Kelas -An. DASWINI</t>
  </si>
  <si>
    <t>0131</t>
  </si>
  <si>
    <t>DASWINI</t>
  </si>
  <si>
    <t>Johar</t>
  </si>
  <si>
    <t>3210141003790004</t>
  </si>
  <si>
    <t>Majalengka, 10-03-1979</t>
  </si>
  <si>
    <t>SPPT PBB NOP : 32.12.140.010.007-0042.0  Letter C No.- Persil - Kelas -An. SURMIAH</t>
  </si>
  <si>
    <t>0130</t>
  </si>
  <si>
    <t>MAMAN SUHERMAN</t>
  </si>
  <si>
    <t>Suta :</t>
  </si>
  <si>
    <t>6 rmp</t>
  </si>
  <si>
    <t>Carsinah :</t>
  </si>
  <si>
    <t>Blok Sukasari RT.002 RW.001 Desa Kertasari, Kec. Kertajati, Kab. Majalengka</t>
  </si>
  <si>
    <t>Tarsinah :</t>
  </si>
  <si>
    <t>Akta Jual Beli No.15/2014 tgl.13-01-2014</t>
  </si>
  <si>
    <t>0129</t>
  </si>
  <si>
    <t>Jengjing</t>
  </si>
  <si>
    <t>11 rmp</t>
  </si>
  <si>
    <t>100 pgr</t>
  </si>
  <si>
    <t>Anak Nakal</t>
  </si>
  <si>
    <t>Koneng</t>
  </si>
  <si>
    <t>Kalujaran</t>
  </si>
  <si>
    <t>Gamelina</t>
  </si>
  <si>
    <t>Karsiman :</t>
  </si>
  <si>
    <t>3210140806510001</t>
  </si>
  <si>
    <t>Blok Pongpong RT/RW 008/004 Desa Bantarjati Kec. Kertajati Kab. Majalengka</t>
  </si>
  <si>
    <t>Majalengka, 08-06-1951</t>
  </si>
  <si>
    <t>Radi :</t>
  </si>
  <si>
    <t>SPPT PBB NOP : 32.12.140.010.007-0041.0  Letter C No.- Persil - Kelas -An. SAYUN</t>
  </si>
  <si>
    <t>0128</t>
  </si>
  <si>
    <t>NESA</t>
  </si>
  <si>
    <t>Bunga Melati</t>
  </si>
  <si>
    <t>Plat beton / Gorong-gorong</t>
  </si>
  <si>
    <t>Kuning</t>
  </si>
  <si>
    <t>10 rmp</t>
  </si>
  <si>
    <t>3210144607570004</t>
  </si>
  <si>
    <t>Majalengka, 06-07-1957</t>
  </si>
  <si>
    <t>Akta Jual Beli No.361/2010 tgl.27-05-2010</t>
  </si>
  <si>
    <t>0127</t>
  </si>
  <si>
    <t>KANI</t>
  </si>
  <si>
    <t>3210141002750004</t>
  </si>
  <si>
    <t>Blok Sukasari RT/RW 02/01 Desa Kertasari Kec. Kertajati Kab. Majalengka</t>
  </si>
  <si>
    <t>Majalengka, 10-02-1975</t>
  </si>
  <si>
    <t>Akta Jual Beli No.920/2015 tgl.29-10-2015</t>
  </si>
  <si>
    <t>0126</t>
  </si>
  <si>
    <t>TARJAYA</t>
  </si>
  <si>
    <t>Pagar Tembok BRC</t>
  </si>
  <si>
    <t>Iroh :</t>
  </si>
  <si>
    <t>Ganyong</t>
  </si>
  <si>
    <t>Waluh</t>
  </si>
  <si>
    <t xml:space="preserve">Koneng </t>
  </si>
  <si>
    <t>Jati Kusuma</t>
  </si>
  <si>
    <t>3210142709680001</t>
  </si>
  <si>
    <t>Dusun Sukaresmi RT.015 RW.006 Desa Sukamulya, Kec. Kertajati, Kab. Majalengka</t>
  </si>
  <si>
    <t>Majalengka, 27-09-1968</t>
  </si>
  <si>
    <t>SPPT PBB NOP : 32.12.140.010.007-0039.0  Letter C No.- Persil - Kelas -An. DARSIMAN</t>
  </si>
  <si>
    <t>0125</t>
  </si>
  <si>
    <t>DARNA</t>
  </si>
  <si>
    <t>3210144107500762</t>
  </si>
  <si>
    <t>Blok Sabtu  RT.013 RW.004 Desa Sukamulya, Kec. Kertajati, Kab. Majalengka</t>
  </si>
  <si>
    <t>Majalengka, 01-07-1950</t>
  </si>
  <si>
    <t>SPPT PBB NOP : 32.12.140.010.007-0006.0  Letter C No.- Persil - Kelas -An. YAHYA</t>
  </si>
  <si>
    <t>0150</t>
  </si>
  <si>
    <t>UMYATI</t>
  </si>
  <si>
    <t>3 rumpun</t>
  </si>
  <si>
    <t>Bandara</t>
  </si>
  <si>
    <t>4 rumpun</t>
  </si>
  <si>
    <t>500 phn</t>
  </si>
  <si>
    <t>3210141304780001</t>
  </si>
  <si>
    <t>Blok Sukasari RT.003 RW.001 Desa Kertasari, Kec. Kertajati, Kab. Majalengka</t>
  </si>
  <si>
    <t>Belum / Tidak Bekerja</t>
  </si>
  <si>
    <t>Majalengka, 13-04-1978</t>
  </si>
  <si>
    <t>Akta Jual Beli No.1387/2013 tgl.24-12-2013</t>
  </si>
  <si>
    <t>Kates</t>
  </si>
  <si>
    <t>329 phn</t>
  </si>
  <si>
    <t>Bunga (macam-macam)</t>
  </si>
  <si>
    <t>Talas Bogor</t>
  </si>
  <si>
    <t>Haris :</t>
  </si>
  <si>
    <t>Laos</t>
  </si>
  <si>
    <t>32101004590002</t>
  </si>
  <si>
    <t>Majalengka, 10-04-1959</t>
  </si>
  <si>
    <t>Akta Hibah No.908/2014 tgl.02-06-2014</t>
  </si>
  <si>
    <t>0152</t>
  </si>
  <si>
    <t>AMAT</t>
  </si>
  <si>
    <t>3210142008620001</t>
  </si>
  <si>
    <t>Los  Genteng</t>
  </si>
  <si>
    <t>Majalengka, 20-08-1962</t>
  </si>
  <si>
    <t>Akta Hibah No.1493/2014 tgl.05-12-2014</t>
  </si>
  <si>
    <t>0153</t>
  </si>
  <si>
    <t>KENDI</t>
  </si>
  <si>
    <t>3210145005640041</t>
  </si>
  <si>
    <t>Blok Blok Kamis RT.008 RW.003 Desa Sukamulya, Kec. Kertajati, Kab. Majalengka</t>
  </si>
  <si>
    <t>Majalengka, 10-05-1964</t>
  </si>
  <si>
    <t>Akta Jual Beli No.939/2014 tgl.05-06-2014</t>
  </si>
  <si>
    <t>0122</t>
  </si>
  <si>
    <t>SUHAEMI</t>
  </si>
  <si>
    <t>3210145206690001</t>
  </si>
  <si>
    <t>Majalengka, 12-06-1969</t>
  </si>
  <si>
    <t>Akta Jual Beli No.21/2014 tgl.13-01-2014</t>
  </si>
  <si>
    <t>0121</t>
  </si>
  <si>
    <t>HJ. TITIN WASTINI</t>
  </si>
  <si>
    <t>3210142507640002</t>
  </si>
  <si>
    <t>Majalengka, 25-07-1964</t>
  </si>
  <si>
    <t>SPPT PBB NOP : 32.12.140.010.007-0003.0 Letter C No.- Persil - Kelas -An. SANDI</t>
  </si>
  <si>
    <t>0120</t>
  </si>
  <si>
    <t>RANTA</t>
  </si>
  <si>
    <t>Floor</t>
  </si>
  <si>
    <t>Pagar Pas. Bata + Besi</t>
  </si>
  <si>
    <t>Pas. Paving Block</t>
  </si>
  <si>
    <t>Blok Sabtu RT.012 RW.004 Desa Sukamulya, Kec. Kertajati, Kab. Majalengka</t>
  </si>
  <si>
    <t>Bangunan Los / Kanopi</t>
  </si>
  <si>
    <t>SHM 162/Sukamulya</t>
  </si>
  <si>
    <t>0119</t>
  </si>
  <si>
    <t>H. DIDI SUWARDI</t>
  </si>
  <si>
    <t>SPPT PBB NOP : 32.12.140.010.007-0031.0 Letter C No.- Persil - Kelas -An. KENDI</t>
  </si>
  <si>
    <t>0117</t>
  </si>
  <si>
    <t>Bangunan Musola Permanen</t>
  </si>
  <si>
    <t>SPPT PBB NOP : 32.12.140.010.007-0021.0 Letter C No.- Persil - Kelas -An. DIDI WIDIANTO</t>
  </si>
  <si>
    <t>0118</t>
  </si>
  <si>
    <t>Kapas</t>
  </si>
  <si>
    <t>3603286408680003</t>
  </si>
  <si>
    <t>Jl. Ternate IV No. 08 RT/RW 04/23 Balongan Kelapa Dua Tanggerang</t>
  </si>
  <si>
    <t>Majalengka, 24-08-1968</t>
  </si>
  <si>
    <t>Akta Pembagian Hak Bersama No. 794/2009 tgl 30-11-2009</t>
  </si>
  <si>
    <t>0114</t>
  </si>
  <si>
    <t>JUMSIH IRMAYATI</t>
  </si>
  <si>
    <t>3210142312620001</t>
  </si>
  <si>
    <t>Kanopi</t>
  </si>
  <si>
    <t>Saung Temporer</t>
  </si>
  <si>
    <t>Pegawai Negeri Sipil</t>
  </si>
  <si>
    <t>Majalengka, 23-12-1962</t>
  </si>
  <si>
    <t>SHM 167/Sukamulya</t>
  </si>
  <si>
    <t>Blok sabtu</t>
  </si>
  <si>
    <t>0112</t>
  </si>
  <si>
    <t>USUP</t>
  </si>
  <si>
    <t>3210144901570004</t>
  </si>
  <si>
    <t>Blok Jumat  RT/RW 011/004 Desa. Sukamulyal Kec. Kertajati Kab. Majalengka</t>
  </si>
  <si>
    <t>Majalengka, 09-01-1957</t>
  </si>
  <si>
    <t>Akta Jual Beli No. 50/594.4/Ktj/III/1992 tgl 31-03-1992</t>
  </si>
  <si>
    <t>0113</t>
  </si>
  <si>
    <t>UKINAH</t>
  </si>
  <si>
    <t>50 rmp</t>
  </si>
  <si>
    <t>3210141307540041</t>
  </si>
  <si>
    <t xml:space="preserve">Blok Sabtu RT/RW 012/004 Desa Sukamulya Kec. Kertajati Kab. Majalengka </t>
  </si>
  <si>
    <t>Majalengka, 13-07-1954</t>
  </si>
  <si>
    <t>SPPT PBB NOP : 32.12.140.010.007-0160.0 Letter C No.- Persil - Kelas -An. CARWAN</t>
  </si>
  <si>
    <t>0107</t>
  </si>
  <si>
    <t>CARWAN</t>
  </si>
  <si>
    <t>3210146810680004</t>
  </si>
  <si>
    <t>Bangunan Gubuk</t>
  </si>
  <si>
    <t>Majalengka,28-10-1968</t>
  </si>
  <si>
    <t>Akta Jual Beli No. 293/2001 tgl 26-10-2001</t>
  </si>
  <si>
    <t>0108</t>
  </si>
  <si>
    <t>KURNIAWATI</t>
  </si>
  <si>
    <t>Asoka</t>
  </si>
  <si>
    <t>Pagar Hebel</t>
  </si>
  <si>
    <t>M. Mangkok</t>
  </si>
  <si>
    <t>3210144105690021</t>
  </si>
  <si>
    <t>Bunga Sri Rejeki</t>
  </si>
  <si>
    <t>Blok Sabtu RT/RW 012/004 Desa Sukamulya Kecamatan Kertajati Kab. Majalengka</t>
  </si>
  <si>
    <t>Bunga Bawang</t>
  </si>
  <si>
    <t>Majalengka, 29-09-1991</t>
  </si>
  <si>
    <t>Akta Jual Beli No. 875/2005 tgl 07-12-2005</t>
  </si>
  <si>
    <t>0109</t>
  </si>
  <si>
    <t>SIDIK PERMANA</t>
  </si>
  <si>
    <t>Blok Sabtu RT.13 RW.4 Desa Sukamulya, Kec. Kertajati, Kab. Majalengka</t>
  </si>
  <si>
    <t>Bangunan Gudang SP</t>
  </si>
  <si>
    <t>SPPT PBB NOP : 32.12.140.010.007-0190.0 Letter C No.- Persil - Kelas - An. KENDI</t>
  </si>
  <si>
    <t>0110</t>
  </si>
  <si>
    <t>3672080103620001</t>
  </si>
  <si>
    <t>Kosambi</t>
  </si>
  <si>
    <t>Link. Kerenceng RT/RW 003/004 Kel/Desa Kebonsari Kec. Citangkil Kota Cilegon</t>
  </si>
  <si>
    <t>Karyawan BUMN</t>
  </si>
  <si>
    <t>Majalengka, 01-03-1962</t>
  </si>
  <si>
    <t>Akta Hibah No. 224/2002 tgl 12-07-2002</t>
  </si>
  <si>
    <t>0105'</t>
  </si>
  <si>
    <t>DEDE SUHERMAN</t>
  </si>
  <si>
    <t>6 m</t>
  </si>
  <si>
    <t>3673014806670004</t>
  </si>
  <si>
    <t>Bukit Ciracas Permai Blok B 2/6 RT. 1 RW. 10 Kel/ Desa Serang Kec. Serang Kota Serang</t>
  </si>
  <si>
    <t>Majalengka, 18-07-1967</t>
  </si>
  <si>
    <t>Akta Hibah No. 223/2002 tgl 12-07-2002</t>
  </si>
  <si>
    <t>0104</t>
  </si>
  <si>
    <t>NANI NUR'AENI</t>
  </si>
  <si>
    <t>3210144312680002</t>
  </si>
  <si>
    <t>Desa Biyawak RT.001 RW,001 Desa Biyawak, Kec. Jatitujuh, Kab. Majalengka</t>
  </si>
  <si>
    <t>Buruh Tani Perkebunan</t>
  </si>
  <si>
    <t>Majalengka, 30-08-1965</t>
  </si>
  <si>
    <t>SPPT PBB NOP : 32.12.140.007.049-0206.0 Letter C. An. Sakeh Kalisem</t>
  </si>
  <si>
    <t>Manangga</t>
  </si>
  <si>
    <t>`02315</t>
  </si>
  <si>
    <t>KARPIN</t>
  </si>
  <si>
    <t>Jambu Mete</t>
  </si>
  <si>
    <t>Pisang Muli</t>
  </si>
  <si>
    <t>Blol Pilangsari Rt.25 Rw.006 Desa Pilangsari Kec. Jatibarang Kab. Indramayu</t>
  </si>
  <si>
    <t>Waru/Tisuk</t>
  </si>
  <si>
    <t>Akta Jual Beli No. 695/2009 tgl 26-10-2009</t>
  </si>
  <si>
    <t>1190 m2</t>
  </si>
  <si>
    <t>`02262</t>
  </si>
  <si>
    <t>HARSITI</t>
  </si>
  <si>
    <t>Harapan Indah 2 Cluster Ivolia 2 Blok Hy. 18/10 Rt.01 Rw 020 Pusaka Rakyat Pusaka Nagara kab. Bekasi</t>
  </si>
  <si>
    <t>SPPT PBB NOP : 32.12.140.007.021-0021.0 Letter C. An. Sukardi</t>
  </si>
  <si>
    <t>Tirip</t>
  </si>
  <si>
    <t>PURNOMOSIDI</t>
  </si>
  <si>
    <t>Nangka Sirsak</t>
  </si>
  <si>
    <t>Rambutan Aceh</t>
  </si>
  <si>
    <t>3210140406520021</t>
  </si>
  <si>
    <t>Blok Rabu RT/RW 004/004 Desa Kertajati Kec. Kertajati Kab. Majalengka</t>
  </si>
  <si>
    <t>Majalengka, 04-06-1962</t>
  </si>
  <si>
    <t>SPPT PBB NOP : 32.12.140.007.035-0044.0 Letter C No.- Persil - Kelas - An. Karban Nimah</t>
  </si>
  <si>
    <t>663 m2</t>
  </si>
  <si>
    <t>Panjang Remeh</t>
  </si>
  <si>
    <t>`02230</t>
  </si>
  <si>
    <t>TARSA</t>
  </si>
  <si>
    <t>Pagar Hidup (m2)</t>
  </si>
  <si>
    <t>Petai Besar</t>
  </si>
  <si>
    <t>3201125508600006</t>
  </si>
  <si>
    <t>Kampung Salabenda RT.01 RW.03  Kec. Parakan Jaya, Kab. Bogor</t>
  </si>
  <si>
    <t>Bogor, 15-08-1960</t>
  </si>
  <si>
    <t>Akta Jual Beli No. 758/2009 tgl 16-11-2009</t>
  </si>
  <si>
    <t>890 m2</t>
  </si>
  <si>
    <t>`02193</t>
  </si>
  <si>
    <t>HJ. SUMI NURJANAH</t>
  </si>
  <si>
    <t>3210141808830021</t>
  </si>
  <si>
    <t>Majalengka, 18-08-1983</t>
  </si>
  <si>
    <t>SPPT PBB NOP : 32.12.140.007.018-0141.0 Letter C No.- Persil - Kelas - An. Santana Sukarti</t>
  </si>
  <si>
    <t>5017 m2</t>
  </si>
  <si>
    <t>cikamurang</t>
  </si>
  <si>
    <t>`00275A</t>
  </si>
  <si>
    <t>RAJA SAEFUL CITRA R</t>
  </si>
  <si>
    <t>Bambu Krisik</t>
  </si>
  <si>
    <t>Bambu Ampel</t>
  </si>
  <si>
    <t>Durian</t>
  </si>
  <si>
    <t>`02237</t>
  </si>
  <si>
    <t>`+</t>
  </si>
  <si>
    <t>`02236</t>
  </si>
  <si>
    <t>3211151307480004</t>
  </si>
  <si>
    <t>Kanyere</t>
  </si>
  <si>
    <t>RT/RW. 001/002 Desa Cilayung Jatinangor Kab. Sumedang</t>
  </si>
  <si>
    <t>Sumedang, 13-07-1948</t>
  </si>
  <si>
    <t>Akta Jual Beli No. 602/2007 tgl 28-12-2007</t>
  </si>
  <si>
    <t>1964 m2</t>
  </si>
  <si>
    <t>Kantot</t>
  </si>
  <si>
    <t>ANANG</t>
  </si>
  <si>
    <t>`3211151307480004</t>
  </si>
  <si>
    <t>Akta Jual Beli No. 691/2007 tgl 28-12-2007</t>
  </si>
  <si>
    <t>1016 m2</t>
  </si>
  <si>
    <t>`02261</t>
  </si>
  <si>
    <t>Rambutan Gelong</t>
  </si>
  <si>
    <t>Kahiyang</t>
  </si>
  <si>
    <t>Akta Jual Beli No. 600/2017 tgl 28-12-2007</t>
  </si>
  <si>
    <t>1675 m2</t>
  </si>
  <si>
    <t>`02360</t>
  </si>
  <si>
    <t>1479 m2</t>
  </si>
  <si>
    <t>`02250</t>
  </si>
  <si>
    <t>Kacang Panjang</t>
  </si>
  <si>
    <t>Sarikancuh</t>
  </si>
  <si>
    <t>Takokak</t>
  </si>
  <si>
    <t>Bambu Hitam</t>
  </si>
  <si>
    <t>Tomat</t>
  </si>
  <si>
    <t>7,00 m2</t>
  </si>
  <si>
    <t>Pisang Raja Cere</t>
  </si>
  <si>
    <t>91,00 m2</t>
  </si>
  <si>
    <t>PAKIH</t>
  </si>
  <si>
    <t>septictank</t>
  </si>
  <si>
    <t>17,28 m2</t>
  </si>
  <si>
    <t>Jeruk Purut</t>
  </si>
  <si>
    <t>44,16 m2</t>
  </si>
  <si>
    <t>KARIMAN</t>
  </si>
  <si>
    <t>4,18 m2</t>
  </si>
  <si>
    <t>25,26 m2</t>
  </si>
  <si>
    <t>6,30 m2</t>
  </si>
  <si>
    <t>23,52 m2</t>
  </si>
  <si>
    <t>bangunan Kontenporer</t>
  </si>
  <si>
    <t>11,20 m2</t>
  </si>
  <si>
    <t>36,80 m2</t>
  </si>
  <si>
    <t>Bangunan Kontenporer</t>
  </si>
  <si>
    <t>Talas Padang</t>
  </si>
  <si>
    <t>8,90 m2</t>
  </si>
  <si>
    <t>36,88 m2</t>
  </si>
  <si>
    <t>KOSIAH</t>
  </si>
  <si>
    <t>Bambu Hijau</t>
  </si>
  <si>
    <t>19,20 m2</t>
  </si>
  <si>
    <t>44,12 m2</t>
  </si>
  <si>
    <t>48,53 m2</t>
  </si>
  <si>
    <t>KURNIAH</t>
  </si>
  <si>
    <t>11,60 m2</t>
  </si>
  <si>
    <t>Kawijaran</t>
  </si>
  <si>
    <t>54,75 m2</t>
  </si>
  <si>
    <t>41,97 m2</t>
  </si>
  <si>
    <t>Waru</t>
  </si>
  <si>
    <t>PURI'AH</t>
  </si>
  <si>
    <t>Cebreng</t>
  </si>
  <si>
    <t>24,54 m2</t>
  </si>
  <si>
    <t>3210141107330001</t>
  </si>
  <si>
    <t>Cemara</t>
  </si>
  <si>
    <t>29,60 m2</t>
  </si>
  <si>
    <t>Blok Selasa RT.003 RW.003 Desa Kertajati, Kec. Kertajati, Kab. Majalengka</t>
  </si>
  <si>
    <t>19,32 m2</t>
  </si>
  <si>
    <t>38,24 m2</t>
  </si>
  <si>
    <t>Majalengka, 11-07-1933</t>
  </si>
  <si>
    <t>SOIP ACIM</t>
  </si>
  <si>
    <t>SPPT PBB NOP : 32.12.140.007.008-0162.0 Letter C No.- Persil - Kelas - An. Soip Kariman</t>
  </si>
  <si>
    <t>6543 m2</t>
  </si>
  <si>
    <t>Bedug</t>
  </si>
  <si>
    <t>`01030</t>
  </si>
  <si>
    <t>`3210141406690000</t>
  </si>
  <si>
    <t>Majalengka, 14-06-1969</t>
  </si>
  <si>
    <t>SPPT PBB NOP : 32.12.140.007.036-0211.0 Letter C No.- Persil - Kelas - An. Umyak Lastra</t>
  </si>
  <si>
    <t>1063 m2</t>
  </si>
  <si>
    <t>Cintakarya</t>
  </si>
  <si>
    <t>`02217</t>
  </si>
  <si>
    <t>TAYA</t>
  </si>
  <si>
    <t>`3273124106750006</t>
  </si>
  <si>
    <t>Jl. Maleer Indah No. 39 Rt. 007 Rw.003 Batununggal Kota Bandung</t>
  </si>
  <si>
    <t>Bangka, 01-06-1975</t>
  </si>
  <si>
    <t>Akta Jual Beli No. 67/2016 tgl 21-01-2016</t>
  </si>
  <si>
    <t>1427 m2</t>
  </si>
  <si>
    <t>Hoe Cai</t>
  </si>
  <si>
    <t>`02504</t>
  </si>
  <si>
    <t>AULIYA RAMADHINI</t>
  </si>
  <si>
    <t>Padi (m2)</t>
  </si>
  <si>
    <t>6,00 m2</t>
  </si>
  <si>
    <t>Los Atap Terpal</t>
  </si>
  <si>
    <t xml:space="preserve">Mahoni </t>
  </si>
  <si>
    <t>0005</t>
  </si>
  <si>
    <t>IMAN SOEDRADJAT, A.Ptnh</t>
  </si>
  <si>
    <t>Satgas B</t>
  </si>
  <si>
    <t>Satgas A</t>
  </si>
  <si>
    <t>3210141510590005</t>
  </si>
  <si>
    <t>Majalengka, 15-10-1959</t>
  </si>
  <si>
    <t>SPPT PBB NOP : 32.12.140.010.007.-0120.0 An. Rali</t>
  </si>
  <si>
    <t>012/004</t>
  </si>
  <si>
    <t>0080</t>
  </si>
  <si>
    <t>RALI</t>
  </si>
  <si>
    <t>Bangunan Semi  Permanen</t>
  </si>
  <si>
    <t>Gorong-gorong</t>
  </si>
  <si>
    <t>Cor Beton Tumbuk</t>
  </si>
  <si>
    <t>Bangunan An. MUNAH</t>
  </si>
  <si>
    <t>Pagar BRC+Bata</t>
  </si>
  <si>
    <t>'3210145204530001</t>
  </si>
  <si>
    <t>Majalengka, 12-04-1953</t>
  </si>
  <si>
    <t>Bangunan An. KASMANI</t>
  </si>
  <si>
    <t>SPPT PBB NOP : 32.12.140.010.007.0069.0 An. Kasmani</t>
  </si>
  <si>
    <t>0097</t>
  </si>
  <si>
    <t>FATIMAH</t>
  </si>
  <si>
    <t>Bawang Daun</t>
  </si>
  <si>
    <t>'3210142711950002</t>
  </si>
  <si>
    <t>Bunga Sepatu</t>
  </si>
  <si>
    <t>Pelajar/Mahasiswa</t>
  </si>
  <si>
    <t>Majalengka, 27-11-1995</t>
  </si>
  <si>
    <t>Bangunan An. DASA</t>
  </si>
  <si>
    <t>Akta Hibah No. 48/2016 tgl 19-01-2016</t>
  </si>
  <si>
    <t>0075</t>
  </si>
  <si>
    <t>YUSUP</t>
  </si>
  <si>
    <t>'3210144107630001</t>
  </si>
  <si>
    <t>Blok Sukasari RT/RW 007/001 Desa Kertasari Kec. Kertajati Kab. Majalengka</t>
  </si>
  <si>
    <t>Cikur</t>
  </si>
  <si>
    <t>Majalengka, 01-07-1963</t>
  </si>
  <si>
    <t>Akta Jual Beli No. 67/2014 tgl 23-01-2014</t>
  </si>
  <si>
    <t>013/004</t>
  </si>
  <si>
    <t>0074</t>
  </si>
  <si>
    <t>SUYI</t>
  </si>
  <si>
    <t>'3210144301870001</t>
  </si>
  <si>
    <t>Majalengka, 03-01-1987</t>
  </si>
  <si>
    <t>Akta Jual Beli No. 649/2015 tgl 13-07-2015</t>
  </si>
  <si>
    <t>0072</t>
  </si>
  <si>
    <t>TINA SUPRIYATIN</t>
  </si>
  <si>
    <t>'3210142307630021</t>
  </si>
  <si>
    <t>Jambu Bol</t>
  </si>
  <si>
    <t>Batang, 23-07-1963</t>
  </si>
  <si>
    <t>Akta Jual Beli No. 177/2007 tgl 25-05-2007</t>
  </si>
  <si>
    <t>0090</t>
  </si>
  <si>
    <t>Bangunan An. KAMALUDIN</t>
  </si>
  <si>
    <t>'3210145312600001</t>
  </si>
  <si>
    <t>Majalengka, 13-12-1960</t>
  </si>
  <si>
    <t>SPPT PBB NOP : 32.12.140.010.007-0063.0 Letter C No.- Persil - Kelas - An. Syani</t>
  </si>
  <si>
    <t>0092</t>
  </si>
  <si>
    <t>SANI</t>
  </si>
  <si>
    <t>Bunga Gelombang Cinta</t>
  </si>
  <si>
    <t>Bunga Ganyong</t>
  </si>
  <si>
    <t>3210140506670002</t>
  </si>
  <si>
    <t>Majalengka. 05-06-1967</t>
  </si>
  <si>
    <t xml:space="preserve">Mangga </t>
  </si>
  <si>
    <t>Akta Jual Beli No. 765/2010 tgl 27-09-2010</t>
  </si>
  <si>
    <t>0095</t>
  </si>
  <si>
    <t>SODIKIN</t>
  </si>
  <si>
    <t>Mengurus Rumah Tangga'</t>
  </si>
  <si>
    <t>Akta Hibah No. 806/2014 tgl 14-05-2014</t>
  </si>
  <si>
    <t>0067</t>
  </si>
  <si>
    <t>Bangunan An. DEDE</t>
  </si>
  <si>
    <t>Bangunan An. YAYAH</t>
  </si>
  <si>
    <t>Sueg</t>
  </si>
  <si>
    <t>Bangunan An. NURMAWI</t>
  </si>
  <si>
    <t>Lengkong</t>
  </si>
  <si>
    <t>'3210142711440001</t>
  </si>
  <si>
    <t>Petani</t>
  </si>
  <si>
    <t>Majalengka, 25-11-1944</t>
  </si>
  <si>
    <t>SPPT PBB NOP : 32.12.140.010.007-0137.0 Letter C No.- Persil - Kelas - An. Nurmawi</t>
  </si>
  <si>
    <t>0055</t>
  </si>
  <si>
    <t>NURMAWI</t>
  </si>
  <si>
    <t>'3210145003770001</t>
  </si>
  <si>
    <t>Majalengka, 10-03-1977</t>
  </si>
  <si>
    <t>Sertipikat Hak Milik No.00101 tgl 21-04-2009</t>
  </si>
  <si>
    <t>0057</t>
  </si>
  <si>
    <t>LILIS SUKAESIH</t>
  </si>
  <si>
    <t>Bangunan An. AKIM</t>
  </si>
  <si>
    <t>'3210141610880001</t>
  </si>
  <si>
    <t>Majalengka, 16-10-1988</t>
  </si>
  <si>
    <t>Akta Hibah No. 1085/2011 tgl 25-11-2011</t>
  </si>
  <si>
    <t>ASEP NUGROHO KARSITO</t>
  </si>
  <si>
    <t>'3210154110730021</t>
  </si>
  <si>
    <t xml:space="preserve">Laja </t>
  </si>
  <si>
    <t>Blok Pulo RT/RW 004/002 Desa Biyawak Kec. Jatitujuh Kab. Majalengka</t>
  </si>
  <si>
    <t>Majalengka, 01-10-1973</t>
  </si>
  <si>
    <t>SPPT PBB NOP : 32.12.140.010.007-0143.0 Letter C No.- Persil - Kelas - An. Rais</t>
  </si>
  <si>
    <t>0061</t>
  </si>
  <si>
    <t>RAS</t>
  </si>
  <si>
    <t>Bunga Dolar</t>
  </si>
  <si>
    <t>Bunga Cinta</t>
  </si>
  <si>
    <t>'3210145610580001</t>
  </si>
  <si>
    <t>Majalengka, 16-10-1958</t>
  </si>
  <si>
    <t>Akta Jual Beli No. 497/594.4/Ktj./X/1990 tgl 17-10-1990</t>
  </si>
  <si>
    <t>0081</t>
  </si>
  <si>
    <t>RUNDASIH</t>
  </si>
  <si>
    <t>Labu</t>
  </si>
  <si>
    <t>'321014631073002</t>
  </si>
  <si>
    <t>Majalengka, 23-10-1973</t>
  </si>
  <si>
    <t>SPPT PBB NOP : 32.12.140.010.007-0154.0 Letter C No.- Persil - Kelas - An. Rokasih</t>
  </si>
  <si>
    <t>0064</t>
  </si>
  <si>
    <t>ROKASIH</t>
  </si>
  <si>
    <t>'3210141812450001</t>
  </si>
  <si>
    <t>Bangunan L II</t>
  </si>
  <si>
    <t>Pensiunan</t>
  </si>
  <si>
    <t>Magelang, 18-12-1945</t>
  </si>
  <si>
    <t>Akta Hibah No. 247/2010 tgl 16-04-2010</t>
  </si>
  <si>
    <t>0065</t>
  </si>
  <si>
    <t>NGADIJONO</t>
  </si>
  <si>
    <t>Kalengkeng</t>
  </si>
  <si>
    <t>Kayu Putih</t>
  </si>
  <si>
    <t>Palem Botol</t>
  </si>
  <si>
    <t>Bunga Cempaka</t>
  </si>
  <si>
    <t>'3210141701680001</t>
  </si>
  <si>
    <t>Bunga Anggrek</t>
  </si>
  <si>
    <t>Majalengka, 17-01-1968</t>
  </si>
  <si>
    <t>SPPT PBB NOP : 32.12.140.010.007-0129.0 Letter C No.- Persil - Kelas - An. Kusnadi</t>
  </si>
  <si>
    <t>007/004</t>
  </si>
  <si>
    <t>0086</t>
  </si>
  <si>
    <t>KUSNADI</t>
  </si>
  <si>
    <t>'3210144110640001</t>
  </si>
  <si>
    <t>Majalengka, 01-10-1964</t>
  </si>
  <si>
    <t>Akta Jual Beli No. 117/594.4/Ktj./III/1991 tgl 30-03-1991</t>
  </si>
  <si>
    <t>0083</t>
  </si>
  <si>
    <t>Bangunan An. EKA</t>
  </si>
  <si>
    <t>Pagar Tembok Bouwling</t>
  </si>
  <si>
    <t>nangka</t>
  </si>
  <si>
    <t>Akta Jual Beli No. 305/2005 tgl 22-03-2005</t>
  </si>
  <si>
    <t>Akta Jual Beli No. 409/2006 tgl 18-04-2006</t>
  </si>
  <si>
    <t>0078</t>
  </si>
  <si>
    <t>Emes</t>
  </si>
  <si>
    <t>'3210144107770221</t>
  </si>
  <si>
    <t>E.</t>
  </si>
  <si>
    <t>Majalengka, 01-07-1977</t>
  </si>
  <si>
    <t>Akta Jual Beli No. 530/2014 tgl 21-03-2014</t>
  </si>
  <si>
    <t>0077</t>
  </si>
  <si>
    <t>SITI AISAH</t>
  </si>
  <si>
    <t>Kembang Wijaya Kusuma</t>
  </si>
  <si>
    <t>Kembang Kertas</t>
  </si>
  <si>
    <t>Duren</t>
  </si>
  <si>
    <t>'3212142012006857</t>
  </si>
  <si>
    <t>Dusun Cisahang RT/RW 002/011 Desa Mekarmulya Kec.Kertajati Kab. Majalengka</t>
  </si>
  <si>
    <t>Kolam</t>
  </si>
  <si>
    <t>Majalengka, 11-02-1980</t>
  </si>
  <si>
    <t>Akta Jual Beli No. 823/2004 tgl 15-12-2004</t>
  </si>
  <si>
    <t>0076</t>
  </si>
  <si>
    <t>IROH BINTI SARKUM</t>
  </si>
  <si>
    <t>'3210146004670001</t>
  </si>
  <si>
    <t>Blok Nanjung Mulya RT/RW 004/003 Desa Sukamulya Kec. Kertajati Kab. Majalengka</t>
  </si>
  <si>
    <t>Majalengka, 20-04-1967</t>
  </si>
  <si>
    <t>SPPT PBB NOP : 32.12.140.010.007-0119.0 Letter C No.- Persil - Kelas - An. Castra</t>
  </si>
  <si>
    <t>0079</t>
  </si>
  <si>
    <t>SAYI</t>
  </si>
  <si>
    <t>Bangunan An. WARCAM</t>
  </si>
  <si>
    <t>Bangunan An. ANAS</t>
  </si>
  <si>
    <t>Ubi Jalar</t>
  </si>
  <si>
    <t>Ubi Legi</t>
  </si>
  <si>
    <t>Bangunan An. TARYA</t>
  </si>
  <si>
    <t>'3210141107700041</t>
  </si>
  <si>
    <t>Dusun Sidamukti RT/RW 005/003 Desa Sukakerta Kec. Kertajati Kab.Majalengka</t>
  </si>
  <si>
    <t>Majalengka, 11-07-1970</t>
  </si>
  <si>
    <t>SPPT PBB NOP : 32.12.140.010.007-0107.0 Letter C No.- Persil - Kelas - An. Anim</t>
  </si>
  <si>
    <t>0070</t>
  </si>
  <si>
    <t>JUMARI</t>
  </si>
  <si>
    <t>Bangunan An. MUHAMAD JAJULI</t>
  </si>
  <si>
    <t>'3210145008740007</t>
  </si>
  <si>
    <t>Majalengka, 10-08-1974</t>
  </si>
  <si>
    <t>SPPT PBB NOP : 32.12.140.010.007-0106.0 Letter C No.- Persil - Kelas - An. Kasma Daskini</t>
  </si>
  <si>
    <t>0069</t>
  </si>
  <si>
    <t>DASKINI</t>
  </si>
  <si>
    <t>'3210140711800002</t>
  </si>
  <si>
    <t>Majalengka, 07-11-1980</t>
  </si>
  <si>
    <t>Akta Hibah No. 199/2010 tgl 31-03-2010</t>
  </si>
  <si>
    <t>0068</t>
  </si>
  <si>
    <t>SARKI</t>
  </si>
  <si>
    <t>Bangunan An. KASBA</t>
  </si>
  <si>
    <t>Bangunan An. KAPSAH</t>
  </si>
  <si>
    <t>Jambo Bol</t>
  </si>
  <si>
    <t>'3210146307320001</t>
  </si>
  <si>
    <t>betadin</t>
  </si>
  <si>
    <t>Bangunan An. SANGKEM</t>
  </si>
  <si>
    <t>SPPT PBB NOP : 32.12.140.010.007-0057.0 Letter C No.- Persil - Kelas - An. Rinta</t>
  </si>
  <si>
    <t>0087</t>
  </si>
  <si>
    <t>'3210145405710002</t>
  </si>
  <si>
    <t>Majalengka, 14-05-1971</t>
  </si>
  <si>
    <t>Akta Jual Beli No. 79/2015 tgl 23-01-2015</t>
  </si>
  <si>
    <t>0066</t>
  </si>
  <si>
    <t>ITI KARSITI</t>
  </si>
  <si>
    <t>Bangunan An. KIKI/RASMIN K</t>
  </si>
  <si>
    <t>'3210141706620041</t>
  </si>
  <si>
    <t>Majalengka, 17-06-1962</t>
  </si>
  <si>
    <t>SPPT PBB NOP : 32.12.140.010.007-0058.0 Letter C No.- Persil - Kelas - An. Rasmin Komariah</t>
  </si>
  <si>
    <t>0089</t>
  </si>
  <si>
    <t>RASMIN</t>
  </si>
  <si>
    <t>Bangunan An. WARSIM PERMANA</t>
  </si>
  <si>
    <t xml:space="preserve">Jambu  </t>
  </si>
  <si>
    <t>Akta Jual Beli No. 700/2012 tgl 22-10-2012</t>
  </si>
  <si>
    <t>0091</t>
  </si>
  <si>
    <t>Bunga Andang</t>
  </si>
  <si>
    <t>Bunga Cemara</t>
  </si>
  <si>
    <t>'3210140803800021</t>
  </si>
  <si>
    <t>Akta Jual Beli No. 312/2010 tgl 17-05-2010</t>
  </si>
  <si>
    <t>0093</t>
  </si>
  <si>
    <t>3210140408690002</t>
  </si>
  <si>
    <t>Pagar Besi Holo</t>
  </si>
  <si>
    <t>Toko Bangunan Permanen</t>
  </si>
  <si>
    <t>Bunga Lidah Mertua</t>
  </si>
  <si>
    <t>Los Genteng/Kandang Ayam</t>
  </si>
  <si>
    <t>Cingcau</t>
  </si>
  <si>
    <t>Majalengka, 04-08-1969</t>
  </si>
  <si>
    <t>AJB No. 418/594.4/Ktj./IX/1994 tgl. 01-09-1994 dan SPPT PBB NOP : 32.12.140.010.007-0064.0 Letter C No.- Persil - Kelas - An. Surahman</t>
  </si>
  <si>
    <t>0094</t>
  </si>
  <si>
    <t>SURAHMAN</t>
  </si>
  <si>
    <t>Bangunan An. NURSIM</t>
  </si>
  <si>
    <t>Bangunan An. CARSIH</t>
  </si>
  <si>
    <t>Bangunan An. RESIH</t>
  </si>
  <si>
    <t>3210140511430001</t>
  </si>
  <si>
    <t>Majalengka, 05-11-1943</t>
  </si>
  <si>
    <t>SPPT PBB NOP : 32.12.140.010.007-0070.0 Letter C No.- Persil - Kelas - An. Carnawi</t>
  </si>
  <si>
    <t>0098</t>
  </si>
  <si>
    <t>CARNAWI</t>
  </si>
  <si>
    <t>BANGUNAN AN. AHMAD</t>
  </si>
  <si>
    <t>BANGUNAN AN. TARPIN</t>
  </si>
  <si>
    <t>BANGUNAN AN. EPENG WASPAN</t>
  </si>
  <si>
    <t>Surwaung</t>
  </si>
  <si>
    <t>Sahang</t>
  </si>
  <si>
    <t>3210141510720021</t>
  </si>
  <si>
    <t>Los Fiber Auning</t>
  </si>
  <si>
    <t>Majalengka, 15-10-1972</t>
  </si>
  <si>
    <t>SPPT PBB NOP : 32.12.140.010.007-0071.0 Letter C No.- Persil - Kelas - An. Wasmin</t>
  </si>
  <si>
    <t>0099</t>
  </si>
  <si>
    <t>DASIM</t>
  </si>
  <si>
    <t>3210141511600021</t>
  </si>
  <si>
    <t>Majalengka, 15-11-1960</t>
  </si>
  <si>
    <t>Akta Jual Beli No. 467/2011 tgl 06-04-2011</t>
  </si>
  <si>
    <t>0100</t>
  </si>
  <si>
    <t>SUNARDI</t>
  </si>
  <si>
    <t>3210140703680004</t>
  </si>
  <si>
    <t>Blok Minggu RT/RW 001/001 Desa Sukamulya Kec. Kertajati Kab. Majalengka</t>
  </si>
  <si>
    <t>Majalengka, 07-02-1968</t>
  </si>
  <si>
    <t>Sertipikat Hak Milik No. 00145 tgl 03-04-2012 dan Akta Jual Beli No. 1591/2014 tgl 24-12-2014</t>
  </si>
  <si>
    <t>0102</t>
  </si>
  <si>
    <t>TARSONO</t>
  </si>
  <si>
    <t>Bangunan An. SUMA WIJAYA</t>
  </si>
  <si>
    <t>'3210141301800001</t>
  </si>
  <si>
    <t>Majalengka, 07-08-1980</t>
  </si>
  <si>
    <t>SPPT PBB NOP : 32.12.140.010.007-0180.0 Letter C No.- Persil 30 Kelas D.I An. Suma</t>
  </si>
  <si>
    <t>0103</t>
  </si>
  <si>
    <t>SUMA WIJAYA</t>
  </si>
  <si>
    <t>0054</t>
  </si>
  <si>
    <t>Nusa Indah</t>
  </si>
  <si>
    <t>'3603030102650006</t>
  </si>
  <si>
    <t>0088</t>
  </si>
  <si>
    <t>Rumah Sanyo</t>
  </si>
  <si>
    <t>Lantai Ploor</t>
  </si>
  <si>
    <t xml:space="preserve">f. </t>
  </si>
  <si>
    <t>Pavinblok</t>
  </si>
  <si>
    <t>Lapang Voli</t>
  </si>
  <si>
    <t>Saung</t>
  </si>
  <si>
    <t>Pagar Tembok Besi</t>
  </si>
  <si>
    <t>Ketua TIM I</t>
  </si>
  <si>
    <t>Ketua TIM II</t>
  </si>
  <si>
    <t>Ketua TIM III</t>
  </si>
  <si>
    <t>IYUS SUSANTO</t>
  </si>
  <si>
    <t>HARIYANTO, SH</t>
  </si>
  <si>
    <t>NIP. 196102091991031001</t>
  </si>
  <si>
    <t>NIP. 196003251984031003</t>
  </si>
  <si>
    <t>NIP. 196402031989031008</t>
  </si>
  <si>
    <t>ttd</t>
  </si>
  <si>
    <t>Majalengka, 12 Desember 2017</t>
  </si>
  <si>
    <t>Tanggal : 12 Desember 2017</t>
  </si>
  <si>
    <t>Nomor : 829/500.32.10/XII/2017</t>
  </si>
  <si>
    <t>Nomor : 831/500.32.10/XII/2017</t>
  </si>
  <si>
    <t>Nomor : 830/500.32.10/XII/2017</t>
  </si>
  <si>
    <t>Nomor : 832/500.32.10/XII/2017</t>
  </si>
  <si>
    <t>Nomor : 833/500.32.10/XII/2017</t>
  </si>
  <si>
    <t>NILAI PENGGANTIAN WAJAR</t>
  </si>
  <si>
    <t>INDIKASI NILAI FISIK</t>
  </si>
  <si>
    <r>
      <t>NILAI / M</t>
    </r>
    <r>
      <rPr>
        <b/>
        <sz val="11"/>
        <rFont val="Calibri"/>
        <family val="2"/>
      </rPr>
      <t>²</t>
    </r>
  </si>
  <si>
    <t>NILAI PASAR</t>
  </si>
  <si>
    <t>JUMLAH</t>
  </si>
  <si>
    <t>INDIKASI NILAI NON FISIK</t>
  </si>
  <si>
    <t>TOTAL NILAI FISK</t>
  </si>
  <si>
    <t>PREMIUM</t>
  </si>
  <si>
    <t>KERUGIAN USAHA</t>
  </si>
  <si>
    <t>SOLATIUM</t>
  </si>
  <si>
    <t>BIAYA TRANSAKSI</t>
  </si>
  <si>
    <t>PINDAH</t>
  </si>
  <si>
    <t>PAJAK</t>
  </si>
  <si>
    <t>MASA TUNGGU</t>
  </si>
  <si>
    <t>TOTAL NILAI NON FISIK</t>
  </si>
  <si>
    <t>GREN TOTAL NILAI PENGGANTIAN WAJAR</t>
  </si>
  <si>
    <r>
      <t>NILAI / M</t>
    </r>
    <r>
      <rPr>
        <b/>
        <sz val="11"/>
        <rFont val="Calibri"/>
        <family val="2"/>
      </rPr>
      <t>² (Rp)</t>
    </r>
  </si>
  <si>
    <t>'3210141406500021</t>
  </si>
  <si>
    <t>'3210140107710061</t>
  </si>
  <si>
    <t xml:space="preserve">   </t>
  </si>
  <si>
    <t>.</t>
  </si>
  <si>
    <t>Z1. TANAH PEKARANAGAN PINGGIR JALAN DESA</t>
  </si>
  <si>
    <t>DATA PEMBANDING ALTERNATIF</t>
  </si>
  <si>
    <t>Keterangan</t>
  </si>
  <si>
    <t>Objek</t>
  </si>
  <si>
    <t>Data 1</t>
  </si>
  <si>
    <t>Data 2</t>
  </si>
  <si>
    <t>Data 3</t>
  </si>
  <si>
    <t>Data 4</t>
  </si>
  <si>
    <t xml:space="preserve">Profil </t>
  </si>
  <si>
    <t>Jenis Data</t>
  </si>
  <si>
    <t xml:space="preserve">Penawaran </t>
  </si>
  <si>
    <t>Penawaran</t>
  </si>
  <si>
    <t>Penggunaan Data</t>
  </si>
  <si>
    <t>Tanah Kosong</t>
  </si>
  <si>
    <t>Tanah Kebon</t>
  </si>
  <si>
    <t>Tanah kebon</t>
  </si>
  <si>
    <t>Sawah</t>
  </si>
  <si>
    <t>Rumah Tinggal</t>
  </si>
  <si>
    <t>Luas Tanah</t>
  </si>
  <si>
    <t>Bentuk Tanah</t>
  </si>
  <si>
    <t>Persegi Panjang</t>
  </si>
  <si>
    <t>Kondisi Tanah</t>
  </si>
  <si>
    <t>Keras</t>
  </si>
  <si>
    <t>AJB</t>
  </si>
  <si>
    <t>Luas Bangunan</t>
  </si>
  <si>
    <t>Sarana &amp; Prasarana</t>
  </si>
  <si>
    <t>Diskon</t>
  </si>
  <si>
    <t>Harga Setelah Diskon</t>
  </si>
  <si>
    <t>Perkiraan Per m2 Bangunan</t>
  </si>
  <si>
    <t>Harga Produksi Baru Bangunan</t>
  </si>
  <si>
    <t>Kondisi Fisik Bangunan</t>
  </si>
  <si>
    <t>Harga Pasar Bangunan</t>
  </si>
  <si>
    <t>Harga/ m2 Tanah</t>
  </si>
  <si>
    <t>Sumber Data</t>
  </si>
  <si>
    <t>Bapak Farwin</t>
  </si>
  <si>
    <t>Bapak kuwu kendeng</t>
  </si>
  <si>
    <t>Bapak Tatang</t>
  </si>
  <si>
    <t>Bpk Aldo</t>
  </si>
  <si>
    <t>Ibu Siti Maemunah</t>
  </si>
  <si>
    <t>Bpk Suyono</t>
  </si>
  <si>
    <t>Ibu Tata</t>
  </si>
  <si>
    <t>Bapak Dadang</t>
  </si>
  <si>
    <t>jalan desa bantar jati</t>
  </si>
  <si>
    <t>Desa Sukasari</t>
  </si>
  <si>
    <t>Perum bumi Ciwastra (cluster)</t>
  </si>
  <si>
    <t>Jl. sariwangi Blok Lembur Tengah</t>
  </si>
  <si>
    <t>Perum. PM IV</t>
  </si>
  <si>
    <t>Komp. Mega Asri III Blok E-3</t>
  </si>
  <si>
    <t>Komp. Armed</t>
  </si>
  <si>
    <t>No Telp</t>
  </si>
  <si>
    <t>0858-864557494</t>
  </si>
  <si>
    <t>0812-423 68451</t>
  </si>
  <si>
    <t>Wawancara</t>
  </si>
  <si>
    <t>0821 27787992</t>
  </si>
  <si>
    <t>0821 1727 6614</t>
  </si>
  <si>
    <t>0812-21413331</t>
  </si>
  <si>
    <t>0853-21104522</t>
  </si>
  <si>
    <t>0821 2236 8889</t>
  </si>
  <si>
    <t>Jarak Terhadap Objek</t>
  </si>
  <si>
    <t>± 300 Meter</t>
  </si>
  <si>
    <t>± 1200 meter</t>
  </si>
  <si>
    <t>± 550 Meter</t>
  </si>
  <si>
    <t>± 150 Meter</t>
  </si>
  <si>
    <t>± 80 Meter</t>
  </si>
  <si>
    <t>± 20 Meter</t>
  </si>
  <si>
    <t>Lebar Jalan</t>
  </si>
  <si>
    <t>6 m / Sirtu</t>
  </si>
  <si>
    <t>6 m / Aspal</t>
  </si>
  <si>
    <t>3 m / Aspal</t>
  </si>
  <si>
    <t>5 m / Sirtu</t>
  </si>
  <si>
    <r>
      <rPr>
        <sz val="10"/>
        <rFont val="Calibri"/>
        <family val="2"/>
      </rPr>
      <t xml:space="preserve">± 6 </t>
    </r>
    <r>
      <rPr>
        <sz val="10"/>
        <rFont val="Arial"/>
        <family val="2"/>
      </rPr>
      <t>m / Aspal</t>
    </r>
  </si>
  <si>
    <r>
      <rPr>
        <sz val="10"/>
        <rFont val="Calibri"/>
        <family val="2"/>
      </rPr>
      <t>± 5</t>
    </r>
    <r>
      <rPr>
        <sz val="10"/>
        <rFont val="Arial"/>
        <family val="2"/>
      </rPr>
      <t xml:space="preserve"> m / Aspal</t>
    </r>
  </si>
  <si>
    <t>Tidak ada akses jalan</t>
  </si>
  <si>
    <t>Perhitungan</t>
  </si>
  <si>
    <t>Lokasi</t>
  </si>
  <si>
    <t>Adjusment %</t>
  </si>
  <si>
    <t>Luas</t>
  </si>
  <si>
    <t>Bentuk</t>
  </si>
  <si>
    <t>Kondisi Urugan</t>
  </si>
  <si>
    <t>Pemanfaatan</t>
  </si>
  <si>
    <t>Status Kepemilikan</t>
  </si>
  <si>
    <t xml:space="preserve">Lain-lain </t>
  </si>
  <si>
    <t>Total Adjusment</t>
  </si>
  <si>
    <t>Jumlah Absolut</t>
  </si>
  <si>
    <t>Bobot Data</t>
  </si>
  <si>
    <t>Akurasi</t>
  </si>
  <si>
    <t>Nilai Tanah Permeter persegi</t>
  </si>
  <si>
    <t>Perbandingan Terhadap 2 Objek</t>
  </si>
  <si>
    <t>Perbandingan Terhadap 3 Objek</t>
  </si>
  <si>
    <t>Perbandingan Terhadap 4 Objek</t>
  </si>
  <si>
    <t>Perbandingan Terhadap 5 Objek</t>
  </si>
  <si>
    <t>selisih antar data &lt; 10 %</t>
  </si>
  <si>
    <t>Nilai Tanah Objek 2 Pembanding</t>
  </si>
  <si>
    <t>Nilai Tanah Objek 3 Pembanding</t>
  </si>
  <si>
    <t>Nilai Tanah Objek 4 Pembanding</t>
  </si>
  <si>
    <t>Nilai Tanah Objek 5 Pembanding</t>
  </si>
  <si>
    <t>NILAI TANAH / TUMBAK</t>
  </si>
  <si>
    <t>Volume</t>
  </si>
  <si>
    <t>Harga Satuan</t>
  </si>
  <si>
    <t>BRB</t>
  </si>
  <si>
    <t>PASAR</t>
  </si>
  <si>
    <t>LIKUIDASI</t>
  </si>
  <si>
    <t>Tanah</t>
  </si>
  <si>
    <t>Bangunan</t>
  </si>
  <si>
    <t>Jumlah total</t>
  </si>
  <si>
    <t xml:space="preserve"> </t>
  </si>
  <si>
    <t>Z2. TANAH PEKARANAGAN PINGGIR SAYAP JALAN DESA</t>
  </si>
  <si>
    <t>Tanah Karang</t>
  </si>
  <si>
    <t>Darat</t>
  </si>
  <si>
    <t xml:space="preserve">Bapak </t>
  </si>
  <si>
    <t>Bapak Suhanda</t>
  </si>
  <si>
    <t>Jalan Sayap Desa Cisaang mekar mulya</t>
  </si>
  <si>
    <t>Desa Cisaang, Mekarmulya</t>
  </si>
  <si>
    <t>± 900 meter</t>
  </si>
  <si>
    <t>Pinggir Jalan Sayap Desa</t>
  </si>
  <si>
    <t>Kondisi Lingkungan/Keramaian</t>
  </si>
  <si>
    <t>Lain-lain Urugan</t>
  </si>
  <si>
    <t xml:space="preserve">Z2. TANAH PEKARANAGAN PINGGIR GANG JALAN </t>
  </si>
  <si>
    <t>Transaksi 2017</t>
  </si>
  <si>
    <t>Tanah Karang Gang</t>
  </si>
  <si>
    <t>Bapak H. Warsinah</t>
  </si>
  <si>
    <t>Jalan Desa Babakan</t>
  </si>
  <si>
    <t>± 200 meter</t>
  </si>
  <si>
    <t>Objek berada di blok gempol 2 (Tanah Karang Di dalam Gang)</t>
  </si>
  <si>
    <t xml:space="preserve">Z3. TANAH SAWAHDIDALAM DEKAT PEMUKIMAN </t>
  </si>
  <si>
    <t>Transaksi 2016</t>
  </si>
  <si>
    <t>Bapak Omo</t>
  </si>
  <si>
    <t>Ibu Yani</t>
  </si>
  <si>
    <t>Jalan Babakan-Ujungjaya, Desa Babakan</t>
  </si>
  <si>
    <t>0821 1613 827</t>
  </si>
  <si>
    <t>± 500 meter</t>
  </si>
  <si>
    <t>Posisi tidak jauh dari permukiman, tanah punya Bapak Marun dan Bapak Amin, orang Sukamelang, rumah Bapak Omo dekat heler Sukamelang</t>
  </si>
  <si>
    <t>Tidak ada akses jalan jauh dari pemukiman</t>
  </si>
  <si>
    <t>Posisi</t>
  </si>
  <si>
    <t>Fasilitas Umum dan Fasilitas Sosial</t>
  </si>
  <si>
    <t>Lain-lain / waktu transaksi</t>
  </si>
  <si>
    <t xml:space="preserve">Z3. TANAH SAWAH PINGGIR DIDALAM DEKAT PEMUKIMAN </t>
  </si>
  <si>
    <t>z1.</t>
  </si>
  <si>
    <t>z2.</t>
  </si>
  <si>
    <t>Tanah pekarangan Sayap Jalan Desa</t>
  </si>
  <si>
    <t>Tanah pekarangan Di Gang</t>
  </si>
  <si>
    <t>z4</t>
  </si>
  <si>
    <t>Tanah Sawah Di Dalam Dekat Pemukiman</t>
  </si>
  <si>
    <t>Z5</t>
  </si>
  <si>
    <t>Tanah Sawah didalam Jauh Dari Pemukiman</t>
  </si>
  <si>
    <t>Paping</t>
  </si>
  <si>
    <t>Bangunan Semi Permanen (Gudang)</t>
  </si>
  <si>
    <t>Floor Rabat</t>
  </si>
  <si>
    <t>Pondasi T Cuci</t>
  </si>
  <si>
    <t>Sumur</t>
  </si>
  <si>
    <t>Kolam Hias</t>
  </si>
  <si>
    <t>Pagar Minimalis</t>
  </si>
  <si>
    <t>138.2 m1</t>
  </si>
  <si>
    <t>Ahmad :</t>
  </si>
  <si>
    <t>Kandang Ayam</t>
  </si>
  <si>
    <t>Iis :</t>
  </si>
  <si>
    <t>Eyoh / Maya :</t>
  </si>
  <si>
    <t>Tembok Bata</t>
  </si>
  <si>
    <t>Ade Anah :</t>
  </si>
  <si>
    <t>'3210146510570004</t>
  </si>
  <si>
    <t>Tenggek / Iti :</t>
  </si>
  <si>
    <t>Titin Maryati :</t>
  </si>
  <si>
    <t>Kadim :</t>
  </si>
  <si>
    <t>0168</t>
  </si>
  <si>
    <t>AHMAD</t>
  </si>
  <si>
    <t>GRAND TOTAL NILAI PENGGANTIAN WAJAR</t>
  </si>
  <si>
    <t>Tanah Pekarangan dan Sawah Pinggir jalan Desa</t>
  </si>
  <si>
    <t>Tanah pekarangan Di Dalam Tanpa Akses</t>
  </si>
  <si>
    <t>Z3</t>
  </si>
  <si>
    <t>0167</t>
  </si>
  <si>
    <t>NILAI PASAR (Rp)</t>
  </si>
  <si>
    <t>JUMLAH (Rp)</t>
  </si>
  <si>
    <t>KERUGIAN USAHA (Rp)</t>
  </si>
  <si>
    <t>PINDAH (Rp)</t>
  </si>
  <si>
    <t>PAJAK (Rp)</t>
  </si>
  <si>
    <t>MASA TUNGGU (Rp)</t>
  </si>
  <si>
    <t>NILAI / M² (Rp)</t>
  </si>
  <si>
    <t>NILAI / M²(Rp)</t>
  </si>
  <si>
    <t>SOLATIUM      (Rp)</t>
  </si>
  <si>
    <t>R E S U M E</t>
  </si>
</sst>
</file>

<file path=xl/styles.xml><?xml version="1.0" encoding="utf-8"?>
<styleSheet xmlns="http://schemas.openxmlformats.org/spreadsheetml/2006/main">
  <numFmts count="81"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_(* #,##0.00_);_(* \(#,##0.00\);_(* &quot;-&quot;_);_(@_)"/>
    <numFmt numFmtId="167" formatCode="0.0"/>
    <numFmt numFmtId="168" formatCode="0.0%"/>
    <numFmt numFmtId="169" formatCode="0.000"/>
    <numFmt numFmtId="170" formatCode="0.000%"/>
    <numFmt numFmtId="171" formatCode="#,###\ &quot;M²&quot;"/>
    <numFmt numFmtId="172" formatCode="#,##0.00\ &quot;M²&quot;"/>
    <numFmt numFmtId="173" formatCode="_-&quot;Rp&quot;\ * #,##0_-;\-&quot;Rp&quot;\ * #,##0_-;_-&quot;Rp&quot;\ * &quot;-&quot;_-;_-@_-"/>
    <numFmt numFmtId="174" formatCode="#."/>
    <numFmt numFmtId="175" formatCode="&quot;$&quot;\ \ \ \ \ #,##0_);\(&quot;$&quot;\ \ #,##0\)"/>
    <numFmt numFmtId="176" formatCode="&quot;$&quot;\ \ \ \ \ \ \ #,##0_);\(&quot;$&quot;\ \ #,##0\)"/>
    <numFmt numFmtId="177" formatCode="&quot;$&quot;\ \ \ \ \ \ #,##0_);\(&quot;$&quot;\ \ #,##0\)"/>
    <numFmt numFmtId="178" formatCode="&quot;$&quot;\ \ \ #,##0_);\(&quot;$&quot;\ \ \ \ #,##0\)"/>
    <numFmt numFmtId="179" formatCode="General_)"/>
    <numFmt numFmtId="180" formatCode="#,##0;\-#,##0;&quot;-&quot;"/>
    <numFmt numFmtId="181" formatCode="0&quot;.&quot;0%;\ \(0&quot;.&quot;0%\)"/>
    <numFmt numFmtId="182" formatCode="&quot;               &quot;@"/>
    <numFmt numFmtId="183" formatCode="&quot;                    &quot;@"/>
    <numFmt numFmtId="184" formatCode="&quot;                  &quot;@"/>
    <numFmt numFmtId="185" formatCode="#,##0,_);[Red]\(#,##0,\)"/>
    <numFmt numFmtId="186" formatCode="&quot;             &quot;@"/>
    <numFmt numFmtId="187" formatCode="#,##0_)_%;\(#,##0\)_%;"/>
    <numFmt numFmtId="188" formatCode="#,##0_%_);\(#,##0\)_%;#,##0_%_);@_%_)"/>
    <numFmt numFmtId="189" formatCode="#,##0_%_);\(#,##0\)_%;**;@_%_)"/>
    <numFmt numFmtId="190" formatCode="_._.* #,##0.0_)_%;_._.* \(#,##0.0\)_%"/>
    <numFmt numFmtId="191" formatCode="#,##0.0_)_%;\(#,##0.0\)_%;\ \ .0_)_%"/>
    <numFmt numFmtId="192" formatCode="_._.* #,##0.00_)_%;_._.* \(#,##0.00\)_%"/>
    <numFmt numFmtId="193" formatCode="#,##0.00_)_%;\(#,##0.00\)_%;\ \ .00_)_%"/>
    <numFmt numFmtId="194" formatCode="_._.* #,##0.000_)_%;_._.* \(#,##0.000\)_%"/>
    <numFmt numFmtId="195" formatCode="#,##0.000_)_%;\(#,##0.000\)_%;\ \ .000_)_%"/>
    <numFmt numFmtId="196" formatCode="#,##0.00_%_);\(#,##0.00\)_%;#,##0.00_%_);@_%_)"/>
    <numFmt numFmtId="197" formatCode="_._.* \(#,##0\)_%;_._.* #,##0_)_%;_._.* 0_)_%;_._.@_)_%"/>
    <numFmt numFmtId="198" formatCode="_._.&quot;$&quot;* \(#,##0\)_%;_._.&quot;$&quot;* #,##0_)_%;_._.&quot;$&quot;* 0_)_%;_._.@_)_%"/>
    <numFmt numFmtId="199" formatCode="* \(#,##0\);* #,##0_);&quot;-&quot;??_);@"/>
    <numFmt numFmtId="200" formatCode="&quot;$&quot;* #,##0_)_%;&quot;$&quot;* \(#,##0\)_%;&quot;$&quot;* &quot;-&quot;??_)_%;@_)_%"/>
    <numFmt numFmtId="201" formatCode="&quot;$&quot;###,0&quot;.&quot;00;[Red]\-&quot;$&quot;###,0&quot;.&quot;00"/>
    <numFmt numFmtId="202" formatCode="_(&quot;$&quot;* #,##0_);_(&quot;$&quot;* \(#,##0\);_(&quot;$&quot;* &quot;-&quot;_);_(@_)"/>
    <numFmt numFmtId="203" formatCode="&quot;$&quot;#,##0_%_);\(&quot;$&quot;#,##0\)_%;&quot;$&quot;#,##0_%_);@_%_)"/>
    <numFmt numFmtId="204" formatCode="_._.&quot;$&quot;* #,##0.0_)_%;_._.&quot;$&quot;* \(#,##0.0\)_%"/>
    <numFmt numFmtId="205" formatCode="&quot;$&quot;* #,##0.0_)_%;&quot;$&quot;* \(#,##0.0\)_%;&quot;$&quot;* \ .0_)_%"/>
    <numFmt numFmtId="206" formatCode="_._.&quot;$&quot;* #,##0.00_)_%;_._.&quot;$&quot;* \(#,##0.00\)_%"/>
    <numFmt numFmtId="207" formatCode="&quot;$&quot;* #,##0.00_)_%;&quot;$&quot;* \(#,##0.00\)_%;&quot;$&quot;* \ .00_)_%"/>
    <numFmt numFmtId="208" formatCode="_._.&quot;$&quot;* #,##0.000_)_%;_._.&quot;$&quot;* \(#,##0.000\)_%"/>
    <numFmt numFmtId="209" formatCode="&quot;$&quot;* #,##0.000_)_%;&quot;$&quot;* \(#,##0.000\)_%;&quot;$&quot;* \ .000_)_%"/>
    <numFmt numFmtId="210" formatCode="&quot;$&quot;#,##0.00_%_);\(&quot;$&quot;#,##0.00\)_%;&quot;$&quot;#,##0.00_%_);@_%_)"/>
    <numFmt numFmtId="211" formatCode="&quot;$&quot;#,##0\ ;\(&quot;$&quot;#,##0\)"/>
    <numFmt numFmtId="212" formatCode="&quot;$&quot;#,##0.0_);[Red]\(&quot;$&quot;#,##0.0\)"/>
    <numFmt numFmtId="213" formatCode="m/d/yy_%_)"/>
    <numFmt numFmtId="214" formatCode="* #,##0_);* \(#,##0\);&quot;-&quot;??_);@"/>
    <numFmt numFmtId="215" formatCode="_-* #,##0\ _D_M_-;\-* #,##0\ _D_M_-;_-* &quot;-&quot;\ _D_M_-;_-@_-"/>
    <numFmt numFmtId="216" formatCode="_-* #,##0.00\ _D_M_-;\-* #,##0.00\ _D_M_-;_-* &quot;-&quot;??\ _D_M_-;_-@_-"/>
    <numFmt numFmtId="217" formatCode="0_%_);\(0\)_%;0_%_);@_%_)"/>
    <numFmt numFmtId="218" formatCode="_([$€]* #,##0.00_);_([$€]* \(#,##0.00\);_([$€]* &quot;-&quot;??_);_(@_)"/>
    <numFmt numFmtId="219" formatCode="#,##0.00\ ;&quot; (&quot;#,##0.00\);&quot; -&quot;#\ ;@\ "/>
    <numFmt numFmtId="220" formatCode="0.0\%_);\(0.0\%\);0.0\%_);@_%_)"/>
    <numFmt numFmtId="221" formatCode="#,##0;[Red]&quot;-&quot;#,##0"/>
    <numFmt numFmtId="222" formatCode="0.0\x_)_);&quot;NM&quot;_x_)_);0.0\x_)_);@_%_)"/>
    <numFmt numFmtId="223" formatCode="_(&quot;Rp.&quot;* #,##0_);_(&quot;Rp.&quot;* \(#,##0\);_(&quot;Rp.&quot;* &quot;-&quot;_);_(@_)"/>
    <numFmt numFmtId="224" formatCode="0_)%;\(0\)%"/>
    <numFmt numFmtId="225" formatCode="_._._(* 0_)%;_._.* \(0\)%"/>
    <numFmt numFmtId="226" formatCode="_(0_)%;\(0\)%"/>
    <numFmt numFmtId="227" formatCode="0%_);\(0%\)"/>
    <numFmt numFmtId="228" formatCode="0%;\(0%\)"/>
    <numFmt numFmtId="229" formatCode="_(0.0_)%;\(0.0\)%"/>
    <numFmt numFmtId="230" formatCode="_._._(* 0.0_)%;_._.* \(0.0\)%"/>
    <numFmt numFmtId="231" formatCode="_(0.00_)%;\(0.00\)%"/>
    <numFmt numFmtId="232" formatCode="_._._(* 0.00_)%;_._.* \(0.00\)%"/>
    <numFmt numFmtId="233" formatCode="_(0.000_)%;\(0.000\)%"/>
    <numFmt numFmtId="234" formatCode="_._._(* 0.000_)%;_._.* \(0.000\)%"/>
    <numFmt numFmtId="235" formatCode="&quot;          &quot;@"/>
    <numFmt numFmtId="236" formatCode="#,##0\ &quot;m&quot;;[Red]\(#,##0\)\ &quot;m&quot;;&quot;- &quot;"/>
    <numFmt numFmtId="237" formatCode="&quot;$&quot;#,##0_);[Red]\(&quot;$&quot;#,##0\)"/>
    <numFmt numFmtId="238" formatCode="_-* #,##0\ &quot;DM&quot;_-;\-* #,##0\ &quot;DM&quot;_-;_-* &quot;-&quot;\ &quot;DM&quot;_-;_-@_-"/>
    <numFmt numFmtId="239" formatCode="_-* #,##0.00\ &quot;DM&quot;_-;\-* #,##0.00\ &quot;DM&quot;_-;_-* &quot;-&quot;??\ &quot;DM&quot;_-;_-@_-"/>
    <numFmt numFmtId="240" formatCode="0\ \ ;\(0\)\ \ \ "/>
  </numFmts>
  <fonts count="9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4"/>
      <name val="Century Gothic"/>
      <family val="2"/>
    </font>
    <font>
      <b/>
      <sz val="18"/>
      <name val="Century Gothic"/>
      <family val="2"/>
    </font>
    <font>
      <b/>
      <u/>
      <sz val="1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  <font>
      <sz val="10"/>
      <name val="Arial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9"/>
      <color rgb="FF333333"/>
      <name val="Arial"/>
      <family val="2"/>
    </font>
    <font>
      <b/>
      <sz val="11"/>
      <color rgb="FFFFFFFF"/>
      <name val="Arial"/>
      <family val="2"/>
    </font>
    <font>
      <sz val="8"/>
      <color rgb="FF000000"/>
      <name val="Arial"/>
      <family val="2"/>
    </font>
    <font>
      <sz val="12"/>
      <color rgb="FF111111"/>
      <name val="Verdana"/>
      <family val="2"/>
    </font>
    <font>
      <sz val="10"/>
      <name val="Calibri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1"/>
      <name val="lr oSVbN"/>
      <family val="3"/>
      <charset val="128"/>
    </font>
    <font>
      <sz val="11"/>
      <color indexed="9"/>
      <name val="Calibri"/>
      <family val="2"/>
      <charset val="1"/>
    </font>
    <font>
      <sz val="8"/>
      <name val="Arial"/>
      <family val="2"/>
    </font>
    <font>
      <sz val="11"/>
      <name val="Times New Roman"/>
      <family val="1"/>
    </font>
    <font>
      <sz val="12"/>
      <name val="Helv"/>
    </font>
    <font>
      <sz val="12"/>
      <name val="¹ÙÅÁÃ¼"/>
      <charset val="129"/>
    </font>
    <font>
      <sz val="10"/>
      <color indexed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2"/>
      <name val="Tms Rmn"/>
    </font>
    <font>
      <sz val="8"/>
      <name val="Palatino"/>
      <family val="1"/>
    </font>
    <font>
      <sz val="9"/>
      <name val="Arial"/>
      <family val="2"/>
    </font>
    <font>
      <u val="singleAccounting"/>
      <sz val="11"/>
      <name val="Times New Roman"/>
      <family val="1"/>
    </font>
    <font>
      <b/>
      <sz val="16"/>
      <name val="Times New Roman"/>
      <family val="1"/>
    </font>
    <font>
      <sz val="11"/>
      <color indexed="12"/>
      <name val="Times New Roman"/>
      <family val="1"/>
    </font>
    <font>
      <sz val="10"/>
      <name val="Times New Roman"/>
      <family val="1"/>
    </font>
    <font>
      <b/>
      <sz val="11"/>
      <color indexed="8"/>
      <name val="Calibri"/>
      <family val="2"/>
      <charset val="1"/>
    </font>
    <font>
      <sz val="7"/>
      <name val="Palatino"/>
      <family val="1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4"/>
      <name val="Tms Rmn"/>
    </font>
    <font>
      <sz val="10"/>
      <name val="MS Sans Serif"/>
      <family val="2"/>
    </font>
    <font>
      <sz val="7"/>
      <name val="Small Fonts"/>
      <family val="2"/>
    </font>
    <font>
      <sz val="10"/>
      <name val="Palatino"/>
      <family val="1"/>
    </font>
    <font>
      <sz val="10"/>
      <color indexed="16"/>
      <name val="Helvetica-Black"/>
    </font>
    <font>
      <sz val="12"/>
      <name val="Book Antiqua"/>
      <family val="1"/>
    </font>
    <font>
      <b/>
      <i/>
      <u/>
      <sz val="10"/>
      <name val="Arial"/>
      <family val="2"/>
    </font>
    <font>
      <sz val="9.5"/>
      <color indexed="23"/>
      <name val="Helvetica-Black"/>
    </font>
    <font>
      <b/>
      <i/>
      <sz val="8"/>
      <name val="Arial"/>
      <family val="2"/>
    </font>
    <font>
      <b/>
      <sz val="18"/>
      <color indexed="62"/>
      <name val="Cambria"/>
      <family val="2"/>
      <charset val="1"/>
    </font>
    <font>
      <sz val="12"/>
      <name val="Times New Roman"/>
      <family val="1"/>
    </font>
    <font>
      <sz val="10"/>
      <name val="Helv"/>
      <charset val="204"/>
    </font>
    <font>
      <b/>
      <sz val="9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b/>
      <sz val="10"/>
      <name val="Times New Roman"/>
      <family val="1"/>
    </font>
    <font>
      <sz val="12"/>
      <color indexed="8"/>
      <name val="Palatino"/>
      <family val="1"/>
    </font>
    <font>
      <sz val="11"/>
      <color indexed="8"/>
      <name val="Helvetica-Black"/>
    </font>
    <font>
      <b/>
      <sz val="10"/>
      <color indexed="10"/>
      <name val="Arial"/>
      <family val="2"/>
    </font>
    <font>
      <sz val="24"/>
      <color indexed="13"/>
      <name val="Helv"/>
    </font>
    <font>
      <sz val="12"/>
      <color indexed="13"/>
      <name val="Helv"/>
    </font>
    <font>
      <b/>
      <sz val="12"/>
      <name val="Geneva"/>
    </font>
    <font>
      <b/>
      <sz val="12"/>
      <name val="Helv"/>
    </font>
    <font>
      <u/>
      <sz val="8"/>
      <color indexed="8"/>
      <name val="Arial"/>
      <family val="2"/>
    </font>
    <font>
      <b/>
      <i/>
      <sz val="8"/>
      <name val="Helv"/>
    </font>
    <font>
      <sz val="12"/>
      <color theme="1"/>
      <name val="Arial"/>
      <family val="2"/>
    </font>
    <font>
      <b/>
      <sz val="12"/>
      <color rgb="FF00206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mediumGray">
        <fgColor indexed="22"/>
      </patternFill>
    </fill>
    <fill>
      <patternFill patternType="solid">
        <fgColor indexed="2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612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9" fillId="0" borderId="0"/>
    <xf numFmtId="41" fontId="19" fillId="0" borderId="0" applyFont="0" applyFill="0" applyBorder="0" applyAlignment="0" applyProtection="0"/>
    <xf numFmtId="218" fontId="23" fillId="0" borderId="0"/>
    <xf numFmtId="41" fontId="13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8" fontId="23" fillId="0" borderId="0"/>
    <xf numFmtId="174" fontId="32" fillId="0" borderId="0">
      <protection locked="0"/>
    </xf>
    <xf numFmtId="174" fontId="32" fillId="0" borderId="0">
      <protection locked="0"/>
    </xf>
    <xf numFmtId="174" fontId="32" fillId="0" borderId="0">
      <protection locked="0"/>
    </xf>
    <xf numFmtId="174" fontId="32" fillId="0" borderId="0">
      <protection locked="0"/>
    </xf>
    <xf numFmtId="174" fontId="33" fillId="0" borderId="0">
      <protection locked="0"/>
    </xf>
    <xf numFmtId="174" fontId="33" fillId="0" borderId="0">
      <protection locked="0"/>
    </xf>
    <xf numFmtId="174" fontId="33" fillId="0" borderId="0">
      <protection locked="0"/>
    </xf>
    <xf numFmtId="174" fontId="33" fillId="0" borderId="0">
      <protection locked="0"/>
    </xf>
    <xf numFmtId="174" fontId="32" fillId="0" borderId="0">
      <protection locked="0"/>
    </xf>
    <xf numFmtId="174" fontId="32" fillId="0" borderId="0">
      <protection locked="0"/>
    </xf>
    <xf numFmtId="174" fontId="32" fillId="0" borderId="0">
      <protection locked="0"/>
    </xf>
    <xf numFmtId="174" fontId="32" fillId="0" borderId="0">
      <protection locked="0"/>
    </xf>
    <xf numFmtId="0" fontId="34" fillId="0" borderId="0"/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0">
      <alignment horizontal="center" vertical="center"/>
    </xf>
    <xf numFmtId="0" fontId="13" fillId="0" borderId="10" applyBorder="0">
      <alignment horizontal="center" vertical="center"/>
    </xf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35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5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5" fillId="9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35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6" borderId="0" applyNumberFormat="0" applyBorder="0" applyAlignment="0" applyProtection="0"/>
    <xf numFmtId="0" fontId="35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13" borderId="0" applyNumberFormat="0" applyBorder="0" applyAlignment="0" applyProtection="0"/>
    <xf numFmtId="0" fontId="35" fillId="13" borderId="0" applyNumberFormat="0" applyBorder="0" applyAlignment="0" applyProtection="0"/>
    <xf numFmtId="0" fontId="36" fillId="0" borderId="0" applyNumberFormat="0" applyAlignment="0"/>
    <xf numFmtId="175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4" fontId="13" fillId="0" borderId="12"/>
    <xf numFmtId="0" fontId="13" fillId="0" borderId="0" applyFill="0" applyBorder="0">
      <alignment vertical="center"/>
    </xf>
    <xf numFmtId="177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8" fillId="0" borderId="0"/>
    <xf numFmtId="4" fontId="13" fillId="0" borderId="33"/>
    <xf numFmtId="4" fontId="13" fillId="0" borderId="34"/>
    <xf numFmtId="4" fontId="13" fillId="0" borderId="35"/>
    <xf numFmtId="4" fontId="13" fillId="0" borderId="35"/>
    <xf numFmtId="0" fontId="39" fillId="0" borderId="0"/>
    <xf numFmtId="180" fontId="40" fillId="0" borderId="0" applyFill="0" applyBorder="0" applyAlignment="0"/>
    <xf numFmtId="181" fontId="13" fillId="0" borderId="0" applyFill="0" applyBorder="0" applyAlignment="0"/>
    <xf numFmtId="182" fontId="13" fillId="0" borderId="0" applyFill="0" applyBorder="0" applyAlignment="0"/>
    <xf numFmtId="183" fontId="13" fillId="0" borderId="0" applyFill="0" applyBorder="0" applyAlignment="0"/>
    <xf numFmtId="184" fontId="13" fillId="0" borderId="0" applyFill="0" applyBorder="0" applyAlignment="0"/>
    <xf numFmtId="185" fontId="13" fillId="0" borderId="0" applyFill="0" applyBorder="0" applyAlignment="0"/>
    <xf numFmtId="186" fontId="13" fillId="0" borderId="0" applyFill="0" applyBorder="0" applyAlignment="0"/>
    <xf numFmtId="181" fontId="13" fillId="0" borderId="0" applyFill="0" applyBorder="0" applyAlignment="0"/>
    <xf numFmtId="0" fontId="41" fillId="0" borderId="0" applyFill="0" applyBorder="0" applyProtection="0">
      <alignment horizontal="center"/>
      <protection locked="0"/>
    </xf>
    <xf numFmtId="0" fontId="42" fillId="14" borderId="36" applyFont="0" applyFill="0" applyBorder="0"/>
    <xf numFmtId="0" fontId="36" fillId="0" borderId="6"/>
    <xf numFmtId="0" fontId="42" fillId="0" borderId="9">
      <alignment horizontal="center"/>
    </xf>
    <xf numFmtId="37" fontId="43" fillId="0" borderId="0"/>
    <xf numFmtId="37" fontId="43" fillId="0" borderId="0"/>
    <xf numFmtId="37" fontId="43" fillId="0" borderId="0"/>
    <xf numFmtId="37" fontId="43" fillId="0" borderId="0"/>
    <xf numFmtId="37" fontId="43" fillId="0" borderId="0"/>
    <xf numFmtId="37" fontId="43" fillId="0" borderId="0"/>
    <xf numFmtId="37" fontId="43" fillId="0" borderId="0"/>
    <xf numFmtId="37" fontId="43" fillId="0" borderId="0"/>
    <xf numFmtId="187" fontId="13" fillId="0" borderId="0" applyFont="0" applyFill="0" applyBorder="0" applyAlignment="0" applyProtection="0"/>
    <xf numFmtId="164" fontId="13" fillId="0" borderId="0"/>
    <xf numFmtId="164" fontId="13" fillId="0" borderId="0"/>
    <xf numFmtId="41" fontId="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64" fontId="13" fillId="0" borderId="0" applyNumberFormat="0"/>
    <xf numFmtId="188" fontId="44" fillId="0" borderId="0" applyFont="0" applyFill="0" applyBorder="0" applyAlignment="0" applyProtection="0">
      <alignment horizontal="right"/>
    </xf>
    <xf numFmtId="189" fontId="44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45" fillId="0" borderId="0" applyFont="0" applyFill="0" applyBorder="0" applyAlignment="0" applyProtection="0"/>
    <xf numFmtId="192" fontId="46" fillId="0" borderId="0" applyFont="0" applyFill="0" applyBorder="0" applyAlignment="0" applyProtection="0"/>
    <xf numFmtId="193" fontId="45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13" fillId="0" borderId="0" applyFont="0" applyFill="0" applyBorder="0" applyAlignment="0" applyProtection="0"/>
    <xf numFmtId="196" fontId="44" fillId="0" borderId="0" applyFont="0" applyFill="0" applyBorder="0" applyAlignment="0" applyProtection="0">
      <alignment horizontal="right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97" fontId="48" fillId="0" borderId="0" applyFill="0" applyBorder="0" applyProtection="0"/>
    <xf numFmtId="198" fontId="37" fillId="0" borderId="0" applyFont="0" applyFill="0" applyBorder="0" applyAlignment="0" applyProtection="0"/>
    <xf numFmtId="199" fontId="49" fillId="0" borderId="0" applyFill="0" applyBorder="0" applyProtection="0"/>
    <xf numFmtId="199" fontId="49" fillId="0" borderId="10" applyFill="0" applyProtection="0"/>
    <xf numFmtId="199" fontId="49" fillId="0" borderId="37" applyFill="0" applyProtection="0"/>
    <xf numFmtId="200" fontId="13" fillId="0" borderId="0" applyFont="0" applyFill="0" applyBorder="0" applyAlignment="0" applyProtection="0"/>
    <xf numFmtId="201" fontId="43" fillId="0" borderId="12"/>
    <xf numFmtId="20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203" fontId="44" fillId="0" borderId="0" applyFont="0" applyFill="0" applyBorder="0" applyAlignment="0" applyProtection="0">
      <alignment horizontal="right"/>
    </xf>
    <xf numFmtId="204" fontId="46" fillId="0" borderId="0" applyFont="0" applyFill="0" applyBorder="0" applyAlignment="0" applyProtection="0"/>
    <xf numFmtId="205" fontId="45" fillId="0" borderId="0" applyFont="0" applyFill="0" applyBorder="0" applyAlignment="0" applyProtection="0"/>
    <xf numFmtId="204" fontId="46" fillId="0" borderId="0" applyFont="0" applyFill="0" applyBorder="0" applyAlignment="0" applyProtection="0"/>
    <xf numFmtId="206" fontId="46" fillId="0" borderId="0" applyFont="0" applyFill="0" applyBorder="0" applyAlignment="0" applyProtection="0"/>
    <xf numFmtId="207" fontId="45" fillId="0" borderId="0" applyFont="0" applyFill="0" applyBorder="0" applyAlignment="0" applyProtection="0"/>
    <xf numFmtId="206" fontId="46" fillId="0" borderId="0" applyFont="0" applyFill="0" applyBorder="0" applyAlignment="0" applyProtection="0"/>
    <xf numFmtId="208" fontId="46" fillId="0" borderId="0" applyFont="0" applyFill="0" applyBorder="0" applyAlignment="0" applyProtection="0"/>
    <xf numFmtId="209" fontId="45" fillId="0" borderId="0" applyFont="0" applyFill="0" applyBorder="0" applyAlignment="0" applyProtection="0"/>
    <xf numFmtId="208" fontId="46" fillId="0" borderId="0" applyFont="0" applyFill="0" applyBorder="0" applyAlignment="0" applyProtection="0"/>
    <xf numFmtId="210" fontId="44" fillId="0" borderId="0" applyFont="0" applyFill="0" applyBorder="0" applyAlignment="0" applyProtection="0">
      <alignment horizontal="right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2" fontId="13" fillId="15" borderId="0" applyFont="0" applyBorder="0"/>
    <xf numFmtId="0" fontId="38" fillId="0" borderId="0"/>
    <xf numFmtId="0" fontId="38" fillId="0" borderId="0"/>
    <xf numFmtId="212" fontId="13" fillId="15" borderId="0" applyFont="0" applyBorder="0"/>
    <xf numFmtId="0" fontId="38" fillId="0" borderId="38"/>
    <xf numFmtId="0" fontId="13" fillId="0" borderId="0" applyNumberFormat="0" applyFill="0" applyBorder="0" applyProtection="0">
      <alignment horizontal="left"/>
    </xf>
    <xf numFmtId="0" fontId="20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213" fontId="44" fillId="0" borderId="0" applyFont="0" applyFill="0" applyBorder="0" applyAlignment="0" applyProtection="0"/>
    <xf numFmtId="14" fontId="40" fillId="0" borderId="0" applyFill="0" applyBorder="0" applyAlignment="0"/>
    <xf numFmtId="0" fontId="13" fillId="0" borderId="0" applyFont="0" applyFill="0" applyBorder="0" applyAlignment="0" applyProtection="0"/>
    <xf numFmtId="214" fontId="49" fillId="0" borderId="0" applyFill="0" applyBorder="0" applyProtection="0"/>
    <xf numFmtId="214" fontId="49" fillId="0" borderId="10" applyFill="0" applyProtection="0"/>
    <xf numFmtId="214" fontId="49" fillId="0" borderId="37" applyFill="0" applyProtection="0"/>
    <xf numFmtId="215" fontId="13" fillId="0" borderId="0" applyFont="0" applyFill="0" applyBorder="0" applyAlignment="0" applyProtection="0"/>
    <xf numFmtId="216" fontId="13" fillId="0" borderId="0" applyFont="0" applyFill="0" applyBorder="0" applyAlignment="0" applyProtection="0"/>
    <xf numFmtId="217" fontId="44" fillId="0" borderId="39" applyNumberFormat="0" applyFont="0" applyFill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185" fontId="13" fillId="0" borderId="0" applyFill="0" applyBorder="0" applyAlignment="0"/>
    <xf numFmtId="181" fontId="13" fillId="0" borderId="0" applyFill="0" applyBorder="0" applyAlignment="0"/>
    <xf numFmtId="185" fontId="13" fillId="0" borderId="0" applyFill="0" applyBorder="0" applyAlignment="0"/>
    <xf numFmtId="186" fontId="13" fillId="0" borderId="0" applyFill="0" applyBorder="0" applyAlignment="0"/>
    <xf numFmtId="181" fontId="13" fillId="0" borderId="0" applyFill="0" applyBorder="0" applyAlignment="0"/>
    <xf numFmtId="218" fontId="36" fillId="0" borderId="0" applyFont="0" applyFill="0" applyBorder="0" applyAlignment="0" applyProtection="0"/>
    <xf numFmtId="219" fontId="13" fillId="0" borderId="0" applyFill="0" applyBorder="0" applyAlignment="0" applyProtection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" fontId="13" fillId="0" borderId="0">
      <alignment horizontal="right"/>
    </xf>
    <xf numFmtId="0" fontId="13" fillId="0" borderId="0" applyFill="0" applyProtection="0">
      <alignment vertical="center" wrapText="1"/>
    </xf>
    <xf numFmtId="2" fontId="13" fillId="0" borderId="0" applyFont="0" applyFill="0" applyBorder="0" applyAlignment="0" applyProtection="0"/>
    <xf numFmtId="0" fontId="51" fillId="0" borderId="0" applyFill="0" applyBorder="0" applyProtection="0">
      <alignment horizontal="left"/>
    </xf>
    <xf numFmtId="38" fontId="36" fillId="15" borderId="0" applyNumberFormat="0" applyBorder="0" applyAlignment="0" applyProtection="0"/>
    <xf numFmtId="179" fontId="40" fillId="0" borderId="14" applyNumberFormat="0" applyBorder="0" applyAlignment="0"/>
    <xf numFmtId="220" fontId="44" fillId="0" borderId="0" applyFont="0" applyFill="0" applyBorder="0" applyAlignment="0" applyProtection="0">
      <alignment horizontal="right"/>
    </xf>
    <xf numFmtId="0" fontId="52" fillId="0" borderId="0" applyProtection="0">
      <alignment horizontal="right"/>
    </xf>
    <xf numFmtId="0" fontId="53" fillId="0" borderId="40" applyNumberFormat="0" applyAlignment="0" applyProtection="0">
      <alignment horizontal="left" vertical="center"/>
    </xf>
    <xf numFmtId="0" fontId="53" fillId="0" borderId="15">
      <alignment horizontal="left" vertical="center"/>
    </xf>
    <xf numFmtId="14" fontId="20" fillId="19" borderId="33">
      <alignment horizontal="center" vertical="center" wrapText="1"/>
    </xf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1" fillId="0" borderId="0" applyFill="0" applyAlignment="0" applyProtection="0">
      <protection locked="0"/>
    </xf>
    <xf numFmtId="0" fontId="41" fillId="0" borderId="3" applyFill="0" applyAlignment="0" applyProtection="0">
      <protection locked="0"/>
    </xf>
    <xf numFmtId="0" fontId="55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10" fontId="36" fillId="20" borderId="12" applyNumberFormat="0" applyBorder="0" applyAlignment="0" applyProtection="0"/>
    <xf numFmtId="0" fontId="57" fillId="21" borderId="38"/>
    <xf numFmtId="0" fontId="13" fillId="0" borderId="27"/>
    <xf numFmtId="0" fontId="13" fillId="0" borderId="27"/>
    <xf numFmtId="185" fontId="13" fillId="0" borderId="0" applyFill="0" applyBorder="0" applyAlignment="0"/>
    <xf numFmtId="181" fontId="13" fillId="0" borderId="0" applyFill="0" applyBorder="0" applyAlignment="0"/>
    <xf numFmtId="185" fontId="13" fillId="0" borderId="0" applyFill="0" applyBorder="0" applyAlignment="0"/>
    <xf numFmtId="186" fontId="13" fillId="0" borderId="0" applyFill="0" applyBorder="0" applyAlignment="0"/>
    <xf numFmtId="181" fontId="13" fillId="0" borderId="0" applyFill="0" applyBorder="0" applyAlignment="0"/>
    <xf numFmtId="221" fontId="58" fillId="0" borderId="0" applyFont="0" applyFill="0" applyBorder="0" applyAlignment="0" applyProtection="0"/>
    <xf numFmtId="222" fontId="44" fillId="0" borderId="0" applyFont="0" applyFill="0" applyBorder="0" applyAlignment="0" applyProtection="0">
      <alignment horizontal="right"/>
    </xf>
    <xf numFmtId="0" fontId="49" fillId="0" borderId="0"/>
    <xf numFmtId="37" fontId="59" fillId="0" borderId="0"/>
    <xf numFmtId="223" fontId="13" fillId="0" borderId="0"/>
    <xf numFmtId="0" fontId="1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1" fillId="0" borderId="0" applyProtection="0"/>
    <xf numFmtId="0" fontId="1" fillId="0" borderId="0"/>
    <xf numFmtId="0" fontId="13" fillId="0" borderId="0"/>
    <xf numFmtId="0" fontId="1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60" fillId="0" borderId="0"/>
    <xf numFmtId="0" fontId="13" fillId="22" borderId="41" applyNumberFormat="0" applyFont="0" applyAlignment="0" applyProtection="0"/>
    <xf numFmtId="1" fontId="61" fillId="0" borderId="0" applyProtection="0">
      <alignment horizontal="right" vertical="center"/>
    </xf>
    <xf numFmtId="224" fontId="41" fillId="0" borderId="0" applyFont="0" applyFill="0" applyBorder="0" applyAlignment="0" applyProtection="0"/>
    <xf numFmtId="225" fontId="37" fillId="0" borderId="0" applyFont="0" applyFill="0" applyBorder="0" applyAlignment="0" applyProtection="0"/>
    <xf numFmtId="226" fontId="46" fillId="0" borderId="0" applyFont="0" applyFill="0" applyBorder="0" applyAlignment="0" applyProtection="0"/>
    <xf numFmtId="227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228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229" fontId="46" fillId="0" borderId="0" applyFont="0" applyFill="0" applyBorder="0" applyAlignment="0" applyProtection="0"/>
    <xf numFmtId="230" fontId="37" fillId="0" borderId="0" applyFont="0" applyFill="0" applyBorder="0" applyAlignment="0" applyProtection="0"/>
    <xf numFmtId="231" fontId="46" fillId="0" borderId="0" applyFont="0" applyFill="0" applyBorder="0" applyAlignment="0" applyProtection="0"/>
    <xf numFmtId="232" fontId="37" fillId="0" borderId="0" applyFont="0" applyFill="0" applyBorder="0" applyAlignment="0" applyProtection="0"/>
    <xf numFmtId="233" fontId="46" fillId="0" borderId="0" applyFont="0" applyFill="0" applyBorder="0" applyAlignment="0" applyProtection="0"/>
    <xf numFmtId="234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5" fontId="13" fillId="0" borderId="0" applyFill="0" applyBorder="0" applyAlignment="0"/>
    <xf numFmtId="181" fontId="13" fillId="0" borderId="0" applyFill="0" applyBorder="0" applyAlignment="0"/>
    <xf numFmtId="185" fontId="13" fillId="0" borderId="0" applyFill="0" applyBorder="0" applyAlignment="0"/>
    <xf numFmtId="186" fontId="13" fillId="0" borderId="0" applyFill="0" applyBorder="0" applyAlignment="0"/>
    <xf numFmtId="181" fontId="13" fillId="0" borderId="0" applyFill="0" applyBorder="0" applyAlignment="0"/>
    <xf numFmtId="0" fontId="38" fillId="0" borderId="0"/>
    <xf numFmtId="0" fontId="38" fillId="0" borderId="0"/>
    <xf numFmtId="4" fontId="63" fillId="0" borderId="0" applyFill="0" applyBorder="0" applyAlignment="0" applyProtection="0"/>
    <xf numFmtId="4" fontId="13" fillId="0" borderId="42" applyAlignment="0"/>
    <xf numFmtId="0" fontId="13" fillId="0" borderId="42" applyAlignment="0"/>
    <xf numFmtId="4" fontId="13" fillId="0" borderId="42" applyAlignment="0"/>
    <xf numFmtId="0" fontId="64" fillId="0" borderId="43">
      <alignment vertical="center"/>
    </xf>
    <xf numFmtId="0" fontId="65" fillId="0" borderId="44"/>
    <xf numFmtId="0" fontId="66" fillId="0" borderId="0" applyNumberFormat="0" applyFill="0" applyBorder="0" applyAlignment="0" applyProtection="0"/>
    <xf numFmtId="0" fontId="67" fillId="0" borderId="0"/>
    <xf numFmtId="0" fontId="68" fillId="0" borderId="0"/>
    <xf numFmtId="0" fontId="69" fillId="0" borderId="45"/>
    <xf numFmtId="0" fontId="38" fillId="0" borderId="38"/>
    <xf numFmtId="0" fontId="38" fillId="0" borderId="38"/>
    <xf numFmtId="0" fontId="70" fillId="0" borderId="0" applyBorder="0" applyProtection="0">
      <alignment vertical="center"/>
    </xf>
    <xf numFmtId="217" fontId="70" fillId="0" borderId="3" applyBorder="0" applyProtection="0">
      <alignment horizontal="right" vertical="center"/>
    </xf>
    <xf numFmtId="0" fontId="71" fillId="23" borderId="0" applyBorder="0" applyProtection="0">
      <alignment horizontal="centerContinuous" vertical="center"/>
    </xf>
    <xf numFmtId="0" fontId="71" fillId="24" borderId="3" applyBorder="0" applyProtection="0">
      <alignment horizontal="centerContinuous" vertical="center"/>
    </xf>
    <xf numFmtId="0" fontId="72" fillId="0" borderId="0"/>
    <xf numFmtId="0" fontId="60" fillId="0" borderId="0"/>
    <xf numFmtId="0" fontId="73" fillId="0" borderId="0" applyFill="0" applyBorder="0" applyProtection="0">
      <alignment horizontal="left"/>
    </xf>
    <xf numFmtId="0" fontId="51" fillId="0" borderId="7" applyFill="0" applyBorder="0" applyProtection="0">
      <alignment horizontal="left" vertical="top"/>
    </xf>
    <xf numFmtId="0" fontId="74" fillId="0" borderId="0">
      <alignment horizontal="centerContinuous"/>
    </xf>
    <xf numFmtId="0" fontId="75" fillId="0" borderId="0"/>
    <xf numFmtId="0" fontId="76" fillId="0" borderId="0"/>
    <xf numFmtId="49" fontId="40" fillId="0" borderId="0" applyFill="0" applyBorder="0" applyAlignment="0"/>
    <xf numFmtId="235" fontId="13" fillId="0" borderId="0" applyFill="0" applyBorder="0" applyAlignment="0"/>
    <xf numFmtId="236" fontId="13" fillId="0" borderId="0" applyFill="0" applyBorder="0" applyAlignment="0"/>
    <xf numFmtId="0" fontId="77" fillId="0" borderId="0" applyFill="0" applyBorder="0" applyProtection="0">
      <alignment horizontal="left" vertical="top"/>
    </xf>
    <xf numFmtId="0" fontId="78" fillId="25" borderId="0"/>
    <xf numFmtId="0" fontId="79" fillId="25" borderId="0"/>
    <xf numFmtId="0" fontId="80" fillId="0" borderId="10" applyBorder="0">
      <alignment horizontal="center"/>
    </xf>
    <xf numFmtId="4" fontId="13" fillId="0" borderId="46"/>
    <xf numFmtId="4" fontId="13" fillId="0" borderId="47"/>
    <xf numFmtId="4" fontId="13" fillId="0" borderId="15"/>
    <xf numFmtId="0" fontId="13" fillId="0" borderId="48" applyNumberFormat="0" applyFont="0" applyFill="0" applyAlignment="0" applyProtection="0"/>
    <xf numFmtId="0" fontId="57" fillId="0" borderId="49"/>
    <xf numFmtId="0" fontId="81" fillId="0" borderId="49"/>
    <xf numFmtId="0" fontId="57" fillId="0" borderId="38"/>
    <xf numFmtId="0" fontId="81" fillId="0" borderId="38"/>
    <xf numFmtId="0" fontId="82" fillId="0" borderId="0">
      <alignment horizontal="fill"/>
    </xf>
    <xf numFmtId="4" fontId="13" fillId="0" borderId="47"/>
    <xf numFmtId="4" fontId="13" fillId="0" borderId="50"/>
    <xf numFmtId="237" fontId="58" fillId="0" borderId="0" applyFont="0" applyFill="0" applyBorder="0" applyAlignment="0" applyProtection="0"/>
    <xf numFmtId="238" fontId="13" fillId="0" borderId="0" applyFont="0" applyFill="0" applyBorder="0" applyAlignment="0" applyProtection="0"/>
    <xf numFmtId="239" fontId="13" fillId="0" borderId="0" applyFont="0" applyFill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0" applyNumberFormat="0" applyBorder="0" applyAlignment="0" applyProtection="0"/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0" fontId="40" fillId="0" borderId="12" applyNumberFormat="0" applyBorder="0" applyAlignment="0" applyProtection="0">
      <alignment horizontal="left"/>
    </xf>
    <xf numFmtId="240" fontId="83" fillId="0" borderId="3" applyBorder="0" applyProtection="0">
      <alignment horizontal="right"/>
    </xf>
  </cellStyleXfs>
  <cellXfs count="2047">
    <xf numFmtId="0" fontId="0" fillId="0" borderId="0" xfId="0"/>
    <xf numFmtId="0" fontId="3" fillId="0" borderId="0" xfId="1" applyFont="1" applyFill="1"/>
    <xf numFmtId="1" fontId="3" fillId="0" borderId="0" xfId="1" applyNumberFormat="1" applyFont="1" applyFill="1"/>
    <xf numFmtId="49" fontId="3" fillId="0" borderId="0" xfId="1" applyNumberFormat="1" applyFont="1" applyFill="1"/>
    <xf numFmtId="0" fontId="2" fillId="0" borderId="0" xfId="148"/>
    <xf numFmtId="0" fontId="4" fillId="0" borderId="2" xfId="148" applyFont="1" applyFill="1" applyBorder="1" applyAlignment="1">
      <alignment horizontal="center" vertical="center"/>
    </xf>
    <xf numFmtId="0" fontId="4" fillId="0" borderId="3" xfId="148" applyFont="1" applyFill="1" applyBorder="1" applyAlignment="1">
      <alignment vertical="center" wrapText="1"/>
    </xf>
    <xf numFmtId="0" fontId="4" fillId="0" borderId="3" xfId="148" applyFont="1" applyFill="1" applyBorder="1" applyAlignment="1">
      <alignment vertical="center"/>
    </xf>
    <xf numFmtId="165" fontId="4" fillId="0" borderId="2" xfId="148" applyNumberFormat="1" applyFont="1" applyFill="1" applyBorder="1" applyAlignment="1">
      <alignment horizontal="center" vertical="center"/>
    </xf>
    <xf numFmtId="0" fontId="4" fillId="0" borderId="3" xfId="148" applyFont="1" applyFill="1" applyBorder="1" applyAlignment="1">
      <alignment horizontal="center" vertical="center"/>
    </xf>
    <xf numFmtId="0" fontId="4" fillId="0" borderId="3" xfId="148" applyFont="1" applyFill="1" applyBorder="1" applyAlignment="1">
      <alignment vertical="top"/>
    </xf>
    <xf numFmtId="0" fontId="4" fillId="0" borderId="4" xfId="148" applyFont="1" applyFill="1" applyBorder="1" applyAlignment="1">
      <alignment vertical="center"/>
    </xf>
    <xf numFmtId="0" fontId="4" fillId="0" borderId="2" xfId="148" applyFont="1" applyFill="1" applyBorder="1" applyAlignment="1">
      <alignment vertical="top"/>
    </xf>
    <xf numFmtId="0" fontId="4" fillId="0" borderId="3" xfId="148" applyFont="1" applyFill="1" applyBorder="1" applyAlignment="1">
      <alignment vertical="top" wrapText="1"/>
    </xf>
    <xf numFmtId="0" fontId="4" fillId="0" borderId="3" xfId="148" quotePrefix="1" applyFont="1" applyFill="1" applyBorder="1" applyAlignment="1">
      <alignment vertical="center"/>
    </xf>
    <xf numFmtId="0" fontId="4" fillId="0" borderId="1" xfId="148" quotePrefix="1" applyFont="1" applyFill="1" applyBorder="1" applyAlignment="1">
      <alignment vertical="center"/>
    </xf>
    <xf numFmtId="0" fontId="4" fillId="0" borderId="6" xfId="148" applyFont="1" applyFill="1" applyBorder="1" applyAlignment="1">
      <alignment horizontal="center" vertical="center"/>
    </xf>
    <xf numFmtId="0" fontId="4" fillId="0" borderId="0" xfId="148" applyFont="1" applyFill="1" applyBorder="1" applyAlignment="1">
      <alignment vertical="center" wrapText="1"/>
    </xf>
    <xf numFmtId="0" fontId="4" fillId="0" borderId="0" xfId="148" applyFont="1" applyFill="1" applyBorder="1" applyAlignment="1">
      <alignment vertical="center"/>
    </xf>
    <xf numFmtId="165" fontId="4" fillId="0" borderId="6" xfId="148" applyNumberFormat="1" applyFont="1" applyFill="1" applyBorder="1" applyAlignment="1">
      <alignment horizontal="center" vertical="center"/>
    </xf>
    <xf numFmtId="0" fontId="4" fillId="0" borderId="6" xfId="148" applyFont="1" applyFill="1" applyBorder="1" applyAlignment="1">
      <alignment vertical="center"/>
    </xf>
    <xf numFmtId="0" fontId="4" fillId="0" borderId="0" xfId="148" applyFont="1" applyFill="1" applyBorder="1" applyAlignment="1">
      <alignment vertical="top"/>
    </xf>
    <xf numFmtId="0" fontId="4" fillId="0" borderId="7" xfId="148" applyFont="1" applyFill="1" applyBorder="1" applyAlignment="1">
      <alignment vertical="center"/>
    </xf>
    <xf numFmtId="0" fontId="4" fillId="0" borderId="6" xfId="148" applyFont="1" applyFill="1" applyBorder="1" applyAlignment="1">
      <alignment vertical="top"/>
    </xf>
    <xf numFmtId="0" fontId="4" fillId="0" borderId="0" xfId="148" applyFont="1" applyFill="1" applyBorder="1" applyAlignment="1">
      <alignment vertical="top" wrapText="1"/>
    </xf>
    <xf numFmtId="0" fontId="4" fillId="0" borderId="5" xfId="148" applyFont="1" applyFill="1" applyBorder="1" applyAlignment="1">
      <alignment vertical="top" wrapText="1"/>
    </xf>
    <xf numFmtId="0" fontId="4" fillId="0" borderId="7" xfId="148" applyFont="1" applyFill="1" applyBorder="1" applyAlignment="1">
      <alignment vertical="top"/>
    </xf>
    <xf numFmtId="0" fontId="4" fillId="0" borderId="0" xfId="148" applyFont="1" applyFill="1" applyBorder="1" applyAlignment="1">
      <alignment horizontal="center" vertical="center"/>
    </xf>
    <xf numFmtId="0" fontId="4" fillId="0" borderId="6" xfId="148" applyFont="1" applyFill="1" applyBorder="1" applyAlignment="1">
      <alignment horizontal="center" vertical="top"/>
    </xf>
    <xf numFmtId="0" fontId="4" fillId="0" borderId="0" xfId="148" applyFont="1" applyFill="1" applyBorder="1" applyAlignment="1">
      <alignment horizontal="center" vertical="top"/>
    </xf>
    <xf numFmtId="0" fontId="4" fillId="0" borderId="5" xfId="148" applyFont="1" applyFill="1" applyBorder="1" applyAlignment="1">
      <alignment vertical="center"/>
    </xf>
    <xf numFmtId="0" fontId="4" fillId="0" borderId="0" xfId="148" applyFont="1" applyBorder="1"/>
    <xf numFmtId="0" fontId="4" fillId="0" borderId="6" xfId="148" applyFont="1" applyBorder="1"/>
    <xf numFmtId="0" fontId="4" fillId="0" borderId="5" xfId="148" applyFont="1" applyFill="1" applyBorder="1" applyAlignment="1">
      <alignment vertical="center" wrapText="1"/>
    </xf>
    <xf numFmtId="0" fontId="4" fillId="0" borderId="9" xfId="148" applyFont="1" applyFill="1" applyBorder="1" applyAlignment="1">
      <alignment vertical="top"/>
    </xf>
    <xf numFmtId="0" fontId="4" fillId="0" borderId="10" xfId="148" applyFont="1" applyFill="1" applyBorder="1" applyAlignment="1">
      <alignment vertical="top" wrapText="1"/>
    </xf>
    <xf numFmtId="0" fontId="4" fillId="0" borderId="10" xfId="148" applyFont="1" applyFill="1" applyBorder="1" applyAlignment="1">
      <alignment horizontal="left" vertical="center"/>
    </xf>
    <xf numFmtId="0" fontId="4" fillId="0" borderId="9" xfId="148" applyFont="1" applyFill="1" applyBorder="1" applyAlignment="1">
      <alignment horizontal="center" vertical="center"/>
    </xf>
    <xf numFmtId="0" fontId="4" fillId="0" borderId="10" xfId="148" applyFont="1" applyBorder="1"/>
    <xf numFmtId="0" fontId="4" fillId="0" borderId="9" xfId="148" applyFont="1" applyBorder="1"/>
    <xf numFmtId="0" fontId="4" fillId="0" borderId="11" xfId="148" applyFont="1" applyFill="1" applyBorder="1" applyAlignment="1">
      <alignment horizontal="left" vertical="center"/>
    </xf>
    <xf numFmtId="0" fontId="4" fillId="0" borderId="10" xfId="148" applyFont="1" applyFill="1" applyBorder="1"/>
    <xf numFmtId="0" fontId="4" fillId="0" borderId="9" xfId="148" applyFont="1" applyFill="1" applyBorder="1"/>
    <xf numFmtId="0" fontId="4" fillId="0" borderId="10" xfId="148" applyFont="1" applyFill="1" applyBorder="1" applyAlignment="1">
      <alignment horizontal="left" vertical="top"/>
    </xf>
    <xf numFmtId="0" fontId="4" fillId="0" borderId="10" xfId="148" applyFont="1" applyFill="1" applyBorder="1" applyAlignment="1">
      <alignment vertical="center"/>
    </xf>
    <xf numFmtId="0" fontId="6" fillId="0" borderId="8" xfId="148" applyFont="1" applyFill="1" applyBorder="1" applyAlignment="1">
      <alignment vertical="center"/>
    </xf>
    <xf numFmtId="0" fontId="6" fillId="0" borderId="9" xfId="148" quotePrefix="1" applyFont="1" applyFill="1" applyBorder="1" applyAlignment="1">
      <alignment horizontal="center" vertical="center"/>
    </xf>
    <xf numFmtId="0" fontId="4" fillId="0" borderId="2" xfId="148" applyFont="1" applyFill="1" applyBorder="1" applyAlignment="1">
      <alignment vertical="center"/>
    </xf>
    <xf numFmtId="0" fontId="4" fillId="0" borderId="6" xfId="148" applyFont="1" applyFill="1" applyBorder="1" applyAlignment="1">
      <alignment horizontal="center"/>
    </xf>
    <xf numFmtId="0" fontId="4" fillId="0" borderId="10" xfId="148" applyFont="1" applyFill="1" applyBorder="1" applyAlignment="1">
      <alignment horizontal="center" vertical="center"/>
    </xf>
    <xf numFmtId="0" fontId="4" fillId="0" borderId="10" xfId="148" applyFont="1" applyFill="1" applyBorder="1" applyAlignment="1"/>
    <xf numFmtId="0" fontId="4" fillId="0" borderId="10" xfId="148" applyFont="1" applyFill="1" applyBorder="1" applyAlignment="1">
      <alignment horizontal="left"/>
    </xf>
    <xf numFmtId="0" fontId="4" fillId="0" borderId="2" xfId="148" applyFont="1" applyFill="1" applyBorder="1" applyAlignment="1">
      <alignment horizontal="left" vertical="center"/>
    </xf>
    <xf numFmtId="0" fontId="4" fillId="0" borderId="3" xfId="148" applyFont="1" applyFill="1" applyBorder="1" applyAlignment="1">
      <alignment horizontal="left" vertical="center" wrapText="1"/>
    </xf>
    <xf numFmtId="0" fontId="4" fillId="0" borderId="1" xfId="148" quotePrefix="1" applyFont="1" applyFill="1" applyBorder="1" applyAlignment="1">
      <alignment vertical="top" wrapText="1"/>
    </xf>
    <xf numFmtId="0" fontId="4" fillId="0" borderId="4" xfId="148" applyFont="1" applyFill="1" applyBorder="1" applyAlignment="1">
      <alignment vertical="top"/>
    </xf>
    <xf numFmtId="0" fontId="4" fillId="0" borderId="10" xfId="148" applyFont="1" applyFill="1" applyBorder="1" applyAlignment="1">
      <alignment vertical="center" wrapText="1"/>
    </xf>
    <xf numFmtId="0" fontId="4" fillId="0" borderId="2" xfId="148" applyFont="1" applyFill="1" applyBorder="1" applyAlignment="1">
      <alignment horizontal="center" vertical="top"/>
    </xf>
    <xf numFmtId="0" fontId="4" fillId="0" borderId="3" xfId="148" applyFont="1" applyFill="1" applyBorder="1" applyAlignment="1">
      <alignment horizontal="center" vertical="top"/>
    </xf>
    <xf numFmtId="0" fontId="4" fillId="0" borderId="3" xfId="148" applyFont="1" applyFill="1" applyBorder="1" applyAlignment="1">
      <alignment horizontal="center" vertical="center" wrapText="1"/>
    </xf>
    <xf numFmtId="0" fontId="4" fillId="0" borderId="0" xfId="148" applyFont="1" applyFill="1" applyBorder="1" applyAlignment="1">
      <alignment horizontal="center" vertical="center" wrapText="1"/>
    </xf>
    <xf numFmtId="0" fontId="4" fillId="0" borderId="0" xfId="148" quotePrefix="1" applyFont="1" applyFill="1" applyBorder="1" applyAlignment="1">
      <alignment vertical="center"/>
    </xf>
    <xf numFmtId="0" fontId="4" fillId="0" borderId="5" xfId="148" quotePrefix="1" applyFont="1" applyFill="1" applyBorder="1" applyAlignment="1">
      <alignment vertical="center"/>
    </xf>
    <xf numFmtId="0" fontId="4" fillId="0" borderId="6" xfId="148" applyFont="1" applyFill="1" applyBorder="1" applyAlignment="1">
      <alignment horizontal="right" vertical="center"/>
    </xf>
    <xf numFmtId="0" fontId="4" fillId="0" borderId="0" xfId="148" applyFont="1" applyFill="1" applyBorder="1" applyAlignment="1">
      <alignment horizontal="left" vertical="center"/>
    </xf>
    <xf numFmtId="0" fontId="4" fillId="0" borderId="9" xfId="148" applyFont="1" applyFill="1" applyBorder="1" applyAlignment="1">
      <alignment horizontal="center" vertical="top"/>
    </xf>
    <xf numFmtId="0" fontId="4" fillId="0" borderId="10" xfId="148" applyFont="1" applyFill="1" applyBorder="1" applyAlignment="1">
      <alignment horizontal="center" vertical="top"/>
    </xf>
    <xf numFmtId="0" fontId="4" fillId="0" borderId="0" xfId="148" applyFont="1" applyBorder="1" applyAlignment="1"/>
    <xf numFmtId="0" fontId="4" fillId="0" borderId="7" xfId="148" applyFont="1" applyFill="1" applyBorder="1" applyAlignment="1"/>
    <xf numFmtId="0" fontId="4" fillId="0" borderId="9" xfId="148" quotePrefix="1" applyFont="1" applyFill="1" applyBorder="1" applyAlignment="1">
      <alignment horizontal="center" vertical="center"/>
    </xf>
    <xf numFmtId="0" fontId="4" fillId="0" borderId="10" xfId="148" quotePrefix="1" applyFont="1" applyFill="1" applyBorder="1" applyAlignment="1">
      <alignment horizontal="center" vertical="center" wrapText="1"/>
    </xf>
    <xf numFmtId="0" fontId="4" fillId="0" borderId="10" xfId="148" quotePrefix="1" applyFont="1" applyFill="1" applyBorder="1" applyAlignment="1">
      <alignment vertical="center"/>
    </xf>
    <xf numFmtId="0" fontId="4" fillId="0" borderId="1" xfId="148" applyFont="1" applyFill="1" applyBorder="1" applyAlignment="1">
      <alignment vertical="top"/>
    </xf>
    <xf numFmtId="0" fontId="4" fillId="0" borderId="0" xfId="148" applyFont="1" applyBorder="1" applyAlignment="1">
      <alignment vertical="top"/>
    </xf>
    <xf numFmtId="0" fontId="4" fillId="0" borderId="6" xfId="148" quotePrefix="1" applyFont="1" applyFill="1" applyBorder="1" applyAlignment="1">
      <alignment horizontal="right" vertical="center"/>
    </xf>
    <xf numFmtId="0" fontId="4" fillId="0" borderId="5" xfId="148" applyFont="1" applyFill="1" applyBorder="1" applyAlignment="1">
      <alignment vertical="top"/>
    </xf>
    <xf numFmtId="0" fontId="4" fillId="0" borderId="0" xfId="148" applyFont="1" applyFill="1" applyBorder="1"/>
    <xf numFmtId="0" fontId="4" fillId="0" borderId="6" xfId="148" applyFont="1" applyFill="1" applyBorder="1"/>
    <xf numFmtId="0" fontId="4" fillId="0" borderId="7" xfId="148" applyFont="1" applyFill="1" applyBorder="1" applyAlignment="1">
      <alignment horizontal="left" vertical="center"/>
    </xf>
    <xf numFmtId="0" fontId="4" fillId="0" borderId="6" xfId="148" quotePrefix="1" applyFont="1" applyFill="1" applyBorder="1" applyAlignment="1">
      <alignment vertical="center"/>
    </xf>
    <xf numFmtId="0" fontId="4" fillId="0" borderId="6" xfId="148" quotePrefix="1" applyFont="1" applyFill="1" applyBorder="1" applyAlignment="1">
      <alignment horizontal="center" vertical="center"/>
    </xf>
    <xf numFmtId="0" fontId="4" fillId="0" borderId="9" xfId="148" quotePrefix="1" applyFont="1" applyFill="1" applyBorder="1" applyAlignment="1">
      <alignment vertical="center"/>
    </xf>
    <xf numFmtId="0" fontId="4" fillId="0" borderId="8" xfId="148" quotePrefix="1" applyFont="1" applyFill="1" applyBorder="1" applyAlignment="1">
      <alignment vertical="center"/>
    </xf>
    <xf numFmtId="165" fontId="4" fillId="0" borderId="5" xfId="148" applyNumberFormat="1" applyFont="1" applyFill="1" applyBorder="1" applyAlignment="1">
      <alignment horizontal="center" vertical="center"/>
    </xf>
    <xf numFmtId="0" fontId="4" fillId="0" borderId="7" xfId="148" applyFont="1" applyFill="1" applyBorder="1" applyAlignment="1">
      <alignment horizontal="center" vertical="top"/>
    </xf>
    <xf numFmtId="0" fontId="4" fillId="0" borderId="0" xfId="148" applyFont="1" applyFill="1" applyBorder="1" applyAlignment="1">
      <alignment horizontal="left" vertical="center" wrapText="1"/>
    </xf>
    <xf numFmtId="0" fontId="6" fillId="0" borderId="0" xfId="148" applyFont="1" applyFill="1" applyBorder="1" applyAlignment="1">
      <alignment vertical="center" wrapText="1"/>
    </xf>
    <xf numFmtId="0" fontId="6" fillId="0" borderId="8" xfId="148" applyFont="1" applyFill="1" applyBorder="1" applyAlignment="1">
      <alignment vertical="top" wrapText="1"/>
    </xf>
    <xf numFmtId="165" fontId="4" fillId="0" borderId="2" xfId="148" applyNumberFormat="1" applyFont="1" applyFill="1" applyBorder="1" applyAlignment="1">
      <alignment horizontal="left" vertical="center"/>
    </xf>
    <xf numFmtId="165" fontId="4" fillId="0" borderId="3" xfId="148" quotePrefix="1" applyNumberFormat="1" applyFont="1" applyFill="1" applyBorder="1" applyAlignment="1">
      <alignment horizontal="center" vertical="center"/>
    </xf>
    <xf numFmtId="0" fontId="4" fillId="0" borderId="1" xfId="148" quotePrefix="1" applyFont="1" applyFill="1" applyBorder="1" applyAlignment="1">
      <alignment vertical="top"/>
    </xf>
    <xf numFmtId="0" fontId="4" fillId="0" borderId="5" xfId="148" applyFont="1" applyFill="1" applyBorder="1" applyAlignment="1">
      <alignment horizontal="center" vertical="center" wrapText="1"/>
    </xf>
    <xf numFmtId="0" fontId="4" fillId="0" borderId="7" xfId="148" applyFont="1" applyFill="1" applyBorder="1" applyAlignment="1">
      <alignment horizontal="center" vertical="center"/>
    </xf>
    <xf numFmtId="0" fontId="4" fillId="0" borderId="0" xfId="148" applyFont="1" applyFill="1" applyBorder="1" applyAlignment="1">
      <alignment horizontal="left" vertical="top"/>
    </xf>
    <xf numFmtId="0" fontId="6" fillId="0" borderId="5" xfId="148" applyFont="1" applyFill="1" applyBorder="1" applyAlignment="1">
      <alignment vertical="center"/>
    </xf>
    <xf numFmtId="0" fontId="6" fillId="0" borderId="6" xfId="148" quotePrefix="1" applyFont="1" applyFill="1" applyBorder="1" applyAlignment="1">
      <alignment horizontal="center" vertical="center"/>
    </xf>
    <xf numFmtId="0" fontId="4" fillId="0" borderId="4" xfId="148" applyFont="1" applyFill="1" applyBorder="1" applyAlignment="1">
      <alignment horizontal="center" vertical="center"/>
    </xf>
    <xf numFmtId="0" fontId="4" fillId="0" borderId="1" xfId="148" applyFont="1" applyFill="1" applyBorder="1" applyAlignment="1">
      <alignment vertical="center"/>
    </xf>
    <xf numFmtId="0" fontId="4" fillId="0" borderId="7" xfId="148" applyFont="1" applyFill="1" applyBorder="1" applyAlignment="1">
      <alignment vertical="center" wrapText="1"/>
    </xf>
    <xf numFmtId="0" fontId="4" fillId="0" borderId="8" xfId="148" applyFont="1" applyFill="1" applyBorder="1" applyAlignment="1">
      <alignment vertical="center" wrapText="1"/>
    </xf>
    <xf numFmtId="0" fontId="4" fillId="0" borderId="11" xfId="148" applyFont="1" applyFill="1" applyBorder="1" applyAlignment="1">
      <alignment vertical="center"/>
    </xf>
    <xf numFmtId="0" fontId="4" fillId="0" borderId="10" xfId="148" applyFont="1" applyFill="1" applyBorder="1" applyAlignment="1">
      <alignment vertical="top"/>
    </xf>
    <xf numFmtId="0" fontId="4" fillId="0" borderId="11" xfId="148" applyFont="1" applyFill="1" applyBorder="1" applyAlignment="1">
      <alignment horizontal="center" vertical="center"/>
    </xf>
    <xf numFmtId="0" fontId="4" fillId="0" borderId="8" xfId="148" applyFont="1" applyFill="1" applyBorder="1" applyAlignment="1">
      <alignment vertical="center"/>
    </xf>
    <xf numFmtId="0" fontId="6" fillId="0" borderId="12" xfId="148" applyFont="1" applyFill="1" applyBorder="1" applyAlignment="1">
      <alignment horizontal="center" vertical="center"/>
    </xf>
    <xf numFmtId="0" fontId="6" fillId="0" borderId="13" xfId="148" applyFont="1" applyFill="1" applyBorder="1" applyAlignment="1">
      <alignment horizontal="center" vertical="center"/>
    </xf>
    <xf numFmtId="0" fontId="6" fillId="0" borderId="14" xfId="148" applyFont="1" applyFill="1" applyBorder="1" applyAlignment="1">
      <alignment horizontal="center" vertical="center"/>
    </xf>
    <xf numFmtId="0" fontId="3" fillId="0" borderId="0" xfId="148" applyFont="1" applyFill="1"/>
    <xf numFmtId="1" fontId="2" fillId="0" borderId="0" xfId="148" applyNumberFormat="1"/>
    <xf numFmtId="0" fontId="4" fillId="0" borderId="2" xfId="148" quotePrefix="1" applyFont="1" applyFill="1" applyBorder="1" applyAlignment="1">
      <alignment vertical="center"/>
    </xf>
    <xf numFmtId="0" fontId="2" fillId="0" borderId="7" xfId="148" applyBorder="1"/>
    <xf numFmtId="0" fontId="4" fillId="0" borderId="0" xfId="148" applyFont="1" applyBorder="1" applyAlignment="1">
      <alignment horizontal="left" vertical="top"/>
    </xf>
    <xf numFmtId="0" fontId="4" fillId="0" borderId="10" xfId="148" applyFont="1" applyFill="1" applyBorder="1" applyAlignment="1">
      <alignment horizontal="center"/>
    </xf>
    <xf numFmtId="1" fontId="4" fillId="0" borderId="3" xfId="148" applyNumberFormat="1" applyFont="1" applyFill="1" applyBorder="1" applyAlignment="1">
      <alignment horizontal="center" vertical="center"/>
    </xf>
    <xf numFmtId="1" fontId="4" fillId="0" borderId="0" xfId="148" applyNumberFormat="1" applyFont="1" applyFill="1" applyBorder="1" applyAlignment="1">
      <alignment horizontal="center" vertical="center"/>
    </xf>
    <xf numFmtId="1" fontId="4" fillId="0" borderId="10" xfId="148" applyNumberFormat="1" applyFont="1" applyFill="1" applyBorder="1" applyAlignment="1">
      <alignment horizontal="center" vertical="center"/>
    </xf>
    <xf numFmtId="1" fontId="6" fillId="0" borderId="13" xfId="148" applyNumberFormat="1" applyFont="1" applyFill="1" applyBorder="1" applyAlignment="1">
      <alignment horizontal="center" vertical="center"/>
    </xf>
    <xf numFmtId="0" fontId="4" fillId="0" borderId="1" xfId="148" applyFont="1" applyFill="1" applyBorder="1" applyAlignment="1">
      <alignment vertical="top" wrapText="1"/>
    </xf>
    <xf numFmtId="0" fontId="4" fillId="0" borderId="9" xfId="148" applyFont="1" applyFill="1" applyBorder="1" applyAlignment="1">
      <alignment vertical="center" wrapText="1"/>
    </xf>
    <xf numFmtId="41" fontId="5" fillId="0" borderId="6" xfId="149" applyFont="1" applyFill="1" applyBorder="1" applyAlignment="1">
      <alignment horizontal="center" vertical="center" wrapText="1"/>
    </xf>
    <xf numFmtId="0" fontId="4" fillId="0" borderId="1" xfId="148" applyFont="1" applyFill="1" applyBorder="1" applyAlignment="1">
      <alignment vertical="center" wrapText="1"/>
    </xf>
    <xf numFmtId="0" fontId="2" fillId="0" borderId="0" xfId="148" applyAlignment="1">
      <alignment horizontal="center" vertical="center"/>
    </xf>
    <xf numFmtId="0" fontId="4" fillId="0" borderId="9" xfId="148" applyFont="1" applyFill="1" applyBorder="1" applyAlignment="1">
      <alignment vertical="center"/>
    </xf>
    <xf numFmtId="0" fontId="3" fillId="2" borderId="0" xfId="148" applyFont="1" applyFill="1"/>
    <xf numFmtId="0" fontId="3" fillId="2" borderId="0" xfId="148" applyFont="1" applyFill="1" applyAlignment="1">
      <alignment wrapText="1"/>
    </xf>
    <xf numFmtId="0" fontId="3" fillId="2" borderId="0" xfId="148" applyFont="1" applyFill="1" applyAlignment="1">
      <alignment vertical="center"/>
    </xf>
    <xf numFmtId="0" fontId="4" fillId="2" borderId="2" xfId="148" applyFont="1" applyFill="1" applyBorder="1" applyAlignment="1">
      <alignment horizontal="center" vertical="center" wrapText="1"/>
    </xf>
    <xf numFmtId="0" fontId="4" fillId="2" borderId="2" xfId="148" applyFont="1" applyFill="1" applyBorder="1" applyAlignment="1">
      <alignment horizontal="center" vertical="top"/>
    </xf>
    <xf numFmtId="0" fontId="4" fillId="2" borderId="3" xfId="148" applyFont="1" applyFill="1" applyBorder="1" applyAlignment="1">
      <alignment horizontal="center" vertical="top"/>
    </xf>
    <xf numFmtId="0" fontId="4" fillId="2" borderId="2" xfId="148" applyFont="1" applyFill="1" applyBorder="1" applyAlignment="1">
      <alignment vertical="top"/>
    </xf>
    <xf numFmtId="0" fontId="4" fillId="2" borderId="3" xfId="148" applyFont="1" applyFill="1" applyBorder="1" applyAlignment="1">
      <alignment vertical="top"/>
    </xf>
    <xf numFmtId="0" fontId="4" fillId="2" borderId="3" xfId="148" applyFont="1" applyFill="1" applyBorder="1" applyAlignment="1">
      <alignment vertical="center"/>
    </xf>
    <xf numFmtId="0" fontId="4" fillId="2" borderId="2" xfId="148" applyFont="1" applyFill="1" applyBorder="1" applyAlignment="1">
      <alignment horizontal="right" vertical="center"/>
    </xf>
    <xf numFmtId="0" fontId="4" fillId="2" borderId="3" xfId="148" applyFont="1" applyFill="1" applyBorder="1" applyAlignment="1">
      <alignment horizontal="right" vertical="center"/>
    </xf>
    <xf numFmtId="0" fontId="4" fillId="2" borderId="2" xfId="148" applyFont="1" applyFill="1" applyBorder="1" applyAlignment="1">
      <alignment horizontal="left" vertical="center"/>
    </xf>
    <xf numFmtId="0" fontId="4" fillId="2" borderId="3" xfId="148" applyFont="1" applyFill="1" applyBorder="1" applyAlignment="1">
      <alignment horizontal="center" vertical="center"/>
    </xf>
    <xf numFmtId="0" fontId="4" fillId="2" borderId="2" xfId="148" applyFont="1" applyFill="1" applyBorder="1" applyAlignment="1">
      <alignment horizontal="center" vertical="center"/>
    </xf>
    <xf numFmtId="0" fontId="4" fillId="2" borderId="4" xfId="148" applyFont="1" applyFill="1" applyBorder="1" applyAlignment="1">
      <alignment vertical="center"/>
    </xf>
    <xf numFmtId="0" fontId="4" fillId="2" borderId="3" xfId="148" applyFont="1" applyFill="1" applyBorder="1" applyAlignment="1">
      <alignment vertical="top" wrapText="1"/>
    </xf>
    <xf numFmtId="0" fontId="4" fillId="2" borderId="3" xfId="148" applyFont="1" applyFill="1" applyBorder="1" applyAlignment="1">
      <alignment horizontal="center" vertical="center" wrapText="1"/>
    </xf>
    <xf numFmtId="0" fontId="4" fillId="2" borderId="3" xfId="148" quotePrefix="1" applyFont="1" applyFill="1" applyBorder="1" applyAlignment="1">
      <alignment vertical="center"/>
    </xf>
    <xf numFmtId="0" fontId="4" fillId="2" borderId="1" xfId="148" quotePrefix="1" applyFont="1" applyFill="1" applyBorder="1" applyAlignment="1">
      <alignment vertical="center"/>
    </xf>
    <xf numFmtId="0" fontId="4" fillId="2" borderId="6" xfId="148" applyFont="1" applyFill="1" applyBorder="1" applyAlignment="1">
      <alignment horizontal="center" vertical="center" wrapText="1"/>
    </xf>
    <xf numFmtId="0" fontId="4" fillId="2" borderId="6" xfId="148" applyFont="1" applyFill="1" applyBorder="1" applyAlignment="1">
      <alignment horizontal="center" vertical="top"/>
    </xf>
    <xf numFmtId="0" fontId="4" fillId="2" borderId="0" xfId="148" applyFont="1" applyFill="1" applyBorder="1" applyAlignment="1">
      <alignment horizontal="center" vertical="top"/>
    </xf>
    <xf numFmtId="0" fontId="4" fillId="2" borderId="6" xfId="148" applyFont="1" applyFill="1" applyBorder="1" applyAlignment="1">
      <alignment vertical="top"/>
    </xf>
    <xf numFmtId="0" fontId="4" fillId="2" borderId="0" xfId="148" applyFont="1" applyFill="1" applyBorder="1" applyAlignment="1">
      <alignment vertical="top"/>
    </xf>
    <xf numFmtId="0" fontId="4" fillId="2" borderId="0" xfId="148" applyFont="1" applyFill="1" applyBorder="1" applyAlignment="1">
      <alignment vertical="center"/>
    </xf>
    <xf numFmtId="41" fontId="4" fillId="2" borderId="6" xfId="149" applyFont="1" applyFill="1" applyBorder="1" applyAlignment="1">
      <alignment horizontal="right" vertical="center"/>
    </xf>
    <xf numFmtId="41" fontId="4" fillId="2" borderId="0" xfId="149" applyFont="1" applyFill="1" applyBorder="1" applyAlignment="1">
      <alignment horizontal="right" vertical="center"/>
    </xf>
    <xf numFmtId="0" fontId="4" fillId="2" borderId="6" xfId="148" applyFont="1" applyFill="1" applyBorder="1" applyAlignment="1">
      <alignment horizontal="left" vertical="center"/>
    </xf>
    <xf numFmtId="0" fontId="4" fillId="2" borderId="0" xfId="148" applyFont="1" applyFill="1" applyBorder="1" applyAlignment="1">
      <alignment horizontal="center" vertical="center"/>
    </xf>
    <xf numFmtId="0" fontId="4" fillId="2" borderId="6" xfId="148" applyFont="1" applyFill="1" applyBorder="1" applyAlignment="1">
      <alignment horizontal="center" vertical="center"/>
    </xf>
    <xf numFmtId="0" fontId="4" fillId="2" borderId="7" xfId="148" applyFont="1" applyFill="1" applyBorder="1" applyAlignment="1">
      <alignment vertical="center"/>
    </xf>
    <xf numFmtId="0" fontId="4" fillId="2" borderId="0" xfId="148" applyFont="1" applyFill="1" applyBorder="1" applyAlignment="1">
      <alignment vertical="top" wrapText="1"/>
    </xf>
    <xf numFmtId="0" fontId="4" fillId="2" borderId="0" xfId="148" applyFont="1" applyFill="1" applyBorder="1" applyAlignment="1">
      <alignment horizontal="center" vertical="center" wrapText="1"/>
    </xf>
    <xf numFmtId="0" fontId="4" fillId="2" borderId="5" xfId="148" applyFont="1" applyFill="1" applyBorder="1" applyAlignment="1">
      <alignment vertical="top" wrapText="1"/>
    </xf>
    <xf numFmtId="0" fontId="4" fillId="2" borderId="7" xfId="148" applyFont="1" applyFill="1" applyBorder="1" applyAlignment="1">
      <alignment vertical="top"/>
    </xf>
    <xf numFmtId="0" fontId="4" fillId="2" borderId="0" xfId="148" applyFont="1" applyFill="1" applyBorder="1" applyAlignment="1">
      <alignment horizontal="right" vertical="center" wrapText="1"/>
    </xf>
    <xf numFmtId="41" fontId="4" fillId="2" borderId="6" xfId="149" applyFont="1" applyFill="1" applyBorder="1" applyAlignment="1">
      <alignment horizontal="right" vertical="top"/>
    </xf>
    <xf numFmtId="41" fontId="4" fillId="2" borderId="0" xfId="149" applyFont="1" applyFill="1" applyBorder="1" applyAlignment="1">
      <alignment horizontal="right" vertical="top"/>
    </xf>
    <xf numFmtId="0" fontId="4" fillId="2" borderId="6" xfId="148" applyFont="1" applyFill="1" applyBorder="1" applyAlignment="1">
      <alignment horizontal="left" vertical="top"/>
    </xf>
    <xf numFmtId="0" fontId="4" fillId="2" borderId="5" xfId="148" applyFont="1" applyFill="1" applyBorder="1" applyAlignment="1">
      <alignment vertical="center"/>
    </xf>
    <xf numFmtId="0" fontId="4" fillId="2" borderId="0" xfId="148" applyFont="1" applyFill="1" applyBorder="1" applyAlignment="1">
      <alignment vertical="center" wrapText="1"/>
    </xf>
    <xf numFmtId="0" fontId="4" fillId="2" borderId="5" xfId="148" applyFont="1" applyFill="1" applyBorder="1" applyAlignment="1">
      <alignment vertical="center" wrapText="1"/>
    </xf>
    <xf numFmtId="0" fontId="4" fillId="2" borderId="9" xfId="148" applyFont="1" applyFill="1" applyBorder="1" applyAlignment="1">
      <alignment horizontal="center" vertical="center" wrapText="1"/>
    </xf>
    <xf numFmtId="0" fontId="4" fillId="2" borderId="9" xfId="148" applyFont="1" applyFill="1" applyBorder="1" applyAlignment="1">
      <alignment horizontal="center" vertical="top"/>
    </xf>
    <xf numFmtId="0" fontId="4" fillId="2" borderId="10" xfId="148" applyFont="1" applyFill="1" applyBorder="1" applyAlignment="1">
      <alignment horizontal="center" vertical="top"/>
    </xf>
    <xf numFmtId="0" fontId="4" fillId="2" borderId="9" xfId="148" applyFont="1" applyFill="1" applyBorder="1" applyAlignment="1">
      <alignment vertical="top"/>
    </xf>
    <xf numFmtId="0" fontId="4" fillId="2" borderId="10" xfId="148" applyFont="1" applyFill="1" applyBorder="1" applyAlignment="1">
      <alignment vertical="top"/>
    </xf>
    <xf numFmtId="0" fontId="4" fillId="2" borderId="10" xfId="148" applyFont="1" applyFill="1" applyBorder="1" applyAlignment="1">
      <alignment vertical="center"/>
    </xf>
    <xf numFmtId="41" fontId="4" fillId="2" borderId="9" xfId="149" applyFont="1" applyFill="1" applyBorder="1" applyAlignment="1">
      <alignment horizontal="right" vertical="center"/>
    </xf>
    <xf numFmtId="41" fontId="4" fillId="2" borderId="10" xfId="149" applyFont="1" applyFill="1" applyBorder="1" applyAlignment="1">
      <alignment horizontal="right" vertical="center"/>
    </xf>
    <xf numFmtId="0" fontId="4" fillId="2" borderId="9" xfId="148" applyFont="1" applyFill="1" applyBorder="1" applyAlignment="1">
      <alignment horizontal="left" vertical="center"/>
    </xf>
    <xf numFmtId="0" fontId="4" fillId="2" borderId="10" xfId="148" applyFont="1" applyFill="1" applyBorder="1" applyAlignment="1">
      <alignment horizontal="center" vertical="center"/>
    </xf>
    <xf numFmtId="0" fontId="4" fillId="2" borderId="9" xfId="148" applyFont="1" applyFill="1" applyBorder="1" applyAlignment="1">
      <alignment horizontal="center" vertical="center"/>
    </xf>
    <xf numFmtId="0" fontId="4" fillId="2" borderId="11" xfId="148" applyFont="1" applyFill="1" applyBorder="1" applyAlignment="1">
      <alignment horizontal="left" vertical="center"/>
    </xf>
    <xf numFmtId="0" fontId="4" fillId="2" borderId="10" xfId="148" applyFont="1" applyFill="1" applyBorder="1"/>
    <xf numFmtId="0" fontId="4" fillId="2" borderId="9" xfId="148" applyFont="1" applyFill="1" applyBorder="1"/>
    <xf numFmtId="0" fontId="4" fillId="2" borderId="10" xfId="148" applyFont="1" applyFill="1" applyBorder="1" applyAlignment="1">
      <alignment wrapText="1"/>
    </xf>
    <xf numFmtId="0" fontId="4" fillId="2" borderId="10" xfId="148" applyFont="1" applyFill="1" applyBorder="1" applyAlignment="1">
      <alignment horizontal="center" vertical="center" wrapText="1"/>
    </xf>
    <xf numFmtId="0" fontId="4" fillId="2" borderId="10" xfId="148" applyFont="1" applyFill="1" applyBorder="1" applyAlignment="1">
      <alignment vertical="top" wrapText="1"/>
    </xf>
    <xf numFmtId="0" fontId="4" fillId="2" borderId="10" xfId="148" applyFont="1" applyFill="1" applyBorder="1" applyAlignment="1">
      <alignment horizontal="left" vertical="top"/>
    </xf>
    <xf numFmtId="0" fontId="4" fillId="2" borderId="10" xfId="148" applyFont="1" applyFill="1" applyBorder="1" applyAlignment="1">
      <alignment horizontal="left" vertical="center"/>
    </xf>
    <xf numFmtId="0" fontId="4" fillId="2" borderId="8" xfId="148" applyFont="1" applyFill="1" applyBorder="1" applyAlignment="1">
      <alignment vertical="center"/>
    </xf>
    <xf numFmtId="0" fontId="6" fillId="2" borderId="9" xfId="148" quotePrefix="1" applyFont="1" applyFill="1" applyBorder="1" applyAlignment="1">
      <alignment horizontal="center" vertical="center"/>
    </xf>
    <xf numFmtId="41" fontId="4" fillId="2" borderId="2" xfId="149" applyNumberFormat="1" applyFont="1" applyFill="1" applyBorder="1" applyAlignment="1">
      <alignment horizontal="right" vertical="center"/>
    </xf>
    <xf numFmtId="41" fontId="4" fillId="2" borderId="3" xfId="149" applyNumberFormat="1" applyFont="1" applyFill="1" applyBorder="1" applyAlignment="1">
      <alignment horizontal="right" vertical="center"/>
    </xf>
    <xf numFmtId="41" fontId="4" fillId="2" borderId="6" xfId="149" applyNumberFormat="1" applyFont="1" applyFill="1" applyBorder="1" applyAlignment="1">
      <alignment horizontal="right" vertical="center"/>
    </xf>
    <xf numFmtId="41" fontId="4" fillId="2" borderId="0" xfId="149" applyNumberFormat="1" applyFont="1" applyFill="1" applyBorder="1" applyAlignment="1">
      <alignment horizontal="right" vertical="center"/>
    </xf>
    <xf numFmtId="0" fontId="4" fillId="2" borderId="5" xfId="148" quotePrefix="1" applyFont="1" applyFill="1" applyBorder="1" applyAlignment="1">
      <alignment vertical="top" wrapText="1"/>
    </xf>
    <xf numFmtId="41" fontId="4" fillId="2" borderId="10" xfId="149" applyNumberFormat="1" applyFont="1" applyFill="1" applyBorder="1" applyAlignment="1">
      <alignment horizontal="right" vertical="center"/>
    </xf>
    <xf numFmtId="41" fontId="4" fillId="2" borderId="9" xfId="149" applyNumberFormat="1" applyFont="1" applyFill="1" applyBorder="1" applyAlignment="1">
      <alignment horizontal="right" vertical="center"/>
    </xf>
    <xf numFmtId="0" fontId="4" fillId="2" borderId="0" xfId="148" quotePrefix="1" applyFont="1" applyFill="1" applyBorder="1" applyAlignment="1">
      <alignment vertical="top" wrapText="1"/>
    </xf>
    <xf numFmtId="43" fontId="4" fillId="2" borderId="0" xfId="150" applyFont="1" applyFill="1" applyBorder="1" applyAlignment="1">
      <alignment vertical="center"/>
    </xf>
    <xf numFmtId="164" fontId="4" fillId="2" borderId="6" xfId="150" applyNumberFormat="1" applyFont="1" applyFill="1" applyBorder="1" applyAlignment="1">
      <alignment vertical="center"/>
    </xf>
    <xf numFmtId="0" fontId="4" fillId="2" borderId="0" xfId="148" applyFont="1" applyFill="1" applyBorder="1" applyAlignment="1">
      <alignment wrapText="1"/>
    </xf>
    <xf numFmtId="0" fontId="4" fillId="2" borderId="4" xfId="148" applyFont="1" applyFill="1" applyBorder="1" applyAlignment="1">
      <alignment vertical="top"/>
    </xf>
    <xf numFmtId="43" fontId="4" fillId="2" borderId="10" xfId="150" applyFont="1" applyFill="1" applyBorder="1" applyAlignment="1">
      <alignment vertical="top"/>
    </xf>
    <xf numFmtId="164" fontId="4" fillId="2" borderId="9" xfId="150" applyNumberFormat="1" applyFont="1" applyFill="1" applyBorder="1" applyAlignment="1">
      <alignment vertical="top"/>
    </xf>
    <xf numFmtId="0" fontId="6" fillId="2" borderId="9" xfId="148" applyFont="1" applyFill="1" applyBorder="1" applyAlignment="1">
      <alignment horizontal="center" vertical="top"/>
    </xf>
    <xf numFmtId="0" fontId="4" fillId="2" borderId="6" xfId="148" applyFont="1" applyFill="1" applyBorder="1" applyAlignment="1">
      <alignment horizontal="right" vertical="center"/>
    </xf>
    <xf numFmtId="0" fontId="4" fillId="2" borderId="0" xfId="148" applyFont="1" applyFill="1" applyBorder="1" applyAlignment="1">
      <alignment horizontal="right" vertical="center"/>
    </xf>
    <xf numFmtId="0" fontId="4" fillId="2" borderId="0" xfId="148" applyFont="1" applyFill="1" applyBorder="1"/>
    <xf numFmtId="0" fontId="4" fillId="2" borderId="6" xfId="148" applyFont="1" applyFill="1" applyBorder="1"/>
    <xf numFmtId="0" fontId="4" fillId="2" borderId="9" xfId="148" applyFont="1" applyFill="1" applyBorder="1" applyAlignment="1">
      <alignment horizontal="right" vertical="center"/>
    </xf>
    <xf numFmtId="0" fontId="4" fillId="2" borderId="10" xfId="148" applyFont="1" applyFill="1" applyBorder="1" applyAlignment="1">
      <alignment horizontal="right" vertical="center"/>
    </xf>
    <xf numFmtId="0" fontId="4" fillId="2" borderId="11" xfId="148" applyFont="1" applyFill="1" applyBorder="1" applyAlignment="1">
      <alignment vertical="center"/>
    </xf>
    <xf numFmtId="41" fontId="4" fillId="2" borderId="3" xfId="149" applyFont="1" applyFill="1" applyBorder="1" applyAlignment="1">
      <alignment horizontal="right" vertical="center"/>
    </xf>
    <xf numFmtId="41" fontId="4" fillId="2" borderId="2" xfId="149" applyFont="1" applyFill="1" applyBorder="1" applyAlignment="1">
      <alignment horizontal="right" vertical="center"/>
    </xf>
    <xf numFmtId="0" fontId="4" fillId="2" borderId="3" xfId="148" quotePrefix="1" applyFont="1" applyFill="1" applyBorder="1" applyAlignment="1">
      <alignment horizontal="center" vertical="center"/>
    </xf>
    <xf numFmtId="0" fontId="3" fillId="2" borderId="1" xfId="148" applyFont="1" applyFill="1" applyBorder="1"/>
    <xf numFmtId="0" fontId="3" fillId="2" borderId="4" xfId="148" applyFont="1" applyFill="1" applyBorder="1"/>
    <xf numFmtId="41" fontId="10" fillId="2" borderId="6" xfId="149" applyFont="1" applyFill="1" applyBorder="1" applyAlignment="1">
      <alignment horizontal="left" vertical="center" wrapText="1"/>
    </xf>
    <xf numFmtId="0" fontId="4" fillId="2" borderId="0" xfId="148" quotePrefix="1" applyFont="1" applyFill="1" applyBorder="1" applyAlignment="1">
      <alignment horizontal="center" vertical="center"/>
    </xf>
    <xf numFmtId="0" fontId="3" fillId="2" borderId="5" xfId="148" applyFont="1" applyFill="1" applyBorder="1"/>
    <xf numFmtId="0" fontId="3" fillId="2" borderId="7" xfId="148" applyFont="1" applyFill="1" applyBorder="1"/>
    <xf numFmtId="0" fontId="4" fillId="2" borderId="0" xfId="148" applyFont="1" applyFill="1" applyBorder="1" applyAlignment="1">
      <alignment horizontal="left" vertical="center"/>
    </xf>
    <xf numFmtId="0" fontId="4" fillId="2" borderId="7" xfId="148" applyFont="1" applyFill="1" applyBorder="1" applyAlignment="1">
      <alignment horizontal="left" vertical="center"/>
    </xf>
    <xf numFmtId="0" fontId="4" fillId="2" borderId="0" xfId="148" applyFont="1" applyFill="1" applyBorder="1" applyAlignment="1">
      <alignment horizontal="left" vertical="top"/>
    </xf>
    <xf numFmtId="0" fontId="4" fillId="2" borderId="5" xfId="148" quotePrefix="1" applyFont="1" applyFill="1" applyBorder="1" applyAlignment="1">
      <alignment vertical="center"/>
    </xf>
    <xf numFmtId="0" fontId="6" fillId="2" borderId="6" xfId="148" quotePrefix="1" applyFont="1" applyFill="1" applyBorder="1" applyAlignment="1">
      <alignment horizontal="center" vertical="center"/>
    </xf>
    <xf numFmtId="165" fontId="4" fillId="2" borderId="6" xfId="148" applyNumberFormat="1" applyFont="1" applyFill="1" applyBorder="1" applyAlignment="1">
      <alignment horizontal="right" vertical="center"/>
    </xf>
    <xf numFmtId="0" fontId="4" fillId="2" borderId="3" xfId="148" applyFont="1" applyFill="1" applyBorder="1"/>
    <xf numFmtId="0" fontId="4" fillId="2" borderId="2" xfId="148" applyFont="1" applyFill="1" applyBorder="1"/>
    <xf numFmtId="0" fontId="4" fillId="2" borderId="3" xfId="148" applyFont="1" applyFill="1" applyBorder="1" applyAlignment="1">
      <alignment wrapText="1"/>
    </xf>
    <xf numFmtId="165" fontId="4" fillId="2" borderId="6" xfId="148" applyNumberFormat="1" applyFont="1" applyFill="1" applyBorder="1" applyAlignment="1">
      <alignment horizontal="center" vertical="center"/>
    </xf>
    <xf numFmtId="0" fontId="4" fillId="2" borderId="3" xfId="148" applyFont="1" applyFill="1" applyBorder="1" applyAlignment="1">
      <alignment vertical="center" wrapText="1"/>
    </xf>
    <xf numFmtId="0" fontId="4" fillId="2" borderId="7" xfId="148" applyFont="1" applyFill="1" applyBorder="1" applyAlignment="1">
      <alignment horizontal="left" vertical="top"/>
    </xf>
    <xf numFmtId="43" fontId="4" fillId="2" borderId="0" xfId="150" applyFont="1" applyFill="1" applyBorder="1" applyAlignment="1">
      <alignment horizontal="center" vertical="center"/>
    </xf>
    <xf numFmtId="164" fontId="4" fillId="2" borderId="6" xfId="150" applyNumberFormat="1" applyFont="1" applyFill="1" applyBorder="1" applyAlignment="1">
      <alignment horizontal="center" vertical="center"/>
    </xf>
    <xf numFmtId="0" fontId="4" fillId="2" borderId="6" xfId="148" quotePrefix="1" applyFont="1" applyFill="1" applyBorder="1" applyAlignment="1">
      <alignment horizontal="center" vertical="center"/>
    </xf>
    <xf numFmtId="165" fontId="4" fillId="2" borderId="2" xfId="148" applyNumberFormat="1" applyFont="1" applyFill="1" applyBorder="1" applyAlignment="1">
      <alignment horizontal="right" vertical="center"/>
    </xf>
    <xf numFmtId="0" fontId="4" fillId="2" borderId="4" xfId="148" applyFont="1" applyFill="1" applyBorder="1" applyAlignment="1">
      <alignment horizontal="right" vertical="center"/>
    </xf>
    <xf numFmtId="0" fontId="4" fillId="2" borderId="4" xfId="148" applyFont="1" applyFill="1" applyBorder="1" applyAlignment="1">
      <alignment horizontal="left" vertical="center"/>
    </xf>
    <xf numFmtId="0" fontId="4" fillId="2" borderId="4" xfId="148" quotePrefix="1" applyFont="1" applyFill="1" applyBorder="1" applyAlignment="1">
      <alignment horizontal="center" vertical="center"/>
    </xf>
    <xf numFmtId="0" fontId="4" fillId="2" borderId="4" xfId="148" applyFont="1" applyFill="1" applyBorder="1" applyAlignment="1">
      <alignment horizontal="center" vertical="center"/>
    </xf>
    <xf numFmtId="41" fontId="4" fillId="2" borderId="7" xfId="149" applyFont="1" applyFill="1" applyBorder="1" applyAlignment="1">
      <alignment horizontal="right" vertical="center"/>
    </xf>
    <xf numFmtId="0" fontId="4" fillId="2" borderId="7" xfId="148" quotePrefix="1" applyFont="1" applyFill="1" applyBorder="1" applyAlignment="1">
      <alignment horizontal="center" vertical="center"/>
    </xf>
    <xf numFmtId="0" fontId="4" fillId="2" borderId="7" xfId="148" applyFont="1" applyFill="1" applyBorder="1" applyAlignment="1">
      <alignment horizontal="center" vertical="center"/>
    </xf>
    <xf numFmtId="41" fontId="10" fillId="2" borderId="7" xfId="149" applyFont="1" applyFill="1" applyBorder="1" applyAlignment="1">
      <alignment horizontal="left" vertical="center" wrapText="1"/>
    </xf>
    <xf numFmtId="0" fontId="4" fillId="2" borderId="7" xfId="148" applyFont="1" applyFill="1" applyBorder="1" applyAlignment="1">
      <alignment horizontal="right" vertical="center"/>
    </xf>
    <xf numFmtId="0" fontId="4" fillId="2" borderId="6" xfId="148" applyFont="1" applyFill="1" applyBorder="1" applyAlignment="1">
      <alignment horizontal="right"/>
    </xf>
    <xf numFmtId="0" fontId="4" fillId="2" borderId="7" xfId="148" applyFont="1" applyFill="1" applyBorder="1" applyAlignment="1">
      <alignment horizontal="right"/>
    </xf>
    <xf numFmtId="0" fontId="4" fillId="2" borderId="7" xfId="148" applyFont="1" applyFill="1" applyBorder="1" applyAlignment="1">
      <alignment horizontal="left"/>
    </xf>
    <xf numFmtId="0" fontId="4" fillId="2" borderId="7" xfId="148" applyFont="1" applyFill="1" applyBorder="1" applyAlignment="1">
      <alignment horizontal="center"/>
    </xf>
    <xf numFmtId="0" fontId="4" fillId="2" borderId="7" xfId="148" applyFont="1" applyFill="1" applyBorder="1"/>
    <xf numFmtId="43" fontId="4" fillId="2" borderId="7" xfId="150" applyFont="1" applyFill="1" applyBorder="1" applyAlignment="1">
      <alignment horizontal="center" vertical="center"/>
    </xf>
    <xf numFmtId="0" fontId="4" fillId="2" borderId="9" xfId="148" applyFont="1" applyFill="1" applyBorder="1" applyAlignment="1">
      <alignment horizontal="right"/>
    </xf>
    <xf numFmtId="0" fontId="4" fillId="2" borderId="11" xfId="148" applyFont="1" applyFill="1" applyBorder="1" applyAlignment="1">
      <alignment horizontal="right"/>
    </xf>
    <xf numFmtId="0" fontId="4" fillId="2" borderId="11" xfId="148" applyFont="1" applyFill="1" applyBorder="1" applyAlignment="1">
      <alignment horizontal="left"/>
    </xf>
    <xf numFmtId="0" fontId="4" fillId="2" borderId="11" xfId="148" applyFont="1" applyFill="1" applyBorder="1" applyAlignment="1">
      <alignment horizontal="center"/>
    </xf>
    <xf numFmtId="0" fontId="4" fillId="2" borderId="11" xfId="148" applyFont="1" applyFill="1" applyBorder="1"/>
    <xf numFmtId="0" fontId="4" fillId="2" borderId="11" xfId="148" applyFont="1" applyFill="1" applyBorder="1" applyAlignment="1">
      <alignment horizontal="center" vertical="center"/>
    </xf>
    <xf numFmtId="0" fontId="4" fillId="2" borderId="1" xfId="148" applyFont="1" applyFill="1" applyBorder="1" applyAlignment="1">
      <alignment vertical="center"/>
    </xf>
    <xf numFmtId="41" fontId="4" fillId="2" borderId="5" xfId="149" applyFont="1" applyFill="1" applyBorder="1" applyAlignment="1">
      <alignment horizontal="right" vertical="center"/>
    </xf>
    <xf numFmtId="0" fontId="4" fillId="2" borderId="6" xfId="148" applyFont="1" applyFill="1" applyBorder="1" applyAlignment="1">
      <alignment vertical="center"/>
    </xf>
    <xf numFmtId="0" fontId="4" fillId="2" borderId="5" xfId="148" applyFont="1" applyFill="1" applyBorder="1" applyAlignment="1">
      <alignment horizontal="right" vertical="center"/>
    </xf>
    <xf numFmtId="41" fontId="10" fillId="2" borderId="6" xfId="149" applyFont="1" applyFill="1" applyBorder="1" applyAlignment="1">
      <alignment horizontal="right" vertical="center" wrapText="1"/>
    </xf>
    <xf numFmtId="0" fontId="4" fillId="2" borderId="5" xfId="148" applyFont="1" applyFill="1" applyBorder="1"/>
    <xf numFmtId="165" fontId="4" fillId="2" borderId="9" xfId="148" applyNumberFormat="1" applyFont="1" applyFill="1" applyBorder="1" applyAlignment="1">
      <alignment horizontal="right" vertical="center"/>
    </xf>
    <xf numFmtId="41" fontId="10" fillId="2" borderId="9" xfId="149" applyFont="1" applyFill="1" applyBorder="1" applyAlignment="1">
      <alignment horizontal="right" vertical="center" wrapText="1"/>
    </xf>
    <xf numFmtId="41" fontId="10" fillId="2" borderId="11" xfId="149" applyFont="1" applyFill="1" applyBorder="1" applyAlignment="1">
      <alignment horizontal="left" vertical="center" wrapText="1"/>
    </xf>
    <xf numFmtId="0" fontId="4" fillId="2" borderId="9" xfId="148" applyFont="1" applyFill="1" applyBorder="1" applyAlignment="1">
      <alignment horizontal="center"/>
    </xf>
    <xf numFmtId="43" fontId="4" fillId="2" borderId="11" xfId="150" applyFont="1" applyFill="1" applyBorder="1" applyAlignment="1">
      <alignment vertical="center"/>
    </xf>
    <xf numFmtId="164" fontId="4" fillId="2" borderId="9" xfId="150" applyNumberFormat="1" applyFont="1" applyFill="1" applyBorder="1" applyAlignment="1">
      <alignment vertical="center"/>
    </xf>
    <xf numFmtId="41" fontId="10" fillId="2" borderId="2" xfId="149" applyFont="1" applyFill="1" applyBorder="1" applyAlignment="1">
      <alignment horizontal="right" vertical="center" wrapText="1"/>
    </xf>
    <xf numFmtId="41" fontId="10" fillId="2" borderId="4" xfId="149" applyFont="1" applyFill="1" applyBorder="1" applyAlignment="1">
      <alignment horizontal="left" vertical="center" wrapText="1"/>
    </xf>
    <xf numFmtId="0" fontId="4" fillId="2" borderId="3" xfId="148" applyFont="1" applyFill="1" applyBorder="1" applyAlignment="1">
      <alignment horizontal="left" vertical="center" wrapText="1"/>
    </xf>
    <xf numFmtId="0" fontId="4" fillId="2" borderId="1" xfId="148" quotePrefix="1" applyFont="1" applyFill="1" applyBorder="1" applyAlignment="1">
      <alignment vertical="top" wrapText="1"/>
    </xf>
    <xf numFmtId="0" fontId="4" fillId="2" borderId="10" xfId="148" applyFont="1" applyFill="1" applyBorder="1" applyAlignment="1">
      <alignment vertical="center" wrapText="1"/>
    </xf>
    <xf numFmtId="0" fontId="4" fillId="2" borderId="0" xfId="148" quotePrefix="1" applyFont="1" applyFill="1" applyBorder="1" applyAlignment="1">
      <alignment vertical="center"/>
    </xf>
    <xf numFmtId="43" fontId="4" fillId="2" borderId="0" xfId="150" applyNumberFormat="1" applyFont="1" applyFill="1" applyBorder="1" applyAlignment="1">
      <alignment vertical="top"/>
    </xf>
    <xf numFmtId="164" fontId="4" fillId="2" borderId="6" xfId="150" applyNumberFormat="1" applyFont="1" applyFill="1" applyBorder="1" applyAlignment="1">
      <alignment vertical="top"/>
    </xf>
    <xf numFmtId="43" fontId="4" fillId="2" borderId="0" xfId="150" applyNumberFormat="1" applyFont="1" applyFill="1" applyBorder="1" applyAlignment="1">
      <alignment horizontal="center" vertical="center"/>
    </xf>
    <xf numFmtId="43" fontId="4" fillId="2" borderId="6" xfId="150" applyFont="1" applyFill="1" applyBorder="1" applyAlignment="1">
      <alignment horizontal="right" vertical="center"/>
    </xf>
    <xf numFmtId="43" fontId="4" fillId="2" borderId="0" xfId="150" applyFont="1" applyFill="1" applyBorder="1" applyAlignment="1">
      <alignment horizontal="right" vertical="center"/>
    </xf>
    <xf numFmtId="0" fontId="4" fillId="2" borderId="10" xfId="148" quotePrefix="1" applyFont="1" applyFill="1" applyBorder="1" applyAlignment="1">
      <alignment horizontal="center" vertical="center" wrapText="1"/>
    </xf>
    <xf numFmtId="0" fontId="4" fillId="2" borderId="10" xfId="148" quotePrefix="1" applyFont="1" applyFill="1" applyBorder="1" applyAlignment="1">
      <alignment vertical="center"/>
    </xf>
    <xf numFmtId="0" fontId="3" fillId="2" borderId="0" xfId="148" applyFont="1" applyFill="1" applyBorder="1"/>
    <xf numFmtId="0" fontId="4" fillId="2" borderId="2" xfId="148" quotePrefix="1" applyFont="1" applyFill="1" applyBorder="1" applyAlignment="1">
      <alignment horizontal="center" vertical="center"/>
    </xf>
    <xf numFmtId="0" fontId="4" fillId="2" borderId="0" xfId="148" quotePrefix="1" applyFont="1" applyFill="1" applyBorder="1" applyAlignment="1">
      <alignment horizontal="center" vertical="center" wrapText="1"/>
    </xf>
    <xf numFmtId="165" fontId="4" fillId="2" borderId="2" xfId="148" applyNumberFormat="1" applyFont="1" applyFill="1" applyBorder="1" applyAlignment="1">
      <alignment horizontal="center" vertical="center"/>
    </xf>
    <xf numFmtId="166" fontId="4" fillId="2" borderId="0" xfId="149" applyNumberFormat="1" applyFont="1" applyFill="1" applyBorder="1" applyAlignment="1">
      <alignment vertical="top"/>
    </xf>
    <xf numFmtId="41" fontId="4" fillId="2" borderId="6" xfId="149" applyFont="1" applyFill="1" applyBorder="1" applyAlignment="1">
      <alignment vertical="top"/>
    </xf>
    <xf numFmtId="166" fontId="4" fillId="2" borderId="0" xfId="149" applyNumberFormat="1" applyFont="1" applyFill="1" applyBorder="1" applyAlignment="1">
      <alignment vertical="center"/>
    </xf>
    <xf numFmtId="0" fontId="4" fillId="2" borderId="5" xfId="148" applyFont="1" applyFill="1" applyBorder="1" applyAlignment="1">
      <alignment vertical="top"/>
    </xf>
    <xf numFmtId="41" fontId="10" fillId="2" borderId="3" xfId="149" applyFont="1" applyFill="1" applyBorder="1" applyAlignment="1">
      <alignment horizontal="right" vertical="center" wrapText="1"/>
    </xf>
    <xf numFmtId="0" fontId="10" fillId="2" borderId="3" xfId="148" applyFont="1" applyFill="1" applyBorder="1" applyAlignment="1">
      <alignment horizontal="center" vertical="center" wrapText="1"/>
    </xf>
    <xf numFmtId="0" fontId="4" fillId="2" borderId="2" xfId="148" quotePrefix="1" applyFont="1" applyFill="1" applyBorder="1" applyAlignment="1">
      <alignment horizontal="center" vertical="center" wrapText="1"/>
    </xf>
    <xf numFmtId="0" fontId="10" fillId="2" borderId="6" xfId="148" applyFont="1" applyFill="1" applyBorder="1" applyAlignment="1">
      <alignment horizontal="center" vertical="center" wrapText="1"/>
    </xf>
    <xf numFmtId="41" fontId="4" fillId="2" borderId="6" xfId="149" applyFont="1" applyFill="1" applyBorder="1" applyAlignment="1">
      <alignment vertical="center"/>
    </xf>
    <xf numFmtId="166" fontId="4" fillId="2" borderId="0" xfId="149" applyNumberFormat="1" applyFont="1" applyFill="1" applyBorder="1" applyAlignment="1">
      <alignment horizontal="center" vertical="center"/>
    </xf>
    <xf numFmtId="0" fontId="4" fillId="2" borderId="6" xfId="148" applyFont="1" applyFill="1" applyBorder="1" applyAlignment="1">
      <alignment horizontal="left" vertical="center" wrapText="1"/>
    </xf>
    <xf numFmtId="166" fontId="4" fillId="2" borderId="10" xfId="149" applyNumberFormat="1" applyFont="1" applyFill="1" applyBorder="1" applyAlignment="1">
      <alignment horizontal="center" vertical="center"/>
    </xf>
    <xf numFmtId="41" fontId="4" fillId="2" borderId="9" xfId="149" applyFont="1" applyFill="1" applyBorder="1" applyAlignment="1">
      <alignment horizontal="center" vertical="center"/>
    </xf>
    <xf numFmtId="0" fontId="4" fillId="2" borderId="8" xfId="148" applyFont="1" applyFill="1" applyBorder="1" applyAlignment="1">
      <alignment vertical="center" wrapText="1"/>
    </xf>
    <xf numFmtId="165" fontId="4" fillId="2" borderId="0" xfId="148" applyNumberFormat="1" applyFont="1" applyFill="1" applyBorder="1" applyAlignment="1">
      <alignment horizontal="right" vertical="center"/>
    </xf>
    <xf numFmtId="165" fontId="4" fillId="2" borderId="6" xfId="148" applyNumberFormat="1" applyFont="1" applyFill="1" applyBorder="1" applyAlignment="1">
      <alignment horizontal="left" vertical="center"/>
    </xf>
    <xf numFmtId="165" fontId="4" fillId="2" borderId="5" xfId="148" quotePrefix="1" applyNumberFormat="1" applyFont="1" applyFill="1" applyBorder="1" applyAlignment="1">
      <alignment horizontal="center" vertical="center"/>
    </xf>
    <xf numFmtId="165" fontId="4" fillId="2" borderId="5" xfId="148" applyNumberFormat="1" applyFont="1" applyFill="1" applyBorder="1" applyAlignment="1">
      <alignment horizontal="right" vertical="center"/>
    </xf>
    <xf numFmtId="165" fontId="4" fillId="2" borderId="7" xfId="148" applyNumberFormat="1" applyFont="1" applyFill="1" applyBorder="1" applyAlignment="1">
      <alignment horizontal="right" vertical="center"/>
    </xf>
    <xf numFmtId="0" fontId="4" fillId="2" borderId="5" xfId="148" applyFont="1" applyFill="1" applyBorder="1" applyAlignment="1">
      <alignment horizontal="center" vertical="center"/>
    </xf>
    <xf numFmtId="0" fontId="4" fillId="2" borderId="8" xfId="148" applyFont="1" applyFill="1" applyBorder="1" applyAlignment="1">
      <alignment horizontal="center" vertical="center"/>
    </xf>
    <xf numFmtId="0" fontId="4" fillId="2" borderId="9" xfId="148" applyFont="1" applyFill="1" applyBorder="1" applyAlignment="1">
      <alignment vertical="center"/>
    </xf>
    <xf numFmtId="166" fontId="4" fillId="2" borderId="3" xfId="149" applyNumberFormat="1" applyFont="1" applyFill="1" applyBorder="1" applyAlignment="1">
      <alignment vertical="center"/>
    </xf>
    <xf numFmtId="0" fontId="4" fillId="2" borderId="2" xfId="148" applyFont="1" applyFill="1" applyBorder="1" applyAlignment="1">
      <alignment vertical="center"/>
    </xf>
    <xf numFmtId="0" fontId="4" fillId="2" borderId="0" xfId="148" applyFont="1" applyFill="1" applyBorder="1" applyAlignment="1">
      <alignment horizontal="left" vertical="center" wrapText="1"/>
    </xf>
    <xf numFmtId="165" fontId="4" fillId="2" borderId="3" xfId="148" applyNumberFormat="1" applyFont="1" applyFill="1" applyBorder="1" applyAlignment="1">
      <alignment horizontal="right" vertical="center"/>
    </xf>
    <xf numFmtId="165" fontId="4" fillId="2" borderId="2" xfId="148" applyNumberFormat="1" applyFont="1" applyFill="1" applyBorder="1" applyAlignment="1">
      <alignment horizontal="left" vertical="center"/>
    </xf>
    <xf numFmtId="165" fontId="4" fillId="2" borderId="3" xfId="148" quotePrefix="1" applyNumberFormat="1" applyFont="1" applyFill="1" applyBorder="1" applyAlignment="1">
      <alignment horizontal="center" vertical="center"/>
    </xf>
    <xf numFmtId="0" fontId="4" fillId="2" borderId="1" xfId="148" quotePrefix="1" applyFont="1" applyFill="1" applyBorder="1" applyAlignment="1">
      <alignment horizontal="left" vertical="top"/>
    </xf>
    <xf numFmtId="165" fontId="4" fillId="2" borderId="0" xfId="148" quotePrefix="1" applyNumberFormat="1" applyFont="1" applyFill="1" applyBorder="1" applyAlignment="1">
      <alignment horizontal="center" vertical="center"/>
    </xf>
    <xf numFmtId="0" fontId="3" fillId="2" borderId="0" xfId="148" applyFont="1" applyFill="1" applyBorder="1" applyAlignment="1">
      <alignment vertical="top"/>
    </xf>
    <xf numFmtId="0" fontId="4" fillId="2" borderId="1" xfId="148" applyFont="1" applyFill="1" applyBorder="1" applyAlignment="1">
      <alignment vertical="top"/>
    </xf>
    <xf numFmtId="0" fontId="4" fillId="2" borderId="1" xfId="148" applyFont="1" applyFill="1" applyBorder="1" applyAlignment="1">
      <alignment vertical="top" wrapText="1"/>
    </xf>
    <xf numFmtId="0" fontId="3" fillId="2" borderId="0" xfId="148" applyFont="1" applyFill="1" applyAlignment="1">
      <alignment vertical="top"/>
    </xf>
    <xf numFmtId="0" fontId="4" fillId="2" borderId="7" xfId="148" applyFont="1" applyFill="1" applyBorder="1" applyAlignment="1">
      <alignment vertical="center" wrapText="1"/>
    </xf>
    <xf numFmtId="0" fontId="3" fillId="2" borderId="0" xfId="148" applyFont="1" applyFill="1" applyAlignment="1">
      <alignment horizontal="center" vertical="center"/>
    </xf>
    <xf numFmtId="0" fontId="6" fillId="2" borderId="12" xfId="148" applyFont="1" applyFill="1" applyBorder="1" applyAlignment="1">
      <alignment horizontal="center" vertical="center"/>
    </xf>
    <xf numFmtId="0" fontId="6" fillId="2" borderId="13" xfId="148" applyFont="1" applyFill="1" applyBorder="1" applyAlignment="1">
      <alignment horizontal="center" vertical="center"/>
    </xf>
    <xf numFmtId="0" fontId="6" fillId="2" borderId="14" xfId="148" applyFont="1" applyFill="1" applyBorder="1" applyAlignment="1">
      <alignment horizontal="center" vertical="center"/>
    </xf>
    <xf numFmtId="0" fontId="6" fillId="2" borderId="15" xfId="148" applyFont="1" applyFill="1" applyBorder="1" applyAlignment="1">
      <alignment horizontal="center" vertical="center"/>
    </xf>
    <xf numFmtId="0" fontId="6" fillId="2" borderId="12" xfId="148" applyFont="1" applyFill="1" applyBorder="1" applyAlignment="1">
      <alignment horizontal="center" vertical="center" wrapText="1"/>
    </xf>
    <xf numFmtId="0" fontId="3" fillId="2" borderId="0" xfId="148" applyFont="1" applyFill="1" applyAlignment="1">
      <alignment vertical="center" wrapText="1"/>
    </xf>
    <xf numFmtId="164" fontId="2" fillId="0" borderId="0" xfId="150" applyNumberFormat="1" applyFont="1"/>
    <xf numFmtId="0" fontId="3" fillId="0" borderId="0" xfId="148" applyFont="1" applyFill="1" applyAlignment="1">
      <alignment vertical="center"/>
    </xf>
    <xf numFmtId="0" fontId="4" fillId="0" borderId="0" xfId="148" applyFont="1" applyFill="1" applyBorder="1" applyAlignment="1">
      <alignment wrapText="1"/>
    </xf>
    <xf numFmtId="2" fontId="4" fillId="0" borderId="0" xfId="148" applyNumberFormat="1" applyFont="1" applyFill="1" applyBorder="1"/>
    <xf numFmtId="0" fontId="4" fillId="0" borderId="10" xfId="148" applyFont="1" applyFill="1" applyBorder="1" applyAlignment="1">
      <alignment wrapText="1"/>
    </xf>
    <xf numFmtId="164" fontId="4" fillId="0" borderId="2" xfId="150" applyNumberFormat="1" applyFont="1" applyFill="1" applyBorder="1" applyAlignment="1">
      <alignment horizontal="center" vertical="center"/>
    </xf>
    <xf numFmtId="164" fontId="4" fillId="0" borderId="6" xfId="150" applyNumberFormat="1" applyFont="1" applyFill="1" applyBorder="1" applyAlignment="1">
      <alignment horizontal="center" vertical="center"/>
    </xf>
    <xf numFmtId="41" fontId="5" fillId="0" borderId="6" xfId="149" applyNumberFormat="1" applyFont="1" applyFill="1" applyBorder="1" applyAlignment="1">
      <alignment horizontal="center" vertical="center" wrapText="1"/>
    </xf>
    <xf numFmtId="41" fontId="5" fillId="0" borderId="6" xfId="149" applyFont="1" applyFill="1" applyBorder="1" applyAlignment="1">
      <alignment vertical="center" wrapText="1"/>
    </xf>
    <xf numFmtId="2" fontId="4" fillId="0" borderId="0" xfId="148" applyNumberFormat="1" applyFont="1" applyFill="1" applyBorder="1" applyAlignment="1">
      <alignment vertical="center"/>
    </xf>
    <xf numFmtId="164" fontId="5" fillId="0" borderId="6" xfId="150" applyNumberFormat="1" applyFont="1" applyFill="1" applyBorder="1" applyAlignment="1">
      <alignment horizontal="center" vertical="center" wrapText="1"/>
    </xf>
    <xf numFmtId="0" fontId="5" fillId="0" borderId="6" xfId="148" applyFont="1" applyFill="1" applyBorder="1" applyAlignment="1">
      <alignment horizontal="center" vertical="center" wrapText="1"/>
    </xf>
    <xf numFmtId="2" fontId="4" fillId="0" borderId="6" xfId="148" applyNumberFormat="1" applyFont="1" applyFill="1" applyBorder="1"/>
    <xf numFmtId="164" fontId="5" fillId="0" borderId="9" xfId="150" applyNumberFormat="1" applyFont="1" applyFill="1" applyBorder="1" applyAlignment="1">
      <alignment horizontal="center" vertical="center" wrapText="1"/>
    </xf>
    <xf numFmtId="41" fontId="5" fillId="0" borderId="9" xfId="149" applyFont="1" applyFill="1" applyBorder="1" applyAlignment="1">
      <alignment vertical="center" wrapText="1"/>
    </xf>
    <xf numFmtId="164" fontId="5" fillId="0" borderId="2" xfId="150" applyNumberFormat="1" applyFont="1" applyFill="1" applyBorder="1" applyAlignment="1">
      <alignment horizontal="center" vertical="center" wrapText="1"/>
    </xf>
    <xf numFmtId="41" fontId="5" fillId="0" borderId="2" xfId="149" applyNumberFormat="1" applyFont="1" applyFill="1" applyBorder="1" applyAlignment="1">
      <alignment horizontal="center" vertical="center" wrapText="1"/>
    </xf>
    <xf numFmtId="41" fontId="5" fillId="0" borderId="2" xfId="149" applyFont="1" applyFill="1" applyBorder="1" applyAlignment="1">
      <alignment vertical="center" wrapText="1"/>
    </xf>
    <xf numFmtId="0" fontId="5" fillId="0" borderId="2" xfId="148" applyFont="1" applyFill="1" applyBorder="1" applyAlignment="1">
      <alignment horizontal="center" vertical="center" wrapText="1"/>
    </xf>
    <xf numFmtId="0" fontId="5" fillId="0" borderId="6" xfId="148" applyFont="1" applyFill="1" applyBorder="1" applyAlignment="1">
      <alignment horizontal="right" vertical="center" wrapText="1"/>
    </xf>
    <xf numFmtId="41" fontId="5" fillId="0" borderId="9" xfId="149" applyNumberFormat="1" applyFont="1" applyFill="1" applyBorder="1" applyAlignment="1">
      <alignment horizontal="center" vertical="center" wrapText="1"/>
    </xf>
    <xf numFmtId="0" fontId="5" fillId="0" borderId="9" xfId="148" applyFont="1" applyFill="1" applyBorder="1" applyAlignment="1">
      <alignment horizontal="right" vertical="center" wrapText="1"/>
    </xf>
    <xf numFmtId="166" fontId="4" fillId="0" borderId="0" xfId="149" applyNumberFormat="1" applyFont="1" applyFill="1" applyBorder="1" applyAlignment="1">
      <alignment horizontal="center" vertical="center"/>
    </xf>
    <xf numFmtId="164" fontId="4" fillId="0" borderId="9" xfId="150" applyNumberFormat="1" applyFont="1" applyFill="1" applyBorder="1" applyAlignment="1">
      <alignment horizontal="center" vertical="center"/>
    </xf>
    <xf numFmtId="0" fontId="5" fillId="0" borderId="0" xfId="148" applyFont="1" applyBorder="1"/>
    <xf numFmtId="0" fontId="5" fillId="0" borderId="5" xfId="148" applyFont="1" applyBorder="1"/>
    <xf numFmtId="41" fontId="5" fillId="0" borderId="7" xfId="149" applyFont="1" applyFill="1" applyBorder="1" applyAlignment="1">
      <alignment vertical="center" wrapText="1"/>
    </xf>
    <xf numFmtId="41" fontId="5" fillId="0" borderId="0" xfId="149" applyFont="1" applyFill="1" applyBorder="1" applyAlignment="1">
      <alignment vertical="center" wrapText="1"/>
    </xf>
    <xf numFmtId="166" fontId="4" fillId="0" borderId="6" xfId="149" applyNumberFormat="1" applyFont="1" applyFill="1" applyBorder="1" applyAlignment="1">
      <alignment horizontal="center" vertical="center"/>
    </xf>
    <xf numFmtId="41" fontId="4" fillId="0" borderId="6" xfId="149" applyNumberFormat="1" applyFont="1" applyFill="1" applyBorder="1" applyAlignment="1">
      <alignment horizontal="center" vertical="center"/>
    </xf>
    <xf numFmtId="164" fontId="5" fillId="0" borderId="9" xfId="150" applyNumberFormat="1" applyFont="1" applyFill="1" applyBorder="1" applyAlignment="1">
      <alignment vertical="center" wrapText="1"/>
    </xf>
    <xf numFmtId="43" fontId="5" fillId="0" borderId="9" xfId="150" applyFont="1" applyFill="1" applyBorder="1" applyAlignment="1">
      <alignment vertical="center" wrapText="1"/>
    </xf>
    <xf numFmtId="0" fontId="5" fillId="0" borderId="9" xfId="148" applyFont="1" applyFill="1" applyBorder="1" applyAlignment="1">
      <alignment horizontal="center" vertical="center" wrapText="1"/>
    </xf>
    <xf numFmtId="166" fontId="4" fillId="0" borderId="9" xfId="149" applyNumberFormat="1" applyFont="1" applyFill="1" applyBorder="1" applyAlignment="1">
      <alignment horizontal="center" vertical="center"/>
    </xf>
    <xf numFmtId="41" fontId="4" fillId="0" borderId="9" xfId="149" applyNumberFormat="1" applyFont="1" applyFill="1" applyBorder="1" applyAlignment="1">
      <alignment horizontal="center" vertical="center"/>
    </xf>
    <xf numFmtId="41" fontId="5" fillId="0" borderId="7" xfId="149" applyFont="1" applyFill="1" applyBorder="1" applyAlignment="1">
      <alignment wrapText="1"/>
    </xf>
    <xf numFmtId="166" fontId="4" fillId="0" borderId="0" xfId="149" applyNumberFormat="1" applyFont="1" applyFill="1" applyBorder="1"/>
    <xf numFmtId="166" fontId="4" fillId="0" borderId="10" xfId="149" applyNumberFormat="1" applyFont="1" applyFill="1" applyBorder="1" applyAlignment="1">
      <alignment vertical="center"/>
    </xf>
    <xf numFmtId="164" fontId="4" fillId="0" borderId="6" xfId="150" applyNumberFormat="1" applyFont="1" applyFill="1" applyBorder="1" applyAlignment="1">
      <alignment horizontal="right" vertical="center"/>
    </xf>
    <xf numFmtId="165" fontId="4" fillId="0" borderId="2" xfId="148" quotePrefix="1" applyNumberFormat="1" applyFont="1" applyFill="1" applyBorder="1" applyAlignment="1">
      <alignment horizontal="center" vertical="center"/>
    </xf>
    <xf numFmtId="165" fontId="4" fillId="0" borderId="6" xfId="148" quotePrefix="1" applyNumberFormat="1" applyFont="1" applyFill="1" applyBorder="1" applyAlignment="1">
      <alignment horizontal="right" vertical="center"/>
    </xf>
    <xf numFmtId="0" fontId="4" fillId="0" borderId="5" xfId="148" quotePrefix="1" applyFont="1" applyFill="1" applyBorder="1" applyAlignment="1">
      <alignment horizontal="left" vertical="top"/>
    </xf>
    <xf numFmtId="164" fontId="4" fillId="0" borderId="3" xfId="150" applyNumberFormat="1" applyFont="1" applyFill="1" applyBorder="1" applyAlignment="1">
      <alignment horizontal="center" vertical="center"/>
    </xf>
    <xf numFmtId="164" fontId="4" fillId="0" borderId="0" xfId="150" applyNumberFormat="1" applyFont="1" applyFill="1" applyBorder="1" applyAlignment="1">
      <alignment horizontal="center" vertical="center"/>
    </xf>
    <xf numFmtId="164" fontId="4" fillId="0" borderId="0" xfId="150" applyNumberFormat="1" applyFont="1" applyFill="1" applyBorder="1" applyAlignment="1">
      <alignment vertical="center"/>
    </xf>
    <xf numFmtId="164" fontId="4" fillId="0" borderId="10" xfId="150" applyNumberFormat="1" applyFont="1" applyFill="1" applyBorder="1" applyAlignment="1">
      <alignment vertical="center"/>
    </xf>
    <xf numFmtId="0" fontId="6" fillId="0" borderId="15" xfId="148" applyFont="1" applyFill="1" applyBorder="1" applyAlignment="1">
      <alignment horizontal="center" vertical="center"/>
    </xf>
    <xf numFmtId="164" fontId="3" fillId="0" borderId="0" xfId="150" applyNumberFormat="1" applyFont="1" applyFill="1"/>
    <xf numFmtId="164" fontId="2" fillId="0" borderId="0" xfId="148" applyNumberFormat="1" applyAlignment="1">
      <alignment horizontal="right" vertical="center"/>
    </xf>
    <xf numFmtId="164" fontId="3" fillId="2" borderId="0" xfId="148" applyNumberFormat="1" applyFont="1" applyFill="1" applyAlignment="1">
      <alignment horizontal="right" vertical="center"/>
    </xf>
    <xf numFmtId="0" fontId="3" fillId="2" borderId="0" xfId="148" applyFont="1" applyFill="1" applyAlignment="1"/>
    <xf numFmtId="164" fontId="4" fillId="2" borderId="2" xfId="148" applyNumberFormat="1" applyFont="1" applyFill="1" applyBorder="1" applyAlignment="1">
      <alignment horizontal="right" vertical="center"/>
    </xf>
    <xf numFmtId="164" fontId="4" fillId="2" borderId="6" xfId="148" applyNumberFormat="1" applyFont="1" applyFill="1" applyBorder="1" applyAlignment="1">
      <alignment horizontal="right" vertical="center"/>
    </xf>
    <xf numFmtId="43" fontId="4" fillId="2" borderId="0" xfId="151" applyFont="1" applyFill="1" applyBorder="1" applyAlignment="1">
      <alignment horizontal="center" vertical="center"/>
    </xf>
    <xf numFmtId="164" fontId="4" fillId="2" borderId="6" xfId="151" applyNumberFormat="1" applyFont="1" applyFill="1" applyBorder="1" applyAlignment="1">
      <alignment horizontal="center" vertical="center"/>
    </xf>
    <xf numFmtId="43" fontId="4" fillId="2" borderId="0" xfId="151" applyNumberFormat="1" applyFont="1" applyFill="1" applyBorder="1" applyAlignment="1">
      <alignment horizontal="center" vertical="center"/>
    </xf>
    <xf numFmtId="164" fontId="4" fillId="2" borderId="9" xfId="148" applyNumberFormat="1" applyFont="1" applyFill="1" applyBorder="1" applyAlignment="1">
      <alignment horizontal="right" vertical="center"/>
    </xf>
    <xf numFmtId="164" fontId="4" fillId="2" borderId="6" xfId="151" applyNumberFormat="1" applyFont="1" applyFill="1" applyBorder="1" applyAlignment="1">
      <alignment horizontal="right" vertical="center"/>
    </xf>
    <xf numFmtId="43" fontId="5" fillId="0" borderId="6" xfId="151" applyFont="1" applyBorder="1"/>
    <xf numFmtId="164" fontId="5" fillId="0" borderId="6" xfId="151" applyNumberFormat="1" applyFont="1" applyBorder="1"/>
    <xf numFmtId="164" fontId="4" fillId="2" borderId="6" xfId="150" applyNumberFormat="1" applyFont="1" applyFill="1" applyBorder="1" applyAlignment="1">
      <alignment horizontal="right" vertical="center"/>
    </xf>
    <xf numFmtId="164" fontId="2" fillId="0" borderId="6" xfId="148" applyNumberFormat="1" applyBorder="1" applyAlignment="1">
      <alignment horizontal="right" vertical="center"/>
    </xf>
    <xf numFmtId="0" fontId="2" fillId="0" borderId="6" xfId="148" applyBorder="1" applyAlignment="1">
      <alignment horizontal="right" vertical="center"/>
    </xf>
    <xf numFmtId="0" fontId="2" fillId="0" borderId="5" xfId="148" applyBorder="1"/>
    <xf numFmtId="164" fontId="5" fillId="0" borderId="6" xfId="148" applyNumberFormat="1" applyFont="1" applyBorder="1" applyAlignment="1">
      <alignment horizontal="right" vertical="center"/>
    </xf>
    <xf numFmtId="43" fontId="4" fillId="2" borderId="6" xfId="151" applyFont="1" applyFill="1" applyBorder="1" applyAlignment="1">
      <alignment horizontal="center" vertical="center"/>
    </xf>
    <xf numFmtId="164" fontId="4" fillId="2" borderId="9" xfId="150" applyNumberFormat="1" applyFont="1" applyFill="1" applyBorder="1" applyAlignment="1">
      <alignment horizontal="right" vertical="center"/>
    </xf>
    <xf numFmtId="43" fontId="4" fillId="2" borderId="10" xfId="151" applyFont="1" applyFill="1" applyBorder="1" applyAlignment="1">
      <alignment horizontal="center" vertical="center"/>
    </xf>
    <xf numFmtId="164" fontId="4" fillId="2" borderId="9" xfId="151" applyNumberFormat="1" applyFont="1" applyFill="1" applyBorder="1" applyAlignment="1">
      <alignment horizontal="center" vertical="center"/>
    </xf>
    <xf numFmtId="164" fontId="4" fillId="2" borderId="2" xfId="150" applyNumberFormat="1" applyFont="1" applyFill="1" applyBorder="1" applyAlignment="1">
      <alignment horizontal="right" vertical="center"/>
    </xf>
    <xf numFmtId="164" fontId="4" fillId="2" borderId="0" xfId="151" applyNumberFormat="1" applyFont="1" applyFill="1" applyBorder="1" applyAlignment="1">
      <alignment horizontal="center" vertical="center"/>
    </xf>
    <xf numFmtId="164" fontId="5" fillId="0" borderId="5" xfId="148" applyNumberFormat="1" applyFont="1" applyBorder="1" applyAlignment="1">
      <alignment horizontal="right" vertical="center"/>
    </xf>
    <xf numFmtId="164" fontId="4" fillId="2" borderId="2" xfId="151" applyNumberFormat="1" applyFont="1" applyFill="1" applyBorder="1" applyAlignment="1">
      <alignment horizontal="center" vertical="center"/>
    </xf>
    <xf numFmtId="0" fontId="2" fillId="0" borderId="1" xfId="148" applyBorder="1"/>
    <xf numFmtId="0" fontId="2" fillId="0" borderId="3" xfId="148" applyBorder="1"/>
    <xf numFmtId="0" fontId="2" fillId="0" borderId="4" xfId="148" applyBorder="1"/>
    <xf numFmtId="164" fontId="4" fillId="2" borderId="0" xfId="150" applyNumberFormat="1" applyFont="1" applyFill="1" applyBorder="1" applyAlignment="1">
      <alignment horizontal="right" vertical="center"/>
    </xf>
    <xf numFmtId="0" fontId="4" fillId="2" borderId="0" xfId="148" applyFont="1" applyFill="1" applyBorder="1" applyAlignment="1">
      <alignment horizontal="left" wrapText="1"/>
    </xf>
    <xf numFmtId="164" fontId="4" fillId="2" borderId="5" xfId="151" applyNumberFormat="1" applyFont="1" applyFill="1" applyBorder="1" applyAlignment="1">
      <alignment horizontal="center" vertical="center"/>
    </xf>
    <xf numFmtId="0" fontId="4" fillId="2" borderId="5" xfId="148" applyFont="1" applyFill="1" applyBorder="1" applyAlignment="1">
      <alignment wrapText="1"/>
    </xf>
    <xf numFmtId="43" fontId="4" fillId="2" borderId="9" xfId="151" applyFont="1" applyFill="1" applyBorder="1" applyAlignment="1">
      <alignment horizontal="center" vertical="center"/>
    </xf>
    <xf numFmtId="0" fontId="5" fillId="0" borderId="6" xfId="148" applyFont="1" applyBorder="1" applyAlignment="1">
      <alignment horizontal="right" vertical="center"/>
    </xf>
    <xf numFmtId="164" fontId="5" fillId="2" borderId="6" xfId="150" applyNumberFormat="1" applyFont="1" applyFill="1" applyBorder="1" applyAlignment="1">
      <alignment horizontal="right" vertical="center" wrapText="1"/>
    </xf>
    <xf numFmtId="41" fontId="2" fillId="0" borderId="6" xfId="148" applyNumberFormat="1" applyBorder="1" applyAlignment="1">
      <alignment horizontal="right" vertical="center"/>
    </xf>
    <xf numFmtId="43" fontId="4" fillId="2" borderId="6" xfId="151" applyNumberFormat="1" applyFont="1" applyFill="1" applyBorder="1" applyAlignment="1">
      <alignment horizontal="center" vertical="center"/>
    </xf>
    <xf numFmtId="43" fontId="4" fillId="2" borderId="10" xfId="151" applyNumberFormat="1" applyFont="1" applyFill="1" applyBorder="1" applyAlignment="1">
      <alignment horizontal="center" vertical="center"/>
    </xf>
    <xf numFmtId="0" fontId="2" fillId="0" borderId="0" xfId="148" applyBorder="1"/>
    <xf numFmtId="41" fontId="5" fillId="0" borderId="6" xfId="148" applyNumberFormat="1" applyFont="1" applyBorder="1" applyAlignment="1">
      <alignment horizontal="right" vertical="center"/>
    </xf>
    <xf numFmtId="164" fontId="5" fillId="2" borderId="2" xfId="150" applyNumberFormat="1" applyFont="1" applyFill="1" applyBorder="1" applyAlignment="1">
      <alignment horizontal="right" vertical="center" wrapText="1"/>
    </xf>
    <xf numFmtId="0" fontId="4" fillId="2" borderId="1" xfId="148" applyFont="1" applyFill="1" applyBorder="1" applyAlignment="1">
      <alignment vertical="center" wrapText="1"/>
    </xf>
    <xf numFmtId="43" fontId="4" fillId="2" borderId="2" xfId="151" applyNumberFormat="1" applyFont="1" applyFill="1" applyBorder="1" applyAlignment="1">
      <alignment horizontal="center" vertical="center"/>
    </xf>
    <xf numFmtId="0" fontId="4" fillId="2" borderId="6" xfId="148" quotePrefix="1" applyFont="1" applyFill="1" applyBorder="1" applyAlignment="1">
      <alignment horizontal="center" vertical="center" wrapText="1"/>
    </xf>
    <xf numFmtId="0" fontId="4" fillId="2" borderId="5" xfId="148" applyFont="1" applyFill="1" applyBorder="1" applyAlignment="1">
      <alignment horizontal="left" vertical="center" wrapText="1"/>
    </xf>
    <xf numFmtId="164" fontId="2" fillId="0" borderId="5" xfId="148" applyNumberFormat="1" applyBorder="1" applyAlignment="1">
      <alignment horizontal="right" vertical="center"/>
    </xf>
    <xf numFmtId="164" fontId="4" fillId="2" borderId="10" xfId="150" applyNumberFormat="1" applyFont="1" applyFill="1" applyBorder="1" applyAlignment="1">
      <alignment horizontal="right" vertical="center"/>
    </xf>
    <xf numFmtId="0" fontId="4" fillId="2" borderId="8" xfId="148" applyFont="1" applyFill="1" applyBorder="1" applyAlignment="1">
      <alignment vertical="top" wrapText="1"/>
    </xf>
    <xf numFmtId="0" fontId="4" fillId="2" borderId="11" xfId="148" applyFont="1" applyFill="1" applyBorder="1" applyAlignment="1">
      <alignment horizontal="left" vertical="top"/>
    </xf>
    <xf numFmtId="0" fontId="4" fillId="2" borderId="8" xfId="148" quotePrefix="1" applyFont="1" applyFill="1" applyBorder="1" applyAlignment="1">
      <alignment vertical="center"/>
    </xf>
    <xf numFmtId="164" fontId="4" fillId="2" borderId="3" xfId="150" applyNumberFormat="1" applyFont="1" applyFill="1" applyBorder="1" applyAlignment="1">
      <alignment horizontal="right" vertical="center"/>
    </xf>
    <xf numFmtId="43" fontId="4" fillId="2" borderId="3" xfId="151" applyFont="1" applyFill="1" applyBorder="1" applyAlignment="1">
      <alignment horizontal="center" vertical="center"/>
    </xf>
    <xf numFmtId="0" fontId="4" fillId="2" borderId="0" xfId="148" applyFont="1" applyFill="1" applyBorder="1" applyAlignment="1">
      <alignment horizontal="left" vertical="top" wrapText="1"/>
    </xf>
    <xf numFmtId="164" fontId="2" fillId="0" borderId="6" xfId="148" applyNumberFormat="1" applyFont="1" applyBorder="1" applyAlignment="1">
      <alignment horizontal="right" vertical="center"/>
    </xf>
    <xf numFmtId="0" fontId="4" fillId="2" borderId="3" xfId="148" applyFont="1" applyFill="1" applyBorder="1" applyAlignment="1">
      <alignment horizontal="left" vertical="center"/>
    </xf>
    <xf numFmtId="0" fontId="4" fillId="2" borderId="3" xfId="148" quotePrefix="1" applyFont="1" applyFill="1" applyBorder="1" applyAlignment="1">
      <alignment horizontal="center" vertical="center" wrapText="1"/>
    </xf>
    <xf numFmtId="0" fontId="4" fillId="2" borderId="5" xfId="148" quotePrefix="1" applyFont="1" applyFill="1" applyBorder="1" applyAlignment="1">
      <alignment horizontal="left" vertical="top"/>
    </xf>
    <xf numFmtId="164" fontId="6" fillId="2" borderId="12" xfId="150" applyNumberFormat="1" applyFont="1" applyFill="1" applyBorder="1" applyAlignment="1">
      <alignment horizontal="right" vertical="center"/>
    </xf>
    <xf numFmtId="0" fontId="4" fillId="2" borderId="9" xfId="148" applyFont="1" applyFill="1" applyBorder="1" applyAlignment="1">
      <alignment horizontal="center" vertical="center"/>
    </xf>
    <xf numFmtId="0" fontId="4" fillId="2" borderId="6" xfId="148" applyFont="1" applyFill="1" applyBorder="1" applyAlignment="1">
      <alignment horizontal="center" vertical="center"/>
    </xf>
    <xf numFmtId="0" fontId="4" fillId="2" borderId="0" xfId="148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/>
    </xf>
    <xf numFmtId="43" fontId="4" fillId="2" borderId="5" xfId="151" applyFont="1" applyFill="1" applyBorder="1" applyAlignment="1">
      <alignment horizontal="center" vertical="center"/>
    </xf>
    <xf numFmtId="0" fontId="4" fillId="2" borderId="8" xfId="148" applyFont="1" applyFill="1" applyBorder="1" applyAlignment="1">
      <alignment horizontal="left" vertical="center" wrapText="1"/>
    </xf>
    <xf numFmtId="166" fontId="4" fillId="2" borderId="10" xfId="149" applyNumberFormat="1" applyFont="1" applyFill="1" applyBorder="1" applyAlignment="1">
      <alignment vertical="top"/>
    </xf>
    <xf numFmtId="0" fontId="3" fillId="0" borderId="0" xfId="1" applyFont="1" applyFill="1" applyAlignment="1">
      <alignment horizontal="center"/>
    </xf>
    <xf numFmtId="0" fontId="6" fillId="0" borderId="12" xfId="148" applyFont="1" applyFill="1" applyBorder="1" applyAlignment="1">
      <alignment horizontal="center" vertical="center" wrapText="1"/>
    </xf>
    <xf numFmtId="0" fontId="4" fillId="0" borderId="9" xfId="148" applyFont="1" applyFill="1" applyBorder="1" applyAlignment="1">
      <alignment horizontal="center" vertical="top"/>
    </xf>
    <xf numFmtId="0" fontId="4" fillId="0" borderId="6" xfId="148" applyFont="1" applyFill="1" applyBorder="1" applyAlignment="1">
      <alignment horizontal="center" vertical="top"/>
    </xf>
    <xf numFmtId="0" fontId="4" fillId="0" borderId="2" xfId="148" applyFont="1" applyFill="1" applyBorder="1" applyAlignment="1">
      <alignment horizontal="center" vertical="top"/>
    </xf>
    <xf numFmtId="0" fontId="4" fillId="0" borderId="10" xfId="148" applyFont="1" applyFill="1" applyBorder="1" applyAlignment="1">
      <alignment horizontal="center" vertical="top"/>
    </xf>
    <xf numFmtId="0" fontId="4" fillId="0" borderId="0" xfId="148" applyFont="1" applyFill="1" applyBorder="1" applyAlignment="1">
      <alignment horizontal="center" vertical="top"/>
    </xf>
    <xf numFmtId="0" fontId="4" fillId="0" borderId="3" xfId="148" applyFont="1" applyFill="1" applyBorder="1" applyAlignment="1">
      <alignment horizontal="center" vertical="top"/>
    </xf>
    <xf numFmtId="0" fontId="6" fillId="0" borderId="12" xfId="148" applyFont="1" applyFill="1" applyBorder="1" applyAlignment="1">
      <alignment horizontal="center" vertical="center"/>
    </xf>
    <xf numFmtId="0" fontId="4" fillId="0" borderId="6" xfId="148" applyFont="1" applyFill="1" applyBorder="1" applyAlignment="1">
      <alignment horizontal="center" vertical="center"/>
    </xf>
    <xf numFmtId="0" fontId="4" fillId="0" borderId="2" xfId="148" applyFont="1" applyFill="1" applyBorder="1" applyAlignment="1">
      <alignment horizontal="center" vertical="center"/>
    </xf>
    <xf numFmtId="165" fontId="4" fillId="0" borderId="6" xfId="148" applyNumberFormat="1" applyFont="1" applyFill="1" applyBorder="1" applyAlignment="1">
      <alignment horizontal="center" vertical="center"/>
    </xf>
    <xf numFmtId="165" fontId="4" fillId="0" borderId="2" xfId="148" applyNumberFormat="1" applyFont="1" applyFill="1" applyBorder="1" applyAlignment="1">
      <alignment horizontal="center" vertical="center"/>
    </xf>
    <xf numFmtId="0" fontId="4" fillId="0" borderId="0" xfId="148" applyFont="1" applyFill="1" applyBorder="1" applyAlignment="1">
      <alignment horizontal="center" vertical="center"/>
    </xf>
    <xf numFmtId="0" fontId="4" fillId="0" borderId="3" xfId="148" applyFont="1" applyFill="1" applyBorder="1" applyAlignment="1">
      <alignment horizontal="center" vertical="center"/>
    </xf>
    <xf numFmtId="0" fontId="4" fillId="0" borderId="10" xfId="148" applyFont="1" applyFill="1" applyBorder="1" applyAlignment="1">
      <alignment horizontal="center" vertical="center"/>
    </xf>
    <xf numFmtId="165" fontId="4" fillId="0" borderId="3" xfId="148" applyNumberFormat="1" applyFont="1" applyFill="1" applyBorder="1" applyAlignment="1">
      <alignment horizontal="center" vertical="center"/>
    </xf>
    <xf numFmtId="0" fontId="4" fillId="0" borderId="10" xfId="148" quotePrefix="1" applyFont="1" applyFill="1" applyBorder="1" applyAlignment="1">
      <alignment horizontal="center" vertical="center" wrapText="1"/>
    </xf>
    <xf numFmtId="0" fontId="4" fillId="0" borderId="0" xfId="148" quotePrefix="1" applyFont="1" applyFill="1" applyBorder="1" applyAlignment="1">
      <alignment horizontal="center" vertical="center" wrapText="1"/>
    </xf>
    <xf numFmtId="0" fontId="4" fillId="0" borderId="6" xfId="148" quotePrefix="1" applyFont="1" applyFill="1" applyBorder="1" applyAlignment="1">
      <alignment horizontal="center" vertical="center"/>
    </xf>
    <xf numFmtId="0" fontId="4" fillId="0" borderId="2" xfId="148" quotePrefix="1" applyFont="1" applyFill="1" applyBorder="1" applyAlignment="1">
      <alignment horizontal="center" vertical="center"/>
    </xf>
    <xf numFmtId="0" fontId="3" fillId="0" borderId="0" xfId="148" applyFont="1" applyFill="1" applyAlignment="1">
      <alignment horizontal="center"/>
    </xf>
    <xf numFmtId="0" fontId="4" fillId="0" borderId="0" xfId="148" applyFont="1" applyFill="1" applyBorder="1" applyAlignment="1">
      <alignment horizontal="center" vertical="center" wrapText="1"/>
    </xf>
    <xf numFmtId="0" fontId="4" fillId="2" borderId="6" xfId="148" quotePrefix="1" applyFont="1" applyFill="1" applyBorder="1" applyAlignment="1">
      <alignment horizontal="center" vertical="center"/>
    </xf>
    <xf numFmtId="0" fontId="4" fillId="2" borderId="2" xfId="148" quotePrefix="1" applyFont="1" applyFill="1" applyBorder="1" applyAlignment="1">
      <alignment horizontal="center" vertical="center"/>
    </xf>
    <xf numFmtId="0" fontId="3" fillId="0" borderId="0" xfId="1" applyFont="1" applyFill="1" applyAlignment="1">
      <alignment vertical="top"/>
    </xf>
    <xf numFmtId="0" fontId="5" fillId="0" borderId="0" xfId="148" applyFont="1" applyFill="1" applyBorder="1" applyAlignment="1">
      <alignment vertical="center"/>
    </xf>
    <xf numFmtId="0" fontId="5" fillId="0" borderId="0" xfId="148" applyFont="1" applyFill="1" applyBorder="1" applyAlignment="1">
      <alignment vertical="center" wrapText="1"/>
    </xf>
    <xf numFmtId="0" fontId="5" fillId="0" borderId="7" xfId="148" applyFont="1" applyFill="1" applyBorder="1"/>
    <xf numFmtId="0" fontId="5" fillId="0" borderId="5" xfId="148" applyFont="1" applyFill="1" applyBorder="1"/>
    <xf numFmtId="0" fontId="5" fillId="0" borderId="0" xfId="148" applyFont="1" applyFill="1" applyBorder="1"/>
    <xf numFmtId="0" fontId="5" fillId="0" borderId="1" xfId="148" applyFont="1" applyFill="1" applyBorder="1"/>
    <xf numFmtId="0" fontId="5" fillId="0" borderId="0" xfId="148" applyFont="1" applyFill="1"/>
    <xf numFmtId="0" fontId="5" fillId="0" borderId="4" xfId="148" applyFont="1" applyFill="1" applyBorder="1"/>
    <xf numFmtId="0" fontId="5" fillId="0" borderId="2" xfId="148" applyFont="1" applyFill="1" applyBorder="1"/>
    <xf numFmtId="0" fontId="5" fillId="0" borderId="10" xfId="148" applyFont="1" applyFill="1" applyBorder="1"/>
    <xf numFmtId="0" fontId="5" fillId="0" borderId="11" xfId="148" applyFont="1" applyFill="1" applyBorder="1"/>
    <xf numFmtId="0" fontId="5" fillId="0" borderId="8" xfId="148" applyFont="1" applyFill="1" applyBorder="1"/>
    <xf numFmtId="43" fontId="5" fillId="0" borderId="11" xfId="150" applyFont="1" applyFill="1" applyBorder="1"/>
    <xf numFmtId="0" fontId="5" fillId="0" borderId="9" xfId="148" applyFont="1" applyFill="1" applyBorder="1"/>
    <xf numFmtId="0" fontId="5" fillId="0" borderId="6" xfId="148" applyFont="1" applyFill="1" applyBorder="1"/>
    <xf numFmtId="0" fontId="5" fillId="0" borderId="7" xfId="148" applyFont="1" applyFill="1" applyBorder="1" applyAlignment="1">
      <alignment vertical="center"/>
    </xf>
    <xf numFmtId="0" fontId="5" fillId="0" borderId="5" xfId="148" applyFont="1" applyFill="1" applyBorder="1" applyAlignment="1">
      <alignment vertical="center"/>
    </xf>
    <xf numFmtId="2" fontId="5" fillId="0" borderId="6" xfId="148" applyNumberFormat="1" applyFont="1" applyFill="1" applyBorder="1"/>
    <xf numFmtId="0" fontId="5" fillId="0" borderId="3" xfId="148" applyFont="1" applyFill="1" applyBorder="1"/>
    <xf numFmtId="164" fontId="5" fillId="0" borderId="2" xfId="150" applyNumberFormat="1" applyFont="1" applyFill="1" applyBorder="1"/>
    <xf numFmtId="41" fontId="4" fillId="0" borderId="10" xfId="149" applyFont="1" applyFill="1" applyBorder="1"/>
    <xf numFmtId="41" fontId="4" fillId="0" borderId="6" xfId="149" applyFont="1" applyFill="1" applyBorder="1" applyAlignment="1">
      <alignment horizontal="center" vertical="center"/>
    </xf>
    <xf numFmtId="41" fontId="4" fillId="0" borderId="0" xfId="149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4" fillId="0" borderId="0" xfId="148" applyFont="1" applyFill="1" applyBorder="1" applyAlignment="1">
      <alignment horizontal="center" vertical="center"/>
    </xf>
    <xf numFmtId="0" fontId="4" fillId="0" borderId="6" xfId="148" applyFont="1" applyFill="1" applyBorder="1" applyAlignment="1">
      <alignment horizontal="center" vertical="center"/>
    </xf>
    <xf numFmtId="165" fontId="4" fillId="0" borderId="6" xfId="148" applyNumberFormat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 wrapText="1"/>
    </xf>
    <xf numFmtId="0" fontId="3" fillId="0" borderId="0" xfId="148" applyFont="1" applyFill="1" applyAlignment="1">
      <alignment horizontal="center"/>
    </xf>
    <xf numFmtId="0" fontId="6" fillId="0" borderId="13" xfId="1" applyFont="1" applyFill="1" applyBorder="1" applyAlignment="1">
      <alignment horizontal="center" vertical="center" wrapText="1"/>
    </xf>
    <xf numFmtId="0" fontId="4" fillId="0" borderId="0" xfId="148" applyFont="1" applyFill="1" applyBorder="1" applyAlignment="1">
      <alignment horizontal="center" vertical="top"/>
    </xf>
    <xf numFmtId="0" fontId="4" fillId="0" borderId="3" xfId="148" applyFont="1" applyFill="1" applyBorder="1" applyAlignment="1">
      <alignment horizontal="center" vertical="top"/>
    </xf>
    <xf numFmtId="0" fontId="4" fillId="0" borderId="9" xfId="148" applyFont="1" applyFill="1" applyBorder="1" applyAlignment="1">
      <alignment horizontal="center" vertical="top"/>
    </xf>
    <xf numFmtId="0" fontId="4" fillId="0" borderId="6" xfId="148" applyFont="1" applyFill="1" applyBorder="1" applyAlignment="1">
      <alignment horizontal="center" vertical="top"/>
    </xf>
    <xf numFmtId="0" fontId="4" fillId="0" borderId="2" xfId="148" applyFont="1" applyFill="1" applyBorder="1" applyAlignment="1">
      <alignment horizontal="center" vertical="top"/>
    </xf>
    <xf numFmtId="0" fontId="3" fillId="0" borderId="0" xfId="1" applyFont="1" applyFill="1" applyAlignment="1">
      <alignment horizontal="center"/>
    </xf>
    <xf numFmtId="0" fontId="4" fillId="2" borderId="7" xfId="148" applyFont="1" applyFill="1" applyBorder="1" applyAlignment="1">
      <alignment horizontal="center" vertical="center"/>
    </xf>
    <xf numFmtId="165" fontId="4" fillId="2" borderId="6" xfId="148" applyNumberFormat="1" applyFont="1" applyFill="1" applyBorder="1" applyAlignment="1">
      <alignment horizontal="center" vertical="center"/>
    </xf>
    <xf numFmtId="0" fontId="4" fillId="2" borderId="6" xfId="148" applyFont="1" applyFill="1" applyBorder="1" applyAlignment="1">
      <alignment horizontal="center" vertical="center"/>
    </xf>
    <xf numFmtId="0" fontId="4" fillId="2" borderId="0" xfId="148" applyFont="1" applyFill="1" applyBorder="1" applyAlignment="1">
      <alignment horizontal="center" vertical="center"/>
    </xf>
    <xf numFmtId="0" fontId="4" fillId="2" borderId="6" xfId="148" applyFont="1" applyFill="1" applyBorder="1" applyAlignment="1">
      <alignment horizontal="center" vertical="center" wrapText="1"/>
    </xf>
    <xf numFmtId="0" fontId="4" fillId="2" borderId="9" xfId="148" applyFont="1" applyFill="1" applyBorder="1" applyAlignment="1">
      <alignment horizontal="center" vertical="top"/>
    </xf>
    <xf numFmtId="0" fontId="4" fillId="2" borderId="6" xfId="148" applyFont="1" applyFill="1" applyBorder="1" applyAlignment="1">
      <alignment horizontal="center" vertical="top"/>
    </xf>
    <xf numFmtId="0" fontId="4" fillId="2" borderId="2" xfId="148" applyFont="1" applyFill="1" applyBorder="1" applyAlignment="1">
      <alignment horizontal="center" vertical="top"/>
    </xf>
    <xf numFmtId="0" fontId="4" fillId="2" borderId="0" xfId="148" quotePrefix="1" applyFont="1" applyFill="1" applyBorder="1" applyAlignment="1">
      <alignment horizontal="center" vertical="center" wrapText="1"/>
    </xf>
    <xf numFmtId="0" fontId="4" fillId="2" borderId="7" xfId="148" quotePrefix="1" applyFont="1" applyFill="1" applyBorder="1" applyAlignment="1">
      <alignment horizontal="center" vertical="center"/>
    </xf>
    <xf numFmtId="0" fontId="4" fillId="2" borderId="6" xfId="148" quotePrefix="1" applyFont="1" applyFill="1" applyBorder="1" applyAlignment="1">
      <alignment horizontal="center" vertical="center"/>
    </xf>
    <xf numFmtId="0" fontId="4" fillId="2" borderId="10" xfId="148" applyFont="1" applyFill="1" applyBorder="1" applyAlignment="1">
      <alignment horizontal="center" vertical="top"/>
    </xf>
    <xf numFmtId="0" fontId="4" fillId="2" borderId="0" xfId="148" applyFont="1" applyFill="1" applyBorder="1" applyAlignment="1">
      <alignment horizontal="center" vertical="top"/>
    </xf>
    <xf numFmtId="0" fontId="4" fillId="2" borderId="3" xfId="148" applyFont="1" applyFill="1" applyBorder="1" applyAlignment="1">
      <alignment horizontal="center" vertical="top"/>
    </xf>
    <xf numFmtId="0" fontId="4" fillId="2" borderId="0" xfId="148" applyFont="1" applyFill="1" applyBorder="1" applyAlignment="1">
      <alignment horizontal="center" vertical="center" wrapText="1"/>
    </xf>
    <xf numFmtId="0" fontId="6" fillId="2" borderId="12" xfId="148" applyFont="1" applyFill="1" applyBorder="1" applyAlignment="1">
      <alignment horizontal="center" vertical="center" wrapText="1"/>
    </xf>
    <xf numFmtId="0" fontId="4" fillId="0" borderId="0" xfId="148" applyFont="1" applyFill="1" applyBorder="1" applyAlignment="1">
      <alignment horizontal="center" vertical="center" wrapText="1"/>
    </xf>
    <xf numFmtId="42" fontId="6" fillId="0" borderId="12" xfId="1" applyNumberFormat="1" applyFont="1" applyFill="1" applyBorder="1" applyAlignment="1">
      <alignment horizontal="center" vertical="center"/>
    </xf>
    <xf numFmtId="42" fontId="6" fillId="0" borderId="12" xfId="153" applyFont="1" applyFill="1" applyBorder="1" applyAlignment="1">
      <alignment horizontal="center" vertical="center"/>
    </xf>
    <xf numFmtId="0" fontId="6" fillId="0" borderId="12" xfId="148" applyFont="1" applyFill="1" applyBorder="1" applyAlignment="1">
      <alignment horizontal="center" vertical="top" wrapText="1"/>
    </xf>
    <xf numFmtId="0" fontId="6" fillId="0" borderId="12" xfId="148" applyFont="1" applyFill="1" applyBorder="1" applyAlignment="1">
      <alignment horizontal="center" vertical="top"/>
    </xf>
    <xf numFmtId="165" fontId="4" fillId="0" borderId="0" xfId="148" quotePrefix="1" applyNumberFormat="1" applyFont="1" applyFill="1" applyBorder="1" applyAlignment="1">
      <alignment horizontal="center" vertical="top"/>
    </xf>
    <xf numFmtId="165" fontId="4" fillId="0" borderId="3" xfId="148" quotePrefix="1" applyNumberFormat="1" applyFont="1" applyFill="1" applyBorder="1" applyAlignment="1">
      <alignment horizontal="center" vertical="top"/>
    </xf>
    <xf numFmtId="0" fontId="4" fillId="0" borderId="9" xfId="148" applyFont="1" applyBorder="1" applyAlignment="1">
      <alignment vertical="top"/>
    </xf>
    <xf numFmtId="0" fontId="4" fillId="0" borderId="6" xfId="148" applyFont="1" applyBorder="1" applyAlignment="1">
      <alignment vertical="top"/>
    </xf>
    <xf numFmtId="0" fontId="4" fillId="0" borderId="0" xfId="148" quotePrefix="1" applyFont="1" applyFill="1" applyBorder="1" applyAlignment="1">
      <alignment horizontal="right" vertical="top"/>
    </xf>
    <xf numFmtId="0" fontId="4" fillId="0" borderId="3" xfId="148" quotePrefix="1" applyFont="1" applyFill="1" applyBorder="1" applyAlignment="1">
      <alignment horizontal="right" vertical="top"/>
    </xf>
    <xf numFmtId="0" fontId="4" fillId="0" borderId="10" xfId="148" applyFont="1" applyBorder="1" applyAlignment="1">
      <alignment vertical="top"/>
    </xf>
    <xf numFmtId="0" fontId="4" fillId="0" borderId="2" xfId="148" quotePrefix="1" applyFont="1" applyFill="1" applyBorder="1" applyAlignment="1">
      <alignment horizontal="right" vertical="top"/>
    </xf>
    <xf numFmtId="165" fontId="4" fillId="0" borderId="0" xfId="148" quotePrefix="1" applyNumberFormat="1" applyFont="1" applyFill="1" applyBorder="1" applyAlignment="1">
      <alignment horizontal="right" vertical="top"/>
    </xf>
    <xf numFmtId="0" fontId="4" fillId="0" borderId="6" xfId="148" quotePrefix="1" applyFont="1" applyFill="1" applyBorder="1" applyAlignment="1">
      <alignment horizontal="right" vertical="top"/>
    </xf>
    <xf numFmtId="0" fontId="4" fillId="0" borderId="0" xfId="148" applyFont="1" applyBorder="1" applyAlignment="1">
      <alignment horizontal="right" vertical="top"/>
    </xf>
    <xf numFmtId="0" fontId="4" fillId="0" borderId="0" xfId="148" applyFont="1" applyFill="1" applyBorder="1" applyAlignment="1">
      <alignment horizontal="right" vertical="top"/>
    </xf>
    <xf numFmtId="0" fontId="4" fillId="0" borderId="3" xfId="148" quotePrefix="1" applyFont="1" applyFill="1" applyBorder="1" applyAlignment="1">
      <alignment horizontal="center" vertical="top"/>
    </xf>
    <xf numFmtId="0" fontId="4" fillId="0" borderId="0" xfId="148" quotePrefix="1" applyFont="1" applyFill="1" applyBorder="1" applyAlignment="1">
      <alignment horizontal="center" vertical="top"/>
    </xf>
    <xf numFmtId="0" fontId="2" fillId="0" borderId="0" xfId="148" applyAlignment="1">
      <alignment vertical="top"/>
    </xf>
    <xf numFmtId="0" fontId="4" fillId="0" borderId="10" xfId="148" applyFont="1" applyFill="1" applyBorder="1" applyAlignment="1">
      <alignment horizontal="right" vertical="top"/>
    </xf>
    <xf numFmtId="0" fontId="4" fillId="0" borderId="3" xfId="148" applyFont="1" applyFill="1" applyBorder="1" applyAlignment="1">
      <alignment horizontal="right" vertical="top"/>
    </xf>
    <xf numFmtId="0" fontId="4" fillId="0" borderId="6" xfId="148" applyFont="1" applyFill="1" applyBorder="1" applyAlignment="1">
      <alignment horizontal="right" vertical="top"/>
    </xf>
    <xf numFmtId="0" fontId="4" fillId="0" borderId="9" xfId="148" applyFont="1" applyFill="1" applyBorder="1" applyAlignment="1">
      <alignment horizontal="right" vertical="top"/>
    </xf>
    <xf numFmtId="0" fontId="4" fillId="0" borderId="2" xfId="148" applyFont="1" applyFill="1" applyBorder="1" applyAlignment="1">
      <alignment horizontal="right" vertical="top"/>
    </xf>
    <xf numFmtId="0" fontId="4" fillId="0" borderId="11" xfId="148" applyFont="1" applyBorder="1" applyAlignment="1">
      <alignment vertical="top"/>
    </xf>
    <xf numFmtId="0" fontId="4" fillId="0" borderId="7" xfId="148" applyFont="1" applyBorder="1" applyAlignment="1">
      <alignment vertical="top"/>
    </xf>
    <xf numFmtId="165" fontId="4" fillId="0" borderId="6" xfId="148" applyNumberFormat="1" applyFont="1" applyFill="1" applyBorder="1" applyAlignment="1">
      <alignment horizontal="left" vertical="top"/>
    </xf>
    <xf numFmtId="165" fontId="4" fillId="0" borderId="2" xfId="148" applyNumberFormat="1" applyFont="1" applyFill="1" applyBorder="1" applyAlignment="1">
      <alignment horizontal="left" vertical="top"/>
    </xf>
    <xf numFmtId="0" fontId="4" fillId="0" borderId="6" xfId="148" applyFont="1" applyFill="1" applyBorder="1" applyAlignment="1">
      <alignment horizontal="left" vertical="top"/>
    </xf>
    <xf numFmtId="0" fontId="4" fillId="0" borderId="2" xfId="148" applyFont="1" applyFill="1" applyBorder="1" applyAlignment="1">
      <alignment horizontal="left" vertical="top"/>
    </xf>
    <xf numFmtId="0" fontId="4" fillId="0" borderId="6" xfId="148" applyFont="1" applyFill="1" applyBorder="1" applyAlignment="1">
      <alignment horizontal="left" vertical="top" wrapText="1"/>
    </xf>
    <xf numFmtId="0" fontId="4" fillId="0" borderId="5" xfId="148" applyFont="1" applyFill="1" applyBorder="1" applyAlignment="1">
      <alignment horizontal="left" vertical="top"/>
    </xf>
    <xf numFmtId="0" fontId="2" fillId="0" borderId="0" xfId="148" applyAlignment="1">
      <alignment vertical="top" wrapText="1"/>
    </xf>
    <xf numFmtId="0" fontId="3" fillId="0" borderId="0" xfId="1" applyFont="1" applyFill="1" applyAlignment="1">
      <alignment horizontal="right" vertical="top"/>
    </xf>
    <xf numFmtId="0" fontId="6" fillId="0" borderId="12" xfId="148" applyFont="1" applyFill="1" applyBorder="1" applyAlignment="1">
      <alignment horizontal="right" vertical="top" wrapText="1"/>
    </xf>
    <xf numFmtId="0" fontId="6" fillId="0" borderId="12" xfId="148" applyFont="1" applyFill="1" applyBorder="1" applyAlignment="1">
      <alignment horizontal="right" vertical="top"/>
    </xf>
    <xf numFmtId="165" fontId="4" fillId="0" borderId="0" xfId="148" applyNumberFormat="1" applyFont="1" applyFill="1" applyBorder="1" applyAlignment="1">
      <alignment horizontal="right" vertical="top"/>
    </xf>
    <xf numFmtId="165" fontId="4" fillId="0" borderId="3" xfId="148" applyNumberFormat="1" applyFont="1" applyFill="1" applyBorder="1" applyAlignment="1">
      <alignment horizontal="right" vertical="top"/>
    </xf>
    <xf numFmtId="0" fontId="4" fillId="0" borderId="9" xfId="148" applyFont="1" applyBorder="1" applyAlignment="1">
      <alignment horizontal="right" vertical="top"/>
    </xf>
    <xf numFmtId="0" fontId="4" fillId="0" borderId="6" xfId="148" applyFont="1" applyBorder="1" applyAlignment="1">
      <alignment horizontal="right" vertical="top"/>
    </xf>
    <xf numFmtId="0" fontId="4" fillId="0" borderId="10" xfId="148" applyFont="1" applyBorder="1" applyAlignment="1">
      <alignment horizontal="right" vertical="top"/>
    </xf>
    <xf numFmtId="0" fontId="2" fillId="0" borderId="0" xfId="148" applyAlignment="1">
      <alignment horizontal="right" vertical="top"/>
    </xf>
    <xf numFmtId="165" fontId="4" fillId="0" borderId="6" xfId="148" applyNumberFormat="1" applyFont="1" applyFill="1" applyBorder="1" applyAlignment="1">
      <alignment horizontal="right" vertical="top"/>
    </xf>
    <xf numFmtId="165" fontId="4" fillId="0" borderId="2" xfId="148" applyNumberFormat="1" applyFont="1" applyFill="1" applyBorder="1" applyAlignment="1">
      <alignment horizontal="right" vertical="top"/>
    </xf>
    <xf numFmtId="0" fontId="4" fillId="0" borderId="8" xfId="148" applyFont="1" applyBorder="1" applyAlignment="1">
      <alignment horizontal="right" vertical="top"/>
    </xf>
    <xf numFmtId="0" fontId="4" fillId="0" borderId="5" xfId="148" applyFont="1" applyBorder="1" applyAlignment="1">
      <alignment horizontal="right" vertical="top"/>
    </xf>
    <xf numFmtId="0" fontId="9" fillId="0" borderId="0" xfId="1" applyFont="1" applyFill="1" applyAlignment="1">
      <alignment horizontal="right" vertical="top"/>
    </xf>
    <xf numFmtId="0" fontId="4" fillId="2" borderId="0" xfId="148" applyFont="1" applyFill="1" applyAlignment="1">
      <alignment vertical="top"/>
    </xf>
    <xf numFmtId="0" fontId="6" fillId="2" borderId="12" xfId="148" applyFont="1" applyFill="1" applyBorder="1" applyAlignment="1">
      <alignment horizontal="center" vertical="top"/>
    </xf>
    <xf numFmtId="0" fontId="4" fillId="2" borderId="9" xfId="148" applyFont="1" applyFill="1" applyBorder="1" applyAlignment="1">
      <alignment horizontal="left" vertical="top"/>
    </xf>
    <xf numFmtId="165" fontId="4" fillId="2" borderId="6" xfId="148" applyNumberFormat="1" applyFont="1" applyFill="1" applyBorder="1" applyAlignment="1">
      <alignment horizontal="left" vertical="top"/>
    </xf>
    <xf numFmtId="165" fontId="4" fillId="2" borderId="2" xfId="148" applyNumberFormat="1" applyFont="1" applyFill="1" applyBorder="1" applyAlignment="1">
      <alignment horizontal="left" vertical="top"/>
    </xf>
    <xf numFmtId="41" fontId="5" fillId="0" borderId="11" xfId="149" applyFont="1" applyFill="1" applyBorder="1" applyAlignment="1">
      <alignment vertical="top" wrapText="1"/>
    </xf>
    <xf numFmtId="41" fontId="5" fillId="0" borderId="7" xfId="149" applyFont="1" applyFill="1" applyBorder="1" applyAlignment="1">
      <alignment vertical="top" wrapText="1"/>
    </xf>
    <xf numFmtId="0" fontId="5" fillId="0" borderId="6" xfId="148" applyFont="1" applyBorder="1" applyAlignment="1">
      <alignment vertical="top"/>
    </xf>
    <xf numFmtId="0" fontId="4" fillId="2" borderId="2" xfId="148" applyFont="1" applyFill="1" applyBorder="1" applyAlignment="1">
      <alignment horizontal="left" vertical="top"/>
    </xf>
    <xf numFmtId="0" fontId="4" fillId="2" borderId="6" xfId="148" applyFont="1" applyFill="1" applyBorder="1" applyAlignment="1">
      <alignment horizontal="left" vertical="top" wrapText="1"/>
    </xf>
    <xf numFmtId="41" fontId="5" fillId="0" borderId="9" xfId="149" applyFont="1" applyFill="1" applyBorder="1" applyAlignment="1">
      <alignment vertical="top" wrapText="1"/>
    </xf>
    <xf numFmtId="41" fontId="5" fillId="0" borderId="6" xfId="149" applyFont="1" applyFill="1" applyBorder="1" applyAlignment="1">
      <alignment vertical="top" wrapText="1"/>
    </xf>
    <xf numFmtId="41" fontId="5" fillId="2" borderId="7" xfId="149" applyFont="1" applyFill="1" applyBorder="1" applyAlignment="1">
      <alignment horizontal="left" vertical="top" wrapText="1"/>
    </xf>
    <xf numFmtId="41" fontId="5" fillId="2" borderId="4" xfId="149" applyFont="1" applyFill="1" applyBorder="1" applyAlignment="1">
      <alignment horizontal="left" vertical="top" wrapText="1"/>
    </xf>
    <xf numFmtId="0" fontId="4" fillId="2" borderId="4" xfId="148" applyFont="1" applyFill="1" applyBorder="1" applyAlignment="1">
      <alignment horizontal="left" vertical="top"/>
    </xf>
    <xf numFmtId="41" fontId="5" fillId="2" borderId="9" xfId="149" applyFont="1" applyFill="1" applyBorder="1" applyAlignment="1">
      <alignment horizontal="left" vertical="top" wrapText="1"/>
    </xf>
    <xf numFmtId="41" fontId="5" fillId="2" borderId="6" xfId="149" applyFont="1" applyFill="1" applyBorder="1" applyAlignment="1">
      <alignment horizontal="left" vertical="top" wrapText="1"/>
    </xf>
    <xf numFmtId="0" fontId="5" fillId="0" borderId="0" xfId="148" applyFont="1" applyAlignment="1">
      <alignment vertical="top"/>
    </xf>
    <xf numFmtId="0" fontId="3" fillId="2" borderId="0" xfId="148" applyFont="1" applyFill="1" applyAlignment="1">
      <alignment horizontal="center" vertical="top"/>
    </xf>
    <xf numFmtId="165" fontId="4" fillId="2" borderId="6" xfId="148" applyNumberFormat="1" applyFont="1" applyFill="1" applyBorder="1" applyAlignment="1">
      <alignment horizontal="center" vertical="top"/>
    </xf>
    <xf numFmtId="165" fontId="4" fillId="2" borderId="2" xfId="148" applyNumberFormat="1" applyFont="1" applyFill="1" applyBorder="1" applyAlignment="1">
      <alignment horizontal="center" vertical="top"/>
    </xf>
    <xf numFmtId="0" fontId="2" fillId="0" borderId="6" xfId="148" applyBorder="1" applyAlignment="1">
      <alignment horizontal="center" vertical="top"/>
    </xf>
    <xf numFmtId="0" fontId="4" fillId="2" borderId="5" xfId="148" applyFont="1" applyFill="1" applyBorder="1" applyAlignment="1">
      <alignment horizontal="center" vertical="top"/>
    </xf>
    <xf numFmtId="0" fontId="4" fillId="2" borderId="11" xfId="148" applyFont="1" applyFill="1" applyBorder="1" applyAlignment="1">
      <alignment horizontal="center" vertical="top"/>
    </xf>
    <xf numFmtId="0" fontId="4" fillId="2" borderId="7" xfId="148" applyFont="1" applyFill="1" applyBorder="1" applyAlignment="1">
      <alignment horizontal="center" vertical="top"/>
    </xf>
    <xf numFmtId="0" fontId="4" fillId="2" borderId="4" xfId="148" applyFont="1" applyFill="1" applyBorder="1" applyAlignment="1">
      <alignment horizontal="center" vertical="top"/>
    </xf>
    <xf numFmtId="0" fontId="2" fillId="0" borderId="5" xfId="148" applyBorder="1" applyAlignment="1">
      <alignment horizontal="center" vertical="top"/>
    </xf>
    <xf numFmtId="164" fontId="4" fillId="2" borderId="6" xfId="151" applyNumberFormat="1" applyFont="1" applyFill="1" applyBorder="1" applyAlignment="1">
      <alignment horizontal="center" vertical="top"/>
    </xf>
    <xf numFmtId="0" fontId="3" fillId="0" borderId="0" xfId="1" applyFont="1" applyFill="1" applyAlignment="1">
      <alignment horizontal="center" vertical="top"/>
    </xf>
    <xf numFmtId="0" fontId="2" fillId="0" borderId="0" xfId="148" applyAlignment="1">
      <alignment horizontal="center" vertical="top"/>
    </xf>
    <xf numFmtId="165" fontId="4" fillId="2" borderId="0" xfId="148" quotePrefix="1" applyNumberFormat="1" applyFont="1" applyFill="1" applyBorder="1" applyAlignment="1">
      <alignment horizontal="center" vertical="top"/>
    </xf>
    <xf numFmtId="165" fontId="4" fillId="2" borderId="3" xfId="148" quotePrefix="1" applyNumberFormat="1" applyFont="1" applyFill="1" applyBorder="1" applyAlignment="1">
      <alignment horizontal="center" vertical="top"/>
    </xf>
    <xf numFmtId="0" fontId="5" fillId="0" borderId="9" xfId="152" applyFont="1" applyFill="1" applyBorder="1" applyAlignment="1">
      <alignment horizontal="center" vertical="top" wrapText="1"/>
    </xf>
    <xf numFmtId="0" fontId="5" fillId="0" borderId="6" xfId="152" applyFont="1" applyFill="1" applyBorder="1" applyAlignment="1">
      <alignment horizontal="center" vertical="top" wrapText="1"/>
    </xf>
    <xf numFmtId="0" fontId="4" fillId="2" borderId="0" xfId="148" quotePrefix="1" applyFont="1" applyFill="1" applyBorder="1" applyAlignment="1">
      <alignment horizontal="center" vertical="top"/>
    </xf>
    <xf numFmtId="0" fontId="4" fillId="2" borderId="3" xfId="148" quotePrefix="1" applyFont="1" applyFill="1" applyBorder="1" applyAlignment="1">
      <alignment horizontal="center" vertical="top"/>
    </xf>
    <xf numFmtId="165" fontId="4" fillId="2" borderId="7" xfId="148" quotePrefix="1" applyNumberFormat="1" applyFont="1" applyFill="1" applyBorder="1" applyAlignment="1">
      <alignment horizontal="center" vertical="top"/>
    </xf>
    <xf numFmtId="0" fontId="4" fillId="2" borderId="7" xfId="148" quotePrefix="1" applyFont="1" applyFill="1" applyBorder="1" applyAlignment="1">
      <alignment horizontal="center" vertical="top"/>
    </xf>
    <xf numFmtId="0" fontId="4" fillId="2" borderId="6" xfId="148" quotePrefix="1" applyFont="1" applyFill="1" applyBorder="1" applyAlignment="1">
      <alignment horizontal="center" vertical="top"/>
    </xf>
    <xf numFmtId="0" fontId="4" fillId="2" borderId="2" xfId="148" quotePrefix="1" applyFont="1" applyFill="1" applyBorder="1" applyAlignment="1">
      <alignment horizontal="center" vertical="top"/>
    </xf>
    <xf numFmtId="0" fontId="5" fillId="2" borderId="6" xfId="148" applyFont="1" applyFill="1" applyBorder="1" applyAlignment="1">
      <alignment horizontal="center" vertical="top" wrapText="1"/>
    </xf>
    <xf numFmtId="0" fontId="5" fillId="2" borderId="2" xfId="148" applyFont="1" applyFill="1" applyBorder="1" applyAlignment="1">
      <alignment horizontal="center" vertical="top" wrapText="1"/>
    </xf>
    <xf numFmtId="0" fontId="4" fillId="2" borderId="4" xfId="148" quotePrefix="1" applyFont="1" applyFill="1" applyBorder="1" applyAlignment="1">
      <alignment horizontal="center" vertical="top"/>
    </xf>
    <xf numFmtId="164" fontId="4" fillId="2" borderId="0" xfId="151" applyNumberFormat="1" applyFont="1" applyFill="1" applyBorder="1" applyAlignment="1">
      <alignment horizontal="center" vertical="top"/>
    </xf>
    <xf numFmtId="0" fontId="3" fillId="2" borderId="0" xfId="148" applyFont="1" applyFill="1" applyAlignment="1">
      <alignment horizontal="right" vertical="top"/>
    </xf>
    <xf numFmtId="0" fontId="4" fillId="2" borderId="9" xfId="148" applyFont="1" applyFill="1" applyBorder="1" applyAlignment="1">
      <alignment horizontal="right" vertical="top"/>
    </xf>
    <xf numFmtId="0" fontId="4" fillId="2" borderId="6" xfId="148" applyFont="1" applyFill="1" applyBorder="1" applyAlignment="1">
      <alignment horizontal="right" vertical="top"/>
    </xf>
    <xf numFmtId="0" fontId="4" fillId="2" borderId="2" xfId="148" applyFont="1" applyFill="1" applyBorder="1" applyAlignment="1">
      <alignment horizontal="right" vertical="top"/>
    </xf>
    <xf numFmtId="41" fontId="10" fillId="2" borderId="9" xfId="149" applyFont="1" applyFill="1" applyBorder="1" applyAlignment="1">
      <alignment horizontal="right" vertical="top" wrapText="1"/>
    </xf>
    <xf numFmtId="0" fontId="4" fillId="2" borderId="7" xfId="148" applyFont="1" applyFill="1" applyBorder="1" applyAlignment="1">
      <alignment horizontal="right" vertical="top"/>
    </xf>
    <xf numFmtId="41" fontId="5" fillId="2" borderId="6" xfId="149" applyFont="1" applyFill="1" applyBorder="1" applyAlignment="1">
      <alignment horizontal="right" vertical="top" wrapText="1"/>
    </xf>
    <xf numFmtId="165" fontId="4" fillId="2" borderId="7" xfId="148" applyNumberFormat="1" applyFont="1" applyFill="1" applyBorder="1" applyAlignment="1">
      <alignment horizontal="right" vertical="top"/>
    </xf>
    <xf numFmtId="165" fontId="4" fillId="2" borderId="0" xfId="148" applyNumberFormat="1" applyFont="1" applyFill="1" applyBorder="1" applyAlignment="1">
      <alignment horizontal="right" vertical="top"/>
    </xf>
    <xf numFmtId="165" fontId="4" fillId="2" borderId="3" xfId="148" applyNumberFormat="1" applyFont="1" applyFill="1" applyBorder="1" applyAlignment="1">
      <alignment horizontal="right" vertical="top"/>
    </xf>
    <xf numFmtId="41" fontId="16" fillId="0" borderId="9" xfId="149" applyFont="1" applyFill="1" applyBorder="1" applyAlignment="1">
      <alignment horizontal="right" vertical="top" wrapText="1"/>
    </xf>
    <xf numFmtId="41" fontId="16" fillId="0" borderId="6" xfId="149" applyFont="1" applyFill="1" applyBorder="1" applyAlignment="1">
      <alignment horizontal="right" vertical="top" wrapText="1"/>
    </xf>
    <xf numFmtId="0" fontId="2" fillId="0" borderId="6" xfId="148" applyBorder="1" applyAlignment="1">
      <alignment horizontal="right" vertical="top"/>
    </xf>
    <xf numFmtId="0" fontId="4" fillId="2" borderId="0" xfId="148" applyFont="1" applyFill="1" applyBorder="1" applyAlignment="1">
      <alignment horizontal="right" vertical="top"/>
    </xf>
    <xf numFmtId="0" fontId="4" fillId="2" borderId="3" xfId="148" applyFont="1" applyFill="1" applyBorder="1" applyAlignment="1">
      <alignment horizontal="right" vertical="top"/>
    </xf>
    <xf numFmtId="41" fontId="17" fillId="0" borderId="9" xfId="149" applyFont="1" applyFill="1" applyBorder="1" applyAlignment="1">
      <alignment horizontal="right" vertical="top" wrapText="1"/>
    </xf>
    <xf numFmtId="41" fontId="17" fillId="0" borderId="6" xfId="149" applyFont="1" applyFill="1" applyBorder="1" applyAlignment="1">
      <alignment horizontal="right" vertical="top" wrapText="1"/>
    </xf>
    <xf numFmtId="0" fontId="2" fillId="0" borderId="6" xfId="148" applyFont="1" applyBorder="1" applyAlignment="1">
      <alignment horizontal="right" vertical="top"/>
    </xf>
    <xf numFmtId="164" fontId="5" fillId="2" borderId="6" xfId="151" applyNumberFormat="1" applyFont="1" applyFill="1" applyBorder="1" applyAlignment="1">
      <alignment horizontal="right" vertical="top" wrapText="1"/>
    </xf>
    <xf numFmtId="164" fontId="4" fillId="2" borderId="7" xfId="151" applyNumberFormat="1" applyFont="1" applyFill="1" applyBorder="1" applyAlignment="1">
      <alignment horizontal="right" vertical="top"/>
    </xf>
    <xf numFmtId="164" fontId="4" fillId="2" borderId="0" xfId="151" applyNumberFormat="1" applyFont="1" applyFill="1" applyBorder="1" applyAlignment="1">
      <alignment horizontal="right" vertical="top"/>
    </xf>
    <xf numFmtId="43" fontId="4" fillId="2" borderId="7" xfId="150" applyFont="1" applyFill="1" applyBorder="1" applyAlignment="1">
      <alignment horizontal="right" vertical="top"/>
    </xf>
    <xf numFmtId="43" fontId="4" fillId="2" borderId="0" xfId="150" applyFont="1" applyFill="1" applyBorder="1" applyAlignment="1">
      <alignment horizontal="right" vertical="top"/>
    </xf>
    <xf numFmtId="43" fontId="4" fillId="2" borderId="3" xfId="150" applyFont="1" applyFill="1" applyBorder="1" applyAlignment="1">
      <alignment horizontal="right" vertical="top"/>
    </xf>
    <xf numFmtId="43" fontId="4" fillId="2" borderId="10" xfId="150" applyFont="1" applyFill="1" applyBorder="1" applyAlignment="1">
      <alignment horizontal="right" vertical="top"/>
    </xf>
    <xf numFmtId="164" fontId="5" fillId="2" borderId="6" xfId="150" applyNumberFormat="1" applyFont="1" applyFill="1" applyBorder="1" applyAlignment="1">
      <alignment horizontal="right" vertical="top" wrapText="1"/>
    </xf>
    <xf numFmtId="164" fontId="4" fillId="2" borderId="7" xfId="150" applyNumberFormat="1" applyFont="1" applyFill="1" applyBorder="1" applyAlignment="1">
      <alignment horizontal="right" vertical="top"/>
    </xf>
    <xf numFmtId="164" fontId="4" fillId="2" borderId="0" xfId="150" applyNumberFormat="1" applyFont="1" applyFill="1" applyBorder="1" applyAlignment="1">
      <alignment horizontal="right" vertical="top"/>
    </xf>
    <xf numFmtId="164" fontId="4" fillId="2" borderId="3" xfId="150" applyNumberFormat="1" applyFont="1" applyFill="1" applyBorder="1" applyAlignment="1">
      <alignment horizontal="right" vertical="top"/>
    </xf>
    <xf numFmtId="164" fontId="4" fillId="2" borderId="9" xfId="150" applyNumberFormat="1" applyFont="1" applyFill="1" applyBorder="1" applyAlignment="1">
      <alignment horizontal="right" vertical="top"/>
    </xf>
    <xf numFmtId="164" fontId="4" fillId="2" borderId="6" xfId="150" applyNumberFormat="1" applyFont="1" applyFill="1" applyBorder="1" applyAlignment="1">
      <alignment horizontal="right" vertical="top"/>
    </xf>
    <xf numFmtId="164" fontId="10" fillId="2" borderId="6" xfId="151" applyNumberFormat="1" applyFont="1" applyFill="1" applyBorder="1" applyAlignment="1">
      <alignment horizontal="right" vertical="top" wrapText="1"/>
    </xf>
    <xf numFmtId="164" fontId="4" fillId="2" borderId="6" xfId="151" applyNumberFormat="1" applyFont="1" applyFill="1" applyBorder="1" applyAlignment="1">
      <alignment horizontal="right" vertical="top"/>
    </xf>
    <xf numFmtId="43" fontId="4" fillId="2" borderId="6" xfId="150" applyFont="1" applyFill="1" applyBorder="1" applyAlignment="1">
      <alignment horizontal="right" vertical="top"/>
    </xf>
    <xf numFmtId="43" fontId="4" fillId="2" borderId="2" xfId="150" applyFont="1" applyFill="1" applyBorder="1" applyAlignment="1">
      <alignment horizontal="right" vertical="top"/>
    </xf>
    <xf numFmtId="41" fontId="5" fillId="0" borderId="9" xfId="149" applyFont="1" applyFill="1" applyBorder="1" applyAlignment="1">
      <alignment horizontal="right" vertical="top" wrapText="1"/>
    </xf>
    <xf numFmtId="41" fontId="5" fillId="0" borderId="6" xfId="149" applyFont="1" applyFill="1" applyBorder="1" applyAlignment="1">
      <alignment horizontal="right" vertical="top" wrapText="1"/>
    </xf>
    <xf numFmtId="43" fontId="5" fillId="2" borderId="2" xfId="150" applyFont="1" applyFill="1" applyBorder="1" applyAlignment="1">
      <alignment horizontal="right" vertical="top" wrapText="1"/>
    </xf>
    <xf numFmtId="0" fontId="5" fillId="0" borderId="6" xfId="148" applyFont="1" applyBorder="1" applyAlignment="1">
      <alignment horizontal="right" vertical="top"/>
    </xf>
    <xf numFmtId="43" fontId="4" fillId="2" borderId="11" xfId="150" applyFont="1" applyFill="1" applyBorder="1" applyAlignment="1">
      <alignment horizontal="right" vertical="top"/>
    </xf>
    <xf numFmtId="43" fontId="4" fillId="2" borderId="4" xfId="150" applyFont="1" applyFill="1" applyBorder="1" applyAlignment="1">
      <alignment horizontal="right" vertical="top"/>
    </xf>
    <xf numFmtId="43" fontId="4" fillId="2" borderId="0" xfId="151" applyFont="1" applyFill="1" applyBorder="1" applyAlignment="1">
      <alignment horizontal="right" vertical="top"/>
    </xf>
    <xf numFmtId="0" fontId="4" fillId="2" borderId="10" xfId="148" applyFont="1" applyFill="1" applyBorder="1" applyAlignment="1">
      <alignment horizontal="right" vertical="top"/>
    </xf>
    <xf numFmtId="164" fontId="4" fillId="2" borderId="2" xfId="150" applyNumberFormat="1" applyFont="1" applyFill="1" applyBorder="1" applyAlignment="1">
      <alignment horizontal="right" vertical="top"/>
    </xf>
    <xf numFmtId="164" fontId="4" fillId="2" borderId="10" xfId="150" applyNumberFormat="1" applyFont="1" applyFill="1" applyBorder="1" applyAlignment="1">
      <alignment horizontal="right" vertical="top"/>
    </xf>
    <xf numFmtId="164" fontId="4" fillId="2" borderId="5" xfId="151" applyNumberFormat="1" applyFont="1" applyFill="1" applyBorder="1" applyAlignment="1">
      <alignment horizontal="right" vertical="top"/>
    </xf>
    <xf numFmtId="164" fontId="3" fillId="2" borderId="0" xfId="148" applyNumberFormat="1" applyFont="1" applyFill="1" applyAlignment="1">
      <alignment horizontal="right" vertical="top"/>
    </xf>
    <xf numFmtId="164" fontId="6" fillId="2" borderId="12" xfId="148" applyNumberFormat="1" applyFont="1" applyFill="1" applyBorder="1" applyAlignment="1">
      <alignment horizontal="center" vertical="center" wrapText="1"/>
    </xf>
    <xf numFmtId="164" fontId="6" fillId="2" borderId="12" xfId="148" applyNumberFormat="1" applyFont="1" applyFill="1" applyBorder="1" applyAlignment="1">
      <alignment horizontal="center" vertical="top"/>
    </xf>
    <xf numFmtId="164" fontId="10" fillId="2" borderId="9" xfId="150" applyNumberFormat="1" applyFont="1" applyFill="1" applyBorder="1" applyAlignment="1">
      <alignment horizontal="right" vertical="top" wrapText="1"/>
    </xf>
    <xf numFmtId="164" fontId="16" fillId="0" borderId="9" xfId="149" applyNumberFormat="1" applyFont="1" applyFill="1" applyBorder="1" applyAlignment="1">
      <alignment horizontal="right" vertical="top" wrapText="1"/>
    </xf>
    <xf numFmtId="164" fontId="16" fillId="0" borderId="6" xfId="149" applyNumberFormat="1" applyFont="1" applyFill="1" applyBorder="1" applyAlignment="1">
      <alignment horizontal="right" vertical="top" wrapText="1"/>
    </xf>
    <xf numFmtId="164" fontId="2" fillId="0" borderId="6" xfId="148" applyNumberFormat="1" applyBorder="1" applyAlignment="1">
      <alignment horizontal="right" vertical="top"/>
    </xf>
    <xf numFmtId="164" fontId="17" fillId="0" borderId="9" xfId="149" applyNumberFormat="1" applyFont="1" applyFill="1" applyBorder="1" applyAlignment="1">
      <alignment horizontal="right" vertical="top" wrapText="1"/>
    </xf>
    <xf numFmtId="164" fontId="17" fillId="0" borderId="6" xfId="149" applyNumberFormat="1" applyFont="1" applyFill="1" applyBorder="1" applyAlignment="1">
      <alignment horizontal="right" vertical="top" wrapText="1"/>
    </xf>
    <xf numFmtId="164" fontId="2" fillId="0" borderId="6" xfId="148" applyNumberFormat="1" applyFont="1" applyBorder="1" applyAlignment="1">
      <alignment horizontal="right" vertical="top"/>
    </xf>
    <xf numFmtId="164" fontId="5" fillId="0" borderId="9" xfId="149" applyNumberFormat="1" applyFont="1" applyFill="1" applyBorder="1" applyAlignment="1">
      <alignment horizontal="right" vertical="top" wrapText="1"/>
    </xf>
    <xf numFmtId="164" fontId="5" fillId="0" borderId="6" xfId="149" applyNumberFormat="1" applyFont="1" applyFill="1" applyBorder="1" applyAlignment="1">
      <alignment horizontal="right" vertical="top" wrapText="1"/>
    </xf>
    <xf numFmtId="164" fontId="5" fillId="2" borderId="2" xfId="150" applyNumberFormat="1" applyFont="1" applyFill="1" applyBorder="1" applyAlignment="1">
      <alignment horizontal="right" vertical="top" wrapText="1"/>
    </xf>
    <xf numFmtId="164" fontId="5" fillId="0" borderId="6" xfId="148" applyNumberFormat="1" applyFont="1" applyBorder="1" applyAlignment="1">
      <alignment horizontal="right" vertical="top"/>
    </xf>
    <xf numFmtId="164" fontId="4" fillId="2" borderId="11" xfId="150" applyNumberFormat="1" applyFont="1" applyFill="1" applyBorder="1" applyAlignment="1">
      <alignment horizontal="right" vertical="top"/>
    </xf>
    <xf numFmtId="164" fontId="4" fillId="2" borderId="4" xfId="150" applyNumberFormat="1" applyFont="1" applyFill="1" applyBorder="1" applyAlignment="1">
      <alignment horizontal="right" vertical="top"/>
    </xf>
    <xf numFmtId="164" fontId="4" fillId="2" borderId="2" xfId="148" applyNumberFormat="1" applyFont="1" applyFill="1" applyBorder="1" applyAlignment="1">
      <alignment horizontal="right" vertical="top"/>
    </xf>
    <xf numFmtId="164" fontId="4" fillId="2" borderId="9" xfId="148" applyNumberFormat="1" applyFont="1" applyFill="1" applyBorder="1" applyAlignment="1">
      <alignment horizontal="right" vertical="top"/>
    </xf>
    <xf numFmtId="164" fontId="4" fillId="2" borderId="6" xfId="148" applyNumberFormat="1" applyFont="1" applyFill="1" applyBorder="1" applyAlignment="1">
      <alignment horizontal="right" vertical="top"/>
    </xf>
    <xf numFmtId="164" fontId="3" fillId="0" borderId="0" xfId="1" applyNumberFormat="1" applyFont="1" applyFill="1" applyAlignment="1">
      <alignment vertical="top"/>
    </xf>
    <xf numFmtId="164" fontId="2" fillId="0" borderId="0" xfId="148" applyNumberFormat="1" applyAlignment="1">
      <alignment horizontal="right" vertical="top"/>
    </xf>
    <xf numFmtId="41" fontId="3" fillId="2" borderId="0" xfId="148" applyNumberFormat="1" applyFont="1" applyFill="1" applyAlignment="1">
      <alignment horizontal="right" vertical="top"/>
    </xf>
    <xf numFmtId="41" fontId="6" fillId="2" borderId="12" xfId="148" applyNumberFormat="1" applyFont="1" applyFill="1" applyBorder="1" applyAlignment="1">
      <alignment horizontal="center" vertical="center" wrapText="1"/>
    </xf>
    <xf numFmtId="41" fontId="6" fillId="2" borderId="12" xfId="148" applyNumberFormat="1" applyFont="1" applyFill="1" applyBorder="1" applyAlignment="1">
      <alignment horizontal="center" vertical="top"/>
    </xf>
    <xf numFmtId="41" fontId="4" fillId="2" borderId="9" xfId="150" applyNumberFormat="1" applyFont="1" applyFill="1" applyBorder="1" applyAlignment="1">
      <alignment horizontal="right" vertical="top"/>
    </xf>
    <xf numFmtId="41" fontId="4" fillId="2" borderId="6" xfId="150" applyNumberFormat="1" applyFont="1" applyFill="1" applyBorder="1" applyAlignment="1">
      <alignment horizontal="right" vertical="top"/>
    </xf>
    <xf numFmtId="41" fontId="4" fillId="2" borderId="2" xfId="150" applyNumberFormat="1" applyFont="1" applyFill="1" applyBorder="1" applyAlignment="1">
      <alignment horizontal="right" vertical="top"/>
    </xf>
    <xf numFmtId="41" fontId="10" fillId="2" borderId="9" xfId="150" applyNumberFormat="1" applyFont="1" applyFill="1" applyBorder="1" applyAlignment="1">
      <alignment horizontal="right" vertical="top" wrapText="1"/>
    </xf>
    <xf numFmtId="41" fontId="4" fillId="2" borderId="5" xfId="150" applyNumberFormat="1" applyFont="1" applyFill="1" applyBorder="1" applyAlignment="1">
      <alignment horizontal="right" vertical="top"/>
    </xf>
    <xf numFmtId="41" fontId="5" fillId="2" borderId="6" xfId="150" applyNumberFormat="1" applyFont="1" applyFill="1" applyBorder="1" applyAlignment="1">
      <alignment horizontal="right" vertical="top" wrapText="1"/>
    </xf>
    <xf numFmtId="41" fontId="4" fillId="2" borderId="0" xfId="150" applyNumberFormat="1" applyFont="1" applyFill="1" applyBorder="1" applyAlignment="1">
      <alignment horizontal="right" vertical="top"/>
    </xf>
    <xf numFmtId="41" fontId="4" fillId="2" borderId="3" xfId="150" applyNumberFormat="1" applyFont="1" applyFill="1" applyBorder="1" applyAlignment="1">
      <alignment horizontal="right" vertical="top"/>
    </xf>
    <xf numFmtId="41" fontId="16" fillId="0" borderId="9" xfId="149" applyNumberFormat="1" applyFont="1" applyFill="1" applyBorder="1" applyAlignment="1">
      <alignment horizontal="right" vertical="top" wrapText="1"/>
    </xf>
    <xf numFmtId="41" fontId="16" fillId="0" borderId="6" xfId="149" applyNumberFormat="1" applyFont="1" applyFill="1" applyBorder="1" applyAlignment="1">
      <alignment horizontal="right" vertical="top" wrapText="1"/>
    </xf>
    <xf numFmtId="41" fontId="2" fillId="0" borderId="6" xfId="148" applyNumberFormat="1" applyBorder="1" applyAlignment="1">
      <alignment horizontal="right" vertical="top"/>
    </xf>
    <xf numFmtId="41" fontId="17" fillId="0" borderId="9" xfId="149" applyNumberFormat="1" applyFont="1" applyFill="1" applyBorder="1" applyAlignment="1">
      <alignment horizontal="right" vertical="top" wrapText="1"/>
    </xf>
    <xf numFmtId="41" fontId="17" fillId="0" borderId="6" xfId="149" applyNumberFormat="1" applyFont="1" applyFill="1" applyBorder="1" applyAlignment="1">
      <alignment horizontal="right" vertical="top" wrapText="1"/>
    </xf>
    <xf numFmtId="41" fontId="2" fillId="0" borderId="6" xfId="148" applyNumberFormat="1" applyFont="1" applyBorder="1" applyAlignment="1">
      <alignment horizontal="right" vertical="top"/>
    </xf>
    <xf numFmtId="41" fontId="5" fillId="2" borderId="6" xfId="151" applyNumberFormat="1" applyFont="1" applyFill="1" applyBorder="1" applyAlignment="1">
      <alignment horizontal="right" vertical="top" wrapText="1"/>
    </xf>
    <xf numFmtId="41" fontId="4" fillId="2" borderId="5" xfId="151" applyNumberFormat="1" applyFont="1" applyFill="1" applyBorder="1" applyAlignment="1">
      <alignment horizontal="right" vertical="top"/>
    </xf>
    <xf numFmtId="41" fontId="4" fillId="2" borderId="0" xfId="151" applyNumberFormat="1" applyFont="1" applyFill="1" applyBorder="1" applyAlignment="1">
      <alignment horizontal="right" vertical="top"/>
    </xf>
    <xf numFmtId="41" fontId="4" fillId="2" borderId="10" xfId="150" applyNumberFormat="1" applyFont="1" applyFill="1" applyBorder="1" applyAlignment="1">
      <alignment horizontal="right" vertical="top"/>
    </xf>
    <xf numFmtId="41" fontId="10" fillId="2" borderId="6" xfId="151" applyNumberFormat="1" applyFont="1" applyFill="1" applyBorder="1" applyAlignment="1">
      <alignment horizontal="right" vertical="top" wrapText="1"/>
    </xf>
    <xf numFmtId="41" fontId="4" fillId="2" borderId="6" xfId="151" applyNumberFormat="1" applyFont="1" applyFill="1" applyBorder="1" applyAlignment="1">
      <alignment horizontal="right" vertical="top"/>
    </xf>
    <xf numFmtId="41" fontId="5" fillId="0" borderId="9" xfId="149" applyNumberFormat="1" applyFont="1" applyFill="1" applyBorder="1" applyAlignment="1">
      <alignment horizontal="right" vertical="top" wrapText="1"/>
    </xf>
    <xf numFmtId="41" fontId="5" fillId="0" borderId="6" xfId="149" applyNumberFormat="1" applyFont="1" applyFill="1" applyBorder="1" applyAlignment="1">
      <alignment horizontal="right" vertical="top" wrapText="1"/>
    </xf>
    <xf numFmtId="41" fontId="5" fillId="2" borderId="2" xfId="150" applyNumberFormat="1" applyFont="1" applyFill="1" applyBorder="1" applyAlignment="1">
      <alignment horizontal="right" vertical="top" wrapText="1"/>
    </xf>
    <xf numFmtId="41" fontId="5" fillId="0" borderId="6" xfId="148" applyNumberFormat="1" applyFont="1" applyBorder="1" applyAlignment="1">
      <alignment horizontal="right" vertical="top"/>
    </xf>
    <xf numFmtId="41" fontId="4" fillId="2" borderId="11" xfId="150" applyNumberFormat="1" applyFont="1" applyFill="1" applyBorder="1" applyAlignment="1">
      <alignment horizontal="right" vertical="top"/>
    </xf>
    <xf numFmtId="41" fontId="4" fillId="2" borderId="7" xfId="150" applyNumberFormat="1" applyFont="1" applyFill="1" applyBorder="1" applyAlignment="1">
      <alignment horizontal="right" vertical="top"/>
    </xf>
    <xf numFmtId="41" fontId="4" fillId="2" borderId="4" xfId="150" applyNumberFormat="1" applyFont="1" applyFill="1" applyBorder="1" applyAlignment="1">
      <alignment horizontal="right" vertical="top"/>
    </xf>
    <xf numFmtId="41" fontId="4" fillId="2" borderId="3" xfId="148" applyNumberFormat="1" applyFont="1" applyFill="1" applyBorder="1" applyAlignment="1">
      <alignment horizontal="right" vertical="top"/>
    </xf>
    <xf numFmtId="41" fontId="4" fillId="2" borderId="10" xfId="148" applyNumberFormat="1" applyFont="1" applyFill="1" applyBorder="1" applyAlignment="1">
      <alignment horizontal="right" vertical="top"/>
    </xf>
    <xf numFmtId="41" fontId="4" fillId="2" borderId="0" xfId="148" applyNumberFormat="1" applyFont="1" applyFill="1" applyBorder="1" applyAlignment="1">
      <alignment horizontal="right" vertical="top"/>
    </xf>
    <xf numFmtId="41" fontId="3" fillId="0" borderId="0" xfId="1" applyNumberFormat="1" applyFont="1" applyFill="1" applyAlignment="1">
      <alignment vertical="top"/>
    </xf>
    <xf numFmtId="41" fontId="3" fillId="0" borderId="0" xfId="1" applyNumberFormat="1" applyFont="1" applyFill="1" applyAlignment="1">
      <alignment horizontal="center" vertical="top"/>
    </xf>
    <xf numFmtId="41" fontId="9" fillId="0" borderId="0" xfId="1" applyNumberFormat="1" applyFont="1" applyFill="1" applyAlignment="1">
      <alignment horizontal="center" vertical="top"/>
    </xf>
    <xf numFmtId="41" fontId="2" fillId="0" borderId="0" xfId="148" applyNumberFormat="1" applyAlignment="1">
      <alignment horizontal="right" vertical="top"/>
    </xf>
    <xf numFmtId="0" fontId="3" fillId="2" borderId="2" xfId="148" applyFont="1" applyFill="1" applyBorder="1"/>
    <xf numFmtId="41" fontId="3" fillId="0" borderId="0" xfId="154" applyFont="1" applyFill="1"/>
    <xf numFmtId="41" fontId="4" fillId="0" borderId="6" xfId="154" applyFont="1" applyFill="1" applyBorder="1" applyAlignment="1">
      <alignment horizontal="center" vertical="top"/>
    </xf>
    <xf numFmtId="41" fontId="2" fillId="0" borderId="0" xfId="154" applyFont="1"/>
    <xf numFmtId="41" fontId="6" fillId="0" borderId="12" xfId="154" applyFont="1" applyFill="1" applyBorder="1" applyAlignment="1">
      <alignment horizontal="center" vertical="center"/>
    </xf>
    <xf numFmtId="41" fontId="4" fillId="0" borderId="9" xfId="154" applyFont="1" applyFill="1" applyBorder="1" applyAlignment="1">
      <alignment horizontal="center" vertical="top"/>
    </xf>
    <xf numFmtId="41" fontId="4" fillId="0" borderId="2" xfId="154" applyFont="1" applyFill="1" applyBorder="1" applyAlignment="1">
      <alignment horizontal="center" vertical="top"/>
    </xf>
    <xf numFmtId="41" fontId="3" fillId="2" borderId="0" xfId="154" applyFont="1" applyFill="1"/>
    <xf numFmtId="41" fontId="4" fillId="2" borderId="6" xfId="154" applyFont="1" applyFill="1" applyBorder="1" applyAlignment="1">
      <alignment horizontal="center" vertical="top"/>
    </xf>
    <xf numFmtId="41" fontId="4" fillId="2" borderId="9" xfId="154" applyFont="1" applyFill="1" applyBorder="1" applyAlignment="1">
      <alignment horizontal="center" vertical="top"/>
    </xf>
    <xf numFmtId="41" fontId="4" fillId="2" borderId="2" xfId="154" applyFont="1" applyFill="1" applyBorder="1" applyAlignment="1">
      <alignment horizontal="center" vertical="top"/>
    </xf>
    <xf numFmtId="41" fontId="19" fillId="3" borderId="0" xfId="155" applyNumberFormat="1" applyFill="1"/>
    <xf numFmtId="0" fontId="19" fillId="3" borderId="0" xfId="155" applyFill="1"/>
    <xf numFmtId="0" fontId="19" fillId="0" borderId="0" xfId="155"/>
    <xf numFmtId="0" fontId="20" fillId="0" borderId="0" xfId="155" applyFont="1"/>
    <xf numFmtId="0" fontId="19" fillId="0" borderId="0" xfId="155" applyAlignment="1"/>
    <xf numFmtId="0" fontId="19" fillId="0" borderId="26" xfId="155" applyBorder="1"/>
    <xf numFmtId="0" fontId="19" fillId="0" borderId="27" xfId="155" applyBorder="1"/>
    <xf numFmtId="0" fontId="19" fillId="0" borderId="30" xfId="155" applyBorder="1"/>
    <xf numFmtId="41" fontId="22" fillId="0" borderId="0" xfId="156" applyFont="1" applyBorder="1" applyAlignment="1">
      <alignment horizontal="left"/>
    </xf>
    <xf numFmtId="41" fontId="22" fillId="0" borderId="0" xfId="156" applyFont="1" applyBorder="1"/>
    <xf numFmtId="0" fontId="20" fillId="0" borderId="12" xfId="155" applyFont="1" applyBorder="1"/>
    <xf numFmtId="0" fontId="19" fillId="0" borderId="12" xfId="155" applyBorder="1"/>
    <xf numFmtId="0" fontId="22" fillId="0" borderId="14" xfId="155" applyFont="1" applyBorder="1"/>
    <xf numFmtId="0" fontId="13" fillId="0" borderId="12" xfId="155" applyFont="1" applyBorder="1" applyAlignment="1">
      <alignment horizontal="right"/>
    </xf>
    <xf numFmtId="0" fontId="13" fillId="0" borderId="12" xfId="155" applyFont="1" applyBorder="1"/>
    <xf numFmtId="0" fontId="19" fillId="0" borderId="12" xfId="155" applyBorder="1" applyAlignment="1">
      <alignment horizontal="right"/>
    </xf>
    <xf numFmtId="0" fontId="24" fillId="0" borderId="12" xfId="157" applyNumberFormat="1" applyFont="1" applyBorder="1" applyAlignment="1">
      <alignment horizontal="right"/>
    </xf>
    <xf numFmtId="0" fontId="24" fillId="0" borderId="12" xfId="103" applyFont="1" applyBorder="1" applyAlignment="1">
      <alignment horizontal="right"/>
    </xf>
    <xf numFmtId="0" fontId="24" fillId="0" borderId="12" xfId="155" applyFont="1" applyBorder="1" applyAlignment="1">
      <alignment horizontal="right"/>
    </xf>
    <xf numFmtId="0" fontId="13" fillId="4" borderId="12" xfId="155" applyFont="1" applyFill="1" applyBorder="1" applyAlignment="1">
      <alignment horizontal="right"/>
    </xf>
    <xf numFmtId="0" fontId="13" fillId="0" borderId="12" xfId="155" applyFont="1" applyBorder="1" applyAlignment="1">
      <alignment horizontal="center" vertical="center"/>
    </xf>
    <xf numFmtId="0" fontId="19" fillId="0" borderId="12" xfId="157" applyNumberFormat="1" applyFont="1" applyBorder="1" applyAlignment="1">
      <alignment horizontal="right"/>
    </xf>
    <xf numFmtId="0" fontId="13" fillId="0" borderId="12" xfId="103" applyBorder="1" applyAlignment="1">
      <alignment horizontal="right"/>
    </xf>
    <xf numFmtId="0" fontId="13" fillId="0" borderId="12" xfId="157" applyNumberFormat="1" applyFont="1" applyBorder="1" applyAlignment="1">
      <alignment horizontal="right"/>
    </xf>
    <xf numFmtId="0" fontId="13" fillId="0" borderId="12" xfId="103" applyFont="1" applyBorder="1" applyAlignment="1">
      <alignment horizontal="right"/>
    </xf>
    <xf numFmtId="0" fontId="13" fillId="0" borderId="14" xfId="155" applyFont="1" applyBorder="1" applyAlignment="1">
      <alignment horizontal="right"/>
    </xf>
    <xf numFmtId="0" fontId="22" fillId="0" borderId="0" xfId="155" applyFont="1" applyBorder="1"/>
    <xf numFmtId="41" fontId="0" fillId="0" borderId="12" xfId="156" applyFont="1" applyBorder="1" applyAlignment="1">
      <alignment horizontal="right"/>
    </xf>
    <xf numFmtId="41" fontId="0" fillId="0" borderId="12" xfId="158" applyNumberFormat="1" applyFont="1" applyBorder="1" applyAlignment="1">
      <alignment horizontal="right"/>
    </xf>
    <xf numFmtId="41" fontId="0" fillId="0" borderId="12" xfId="158" applyFont="1" applyBorder="1" applyAlignment="1">
      <alignment horizontal="right"/>
    </xf>
    <xf numFmtId="41" fontId="13" fillId="0" borderId="12" xfId="7" applyFont="1" applyBorder="1" applyAlignment="1">
      <alignment horizontal="right"/>
    </xf>
    <xf numFmtId="41" fontId="22" fillId="0" borderId="0" xfId="155" applyNumberFormat="1" applyFont="1" applyBorder="1"/>
    <xf numFmtId="41" fontId="0" fillId="0" borderId="12" xfId="156" applyNumberFormat="1" applyFont="1" applyBorder="1" applyAlignment="1">
      <alignment horizontal="right"/>
    </xf>
    <xf numFmtId="41" fontId="0" fillId="0" borderId="12" xfId="7" applyFont="1" applyBorder="1" applyAlignment="1">
      <alignment horizontal="right"/>
    </xf>
    <xf numFmtId="9" fontId="22" fillId="0" borderId="0" xfId="155" applyNumberFormat="1" applyFont="1" applyBorder="1"/>
    <xf numFmtId="0" fontId="25" fillId="0" borderId="0" xfId="155" applyFont="1"/>
    <xf numFmtId="166" fontId="0" fillId="0" borderId="12" xfId="156" applyNumberFormat="1" applyFont="1" applyBorder="1" applyAlignment="1">
      <alignment horizontal="right"/>
    </xf>
    <xf numFmtId="0" fontId="26" fillId="0" borderId="0" xfId="155" applyFont="1" applyAlignment="1">
      <alignment horizontal="left" wrapText="1" indent="1"/>
    </xf>
    <xf numFmtId="168" fontId="22" fillId="0" borderId="0" xfId="155" applyNumberFormat="1" applyFont="1" applyBorder="1"/>
    <xf numFmtId="0" fontId="27" fillId="0" borderId="0" xfId="155" applyFont="1"/>
    <xf numFmtId="0" fontId="19" fillId="4" borderId="12" xfId="155" applyFill="1" applyBorder="1"/>
    <xf numFmtId="0" fontId="19" fillId="4" borderId="12" xfId="155" applyFill="1" applyBorder="1" applyAlignment="1">
      <alignment horizontal="right"/>
    </xf>
    <xf numFmtId="9" fontId="19" fillId="4" borderId="12" xfId="157" applyNumberFormat="1" applyFont="1" applyFill="1" applyBorder="1" applyAlignment="1">
      <alignment horizontal="right"/>
    </xf>
    <xf numFmtId="9" fontId="13" fillId="4" borderId="12" xfId="103" applyNumberFormat="1" applyFill="1" applyBorder="1" applyAlignment="1">
      <alignment horizontal="right"/>
    </xf>
    <xf numFmtId="9" fontId="19" fillId="4" borderId="12" xfId="155" applyNumberFormat="1" applyFill="1" applyBorder="1" applyAlignment="1">
      <alignment horizontal="right"/>
    </xf>
    <xf numFmtId="0" fontId="22" fillId="4" borderId="0" xfId="155" applyFont="1" applyFill="1" applyBorder="1"/>
    <xf numFmtId="0" fontId="19" fillId="4" borderId="0" xfId="155" applyFill="1"/>
    <xf numFmtId="41" fontId="19" fillId="0" borderId="12" xfId="155" applyNumberFormat="1" applyBorder="1" applyAlignment="1">
      <alignment horizontal="right"/>
    </xf>
    <xf numFmtId="41" fontId="19" fillId="0" borderId="12" xfId="157" applyNumberFormat="1" applyFont="1" applyBorder="1" applyAlignment="1">
      <alignment horizontal="right"/>
    </xf>
    <xf numFmtId="41" fontId="13" fillId="2" borderId="12" xfId="103" applyNumberFormat="1" applyFill="1" applyBorder="1" applyAlignment="1">
      <alignment horizontal="right"/>
    </xf>
    <xf numFmtId="41" fontId="19" fillId="4" borderId="12" xfId="157" applyNumberFormat="1" applyFont="1" applyFill="1" applyBorder="1" applyAlignment="1">
      <alignment horizontal="right"/>
    </xf>
    <xf numFmtId="41" fontId="13" fillId="4" borderId="12" xfId="103" applyNumberFormat="1" applyFill="1" applyBorder="1" applyAlignment="1">
      <alignment horizontal="right"/>
    </xf>
    <xf numFmtId="41" fontId="19" fillId="4" borderId="12" xfId="155" applyNumberFormat="1" applyFill="1" applyBorder="1" applyAlignment="1">
      <alignment horizontal="right"/>
    </xf>
    <xf numFmtId="41" fontId="22" fillId="4" borderId="0" xfId="155" applyNumberFormat="1" applyFont="1" applyFill="1" applyBorder="1"/>
    <xf numFmtId="41" fontId="13" fillId="2" borderId="12" xfId="158" applyFont="1" applyFill="1" applyBorder="1" applyAlignment="1">
      <alignment horizontal="right"/>
    </xf>
    <xf numFmtId="9" fontId="13" fillId="4" borderId="12" xfId="158" applyNumberFormat="1" applyFont="1" applyFill="1" applyBorder="1" applyAlignment="1">
      <alignment horizontal="right"/>
    </xf>
    <xf numFmtId="9" fontId="0" fillId="4" borderId="12" xfId="7" applyNumberFormat="1" applyFont="1" applyFill="1" applyBorder="1" applyAlignment="1">
      <alignment horizontal="right"/>
    </xf>
    <xf numFmtId="9" fontId="13" fillId="4" borderId="12" xfId="156" applyNumberFormat="1" applyFont="1" applyFill="1" applyBorder="1" applyAlignment="1">
      <alignment horizontal="right"/>
    </xf>
    <xf numFmtId="41" fontId="22" fillId="4" borderId="0" xfId="156" applyFont="1" applyFill="1" applyBorder="1"/>
    <xf numFmtId="41" fontId="13" fillId="4" borderId="12" xfId="158" applyFont="1" applyFill="1" applyBorder="1" applyAlignment="1">
      <alignment horizontal="right"/>
    </xf>
    <xf numFmtId="41" fontId="0" fillId="4" borderId="12" xfId="7" applyFont="1" applyFill="1" applyBorder="1" applyAlignment="1">
      <alignment horizontal="right"/>
    </xf>
    <xf numFmtId="41" fontId="13" fillId="4" borderId="12" xfId="156" applyFont="1" applyFill="1" applyBorder="1" applyAlignment="1">
      <alignment horizontal="right"/>
    </xf>
    <xf numFmtId="0" fontId="26" fillId="4" borderId="0" xfId="155" applyFont="1" applyFill="1"/>
    <xf numFmtId="0" fontId="19" fillId="0" borderId="12" xfId="155" applyFill="1" applyBorder="1"/>
    <xf numFmtId="41" fontId="13" fillId="0" borderId="12" xfId="158" applyFont="1" applyBorder="1" applyAlignment="1">
      <alignment horizontal="left" vertical="center"/>
    </xf>
    <xf numFmtId="41" fontId="13" fillId="0" borderId="12" xfId="158" applyFont="1" applyBorder="1" applyAlignment="1">
      <alignment horizontal="left"/>
    </xf>
    <xf numFmtId="41" fontId="13" fillId="0" borderId="12" xfId="159" applyFont="1" applyBorder="1" applyAlignment="1">
      <alignment horizontal="left"/>
    </xf>
    <xf numFmtId="41" fontId="13" fillId="0" borderId="12" xfId="156" applyFont="1" applyBorder="1" applyAlignment="1">
      <alignment horizontal="left"/>
    </xf>
    <xf numFmtId="2" fontId="22" fillId="0" borderId="0" xfId="155" applyNumberFormat="1" applyFont="1" applyBorder="1"/>
    <xf numFmtId="41" fontId="13" fillId="0" borderId="12" xfId="156" applyFont="1" applyBorder="1" applyAlignment="1">
      <alignment horizontal="left" vertical="center"/>
    </xf>
    <xf numFmtId="41" fontId="13" fillId="2" borderId="12" xfId="38" applyFont="1" applyFill="1" applyBorder="1" applyAlignment="1">
      <alignment horizontal="left"/>
    </xf>
    <xf numFmtId="0" fontId="19" fillId="0" borderId="12" xfId="155" applyFill="1" applyBorder="1" applyAlignment="1">
      <alignment horizontal="left" vertical="center" wrapText="1"/>
    </xf>
    <xf numFmtId="0" fontId="19" fillId="0" borderId="12" xfId="155" applyBorder="1" applyAlignment="1">
      <alignment horizontal="center" vertical="center" wrapText="1"/>
    </xf>
    <xf numFmtId="41" fontId="13" fillId="0" borderId="12" xfId="158" applyFont="1" applyBorder="1" applyAlignment="1">
      <alignment horizontal="left" vertical="center" wrapText="1"/>
    </xf>
    <xf numFmtId="41" fontId="13" fillId="0" borderId="14" xfId="7" applyFont="1" applyBorder="1" applyAlignment="1">
      <alignment horizontal="left" vertical="top" wrapText="1"/>
    </xf>
    <xf numFmtId="0" fontId="28" fillId="0" borderId="0" xfId="155" applyFont="1"/>
    <xf numFmtId="0" fontId="13" fillId="2" borderId="12" xfId="155" applyFont="1" applyFill="1" applyBorder="1" applyAlignment="1">
      <alignment horizontal="center" vertical="center" wrapText="1"/>
    </xf>
    <xf numFmtId="41" fontId="13" fillId="0" borderId="12" xfId="156" applyFont="1" applyBorder="1" applyAlignment="1">
      <alignment horizontal="left" vertical="center" wrapText="1"/>
    </xf>
    <xf numFmtId="0" fontId="19" fillId="0" borderId="0" xfId="155" applyAlignment="1">
      <alignment horizontal="center" vertical="center" wrapText="1"/>
    </xf>
    <xf numFmtId="41" fontId="13" fillId="0" borderId="12" xfId="159" applyFont="1" applyBorder="1" applyAlignment="1">
      <alignment horizontal="left" vertical="top" wrapText="1"/>
    </xf>
    <xf numFmtId="41" fontId="13" fillId="0" borderId="12" xfId="156" quotePrefix="1" applyFont="1" applyBorder="1" applyAlignment="1">
      <alignment horizontal="left"/>
    </xf>
    <xf numFmtId="0" fontId="26" fillId="0" borderId="0" xfId="155" applyFont="1"/>
    <xf numFmtId="41" fontId="13" fillId="0" borderId="12" xfId="158" quotePrefix="1" applyFont="1" applyBorder="1" applyAlignment="1">
      <alignment horizontal="left"/>
    </xf>
    <xf numFmtId="41" fontId="29" fillId="0" borderId="12" xfId="7" applyFont="1" applyBorder="1" applyAlignment="1">
      <alignment horizontal="left"/>
    </xf>
    <xf numFmtId="0" fontId="19" fillId="0" borderId="0" xfId="155" applyBorder="1"/>
    <xf numFmtId="41" fontId="13" fillId="0" borderId="12" xfId="7" applyFont="1" applyBorder="1" applyAlignment="1">
      <alignment horizontal="left"/>
    </xf>
    <xf numFmtId="41" fontId="13" fillId="0" borderId="12" xfId="38" applyFont="1" applyBorder="1" applyAlignment="1">
      <alignment horizontal="center" wrapText="1"/>
    </xf>
    <xf numFmtId="41" fontId="13" fillId="0" borderId="12" xfId="38" applyFont="1" applyBorder="1" applyAlignment="1">
      <alignment horizontal="left"/>
    </xf>
    <xf numFmtId="41" fontId="30" fillId="0" borderId="12" xfId="7" applyFont="1" applyBorder="1" applyAlignment="1">
      <alignment horizontal="left" vertical="top" wrapText="1"/>
    </xf>
    <xf numFmtId="41" fontId="0" fillId="0" borderId="0" xfId="156" applyFont="1" applyBorder="1"/>
    <xf numFmtId="0" fontId="31" fillId="0" borderId="0" xfId="160" applyAlignment="1" applyProtection="1"/>
    <xf numFmtId="0" fontId="20" fillId="0" borderId="0" xfId="155" applyFont="1" applyBorder="1"/>
    <xf numFmtId="169" fontId="30" fillId="0" borderId="0" xfId="155" applyNumberFormat="1" applyFont="1" applyBorder="1"/>
    <xf numFmtId="0" fontId="19" fillId="2" borderId="12" xfId="155" applyFill="1" applyBorder="1"/>
    <xf numFmtId="0" fontId="19" fillId="4" borderId="0" xfId="155" applyFill="1" applyBorder="1"/>
    <xf numFmtId="0" fontId="19" fillId="5" borderId="0" xfId="155" applyFill="1"/>
    <xf numFmtId="9" fontId="19" fillId="2" borderId="12" xfId="155" applyNumberFormat="1" applyFill="1" applyBorder="1"/>
    <xf numFmtId="0" fontId="19" fillId="5" borderId="0" xfId="155" applyFill="1" applyBorder="1"/>
    <xf numFmtId="0" fontId="19" fillId="2" borderId="0" xfId="155" applyFill="1" applyBorder="1"/>
    <xf numFmtId="0" fontId="19" fillId="2" borderId="0" xfId="155" applyFill="1"/>
    <xf numFmtId="170" fontId="19" fillId="2" borderId="12" xfId="155" applyNumberFormat="1" applyFill="1" applyBorder="1"/>
    <xf numFmtId="0" fontId="20" fillId="5" borderId="0" xfId="155" applyFont="1" applyFill="1" applyBorder="1" applyAlignment="1">
      <alignment horizontal="center"/>
    </xf>
    <xf numFmtId="166" fontId="24" fillId="4" borderId="0" xfId="156" applyNumberFormat="1" applyFont="1" applyFill="1" applyBorder="1"/>
    <xf numFmtId="9" fontId="13" fillId="5" borderId="0" xfId="161" applyFont="1" applyFill="1"/>
    <xf numFmtId="166" fontId="24" fillId="5" borderId="0" xfId="156" applyNumberFormat="1" applyFont="1" applyFill="1" applyBorder="1"/>
    <xf numFmtId="0" fontId="13" fillId="2" borderId="12" xfId="155" applyFont="1" applyFill="1" applyBorder="1"/>
    <xf numFmtId="41" fontId="20" fillId="4" borderId="0" xfId="156" applyFont="1" applyFill="1" applyBorder="1"/>
    <xf numFmtId="0" fontId="19" fillId="0" borderId="0" xfId="155" applyFill="1"/>
    <xf numFmtId="168" fontId="19" fillId="2" borderId="12" xfId="155" applyNumberFormat="1" applyFill="1" applyBorder="1"/>
    <xf numFmtId="168" fontId="19" fillId="0" borderId="0" xfId="155" applyNumberFormat="1"/>
    <xf numFmtId="0" fontId="19" fillId="0" borderId="0" xfId="155" applyNumberFormat="1"/>
    <xf numFmtId="41" fontId="19" fillId="0" borderId="0" xfId="155" applyNumberFormat="1"/>
    <xf numFmtId="0" fontId="13" fillId="0" borderId="0" xfId="155" applyFont="1"/>
    <xf numFmtId="2" fontId="19" fillId="0" borderId="0" xfId="155" applyNumberFormat="1"/>
    <xf numFmtId="43" fontId="19" fillId="0" borderId="0" xfId="155" applyNumberFormat="1"/>
    <xf numFmtId="43" fontId="20" fillId="0" borderId="0" xfId="155" applyNumberFormat="1" applyFont="1"/>
    <xf numFmtId="41" fontId="0" fillId="0" borderId="0" xfId="156" applyFont="1"/>
    <xf numFmtId="43" fontId="0" fillId="0" borderId="0" xfId="162" applyFont="1"/>
    <xf numFmtId="0" fontId="19" fillId="0" borderId="31" xfId="155" applyBorder="1"/>
    <xf numFmtId="41" fontId="19" fillId="0" borderId="31" xfId="155" applyNumberFormat="1" applyBorder="1"/>
    <xf numFmtId="43" fontId="19" fillId="0" borderId="31" xfId="155" applyNumberFormat="1" applyBorder="1"/>
    <xf numFmtId="43" fontId="0" fillId="0" borderId="31" xfId="162" applyFont="1" applyBorder="1"/>
    <xf numFmtId="0" fontId="19" fillId="0" borderId="32" xfId="155" applyBorder="1"/>
    <xf numFmtId="43" fontId="0" fillId="0" borderId="32" xfId="162" applyFont="1" applyBorder="1"/>
    <xf numFmtId="9" fontId="13" fillId="0" borderId="0" xfId="155" applyNumberFormat="1" applyFont="1" applyAlignment="1">
      <alignment horizontal="center"/>
    </xf>
    <xf numFmtId="0" fontId="20" fillId="3" borderId="12" xfId="155" applyFont="1" applyFill="1" applyBorder="1" applyAlignment="1">
      <alignment horizontal="center"/>
    </xf>
    <xf numFmtId="41" fontId="20" fillId="3" borderId="12" xfId="155" applyNumberFormat="1" applyFont="1" applyFill="1" applyBorder="1" applyAlignment="1">
      <alignment horizontal="center"/>
    </xf>
    <xf numFmtId="41" fontId="20" fillId="3" borderId="12" xfId="156" applyFont="1" applyFill="1" applyBorder="1" applyAlignment="1">
      <alignment horizontal="center"/>
    </xf>
    <xf numFmtId="43" fontId="20" fillId="3" borderId="12" xfId="162" applyFont="1" applyFill="1" applyBorder="1" applyAlignment="1">
      <alignment horizontal="center"/>
    </xf>
    <xf numFmtId="43" fontId="20" fillId="3" borderId="14" xfId="162" applyFont="1" applyFill="1" applyBorder="1" applyAlignment="1">
      <alignment horizontal="center"/>
    </xf>
    <xf numFmtId="166" fontId="24" fillId="0" borderId="0" xfId="156" applyNumberFormat="1" applyFont="1"/>
    <xf numFmtId="9" fontId="19" fillId="0" borderId="0" xfId="155" applyNumberFormat="1"/>
    <xf numFmtId="0" fontId="13" fillId="3" borderId="12" xfId="155" applyFont="1" applyFill="1" applyBorder="1"/>
    <xf numFmtId="41" fontId="13" fillId="3" borderId="12" xfId="156" applyNumberFormat="1" applyFont="1" applyFill="1" applyBorder="1"/>
    <xf numFmtId="41" fontId="24" fillId="3" borderId="12" xfId="156" applyNumberFormat="1" applyFont="1" applyFill="1" applyBorder="1"/>
    <xf numFmtId="41" fontId="24" fillId="3" borderId="14" xfId="156" applyNumberFormat="1" applyFont="1" applyFill="1" applyBorder="1"/>
    <xf numFmtId="166" fontId="13" fillId="3" borderId="12" xfId="156" applyNumberFormat="1" applyFont="1" applyFill="1" applyBorder="1"/>
    <xf numFmtId="41" fontId="20" fillId="0" borderId="0" xfId="156" applyFont="1"/>
    <xf numFmtId="0" fontId="20" fillId="3" borderId="12" xfId="155" applyFont="1" applyFill="1" applyBorder="1"/>
    <xf numFmtId="41" fontId="20" fillId="3" borderId="12" xfId="156" applyNumberFormat="1" applyFont="1" applyFill="1" applyBorder="1"/>
    <xf numFmtId="41" fontId="20" fillId="3" borderId="14" xfId="156" applyNumberFormat="1" applyFont="1" applyFill="1" applyBorder="1"/>
    <xf numFmtId="0" fontId="0" fillId="0" borderId="0" xfId="161" applyNumberFormat="1" applyFont="1"/>
    <xf numFmtId="0" fontId="24" fillId="0" borderId="12" xfId="163" applyNumberFormat="1" applyFont="1" applyBorder="1" applyAlignment="1">
      <alignment horizontal="right"/>
    </xf>
    <xf numFmtId="0" fontId="19" fillId="0" borderId="12" xfId="163" applyNumberFormat="1" applyFont="1" applyBorder="1" applyAlignment="1">
      <alignment horizontal="right"/>
    </xf>
    <xf numFmtId="0" fontId="13" fillId="0" borderId="12" xfId="163" applyNumberFormat="1" applyFont="1" applyBorder="1" applyAlignment="1">
      <alignment horizontal="right"/>
    </xf>
    <xf numFmtId="171" fontId="13" fillId="0" borderId="12" xfId="159" applyNumberFormat="1" applyFont="1" applyFill="1" applyBorder="1" applyAlignment="1">
      <alignment horizontal="right"/>
    </xf>
    <xf numFmtId="41" fontId="0" fillId="0" borderId="12" xfId="159" applyFont="1" applyBorder="1" applyAlignment="1">
      <alignment horizontal="right"/>
    </xf>
    <xf numFmtId="172" fontId="0" fillId="0" borderId="12" xfId="159" applyNumberFormat="1" applyFont="1" applyBorder="1" applyAlignment="1">
      <alignment horizontal="right"/>
    </xf>
    <xf numFmtId="173" fontId="0" fillId="0" borderId="12" xfId="159" applyNumberFormat="1" applyFont="1" applyBorder="1" applyAlignment="1">
      <alignment horizontal="right"/>
    </xf>
    <xf numFmtId="9" fontId="19" fillId="4" borderId="12" xfId="163" applyNumberFormat="1" applyFont="1" applyFill="1" applyBorder="1" applyAlignment="1">
      <alignment horizontal="right"/>
    </xf>
    <xf numFmtId="41" fontId="19" fillId="0" borderId="12" xfId="163" applyNumberFormat="1" applyFont="1" applyBorder="1" applyAlignment="1">
      <alignment horizontal="right"/>
    </xf>
    <xf numFmtId="173" fontId="19" fillId="0" borderId="12" xfId="155" applyNumberFormat="1" applyFill="1" applyBorder="1" applyAlignment="1">
      <alignment horizontal="right"/>
    </xf>
    <xf numFmtId="41" fontId="19" fillId="4" borderId="12" xfId="163" applyNumberFormat="1" applyFont="1" applyFill="1" applyBorder="1" applyAlignment="1">
      <alignment horizontal="right"/>
    </xf>
    <xf numFmtId="173" fontId="19" fillId="4" borderId="12" xfId="155" applyNumberFormat="1" applyFill="1" applyBorder="1" applyAlignment="1">
      <alignment horizontal="right"/>
    </xf>
    <xf numFmtId="173" fontId="0" fillId="0" borderId="12" xfId="159" applyNumberFormat="1" applyFont="1" applyFill="1" applyBorder="1" applyAlignment="1">
      <alignment horizontal="right"/>
    </xf>
    <xf numFmtId="9" fontId="0" fillId="4" borderId="12" xfId="159" applyNumberFormat="1" applyFont="1" applyFill="1" applyBorder="1" applyAlignment="1">
      <alignment horizontal="right"/>
    </xf>
    <xf numFmtId="173" fontId="0" fillId="4" borderId="12" xfId="159" applyNumberFormat="1" applyFont="1" applyFill="1" applyBorder="1" applyAlignment="1">
      <alignment horizontal="right"/>
    </xf>
    <xf numFmtId="41" fontId="0" fillId="0" borderId="15" xfId="159" applyFont="1" applyBorder="1" applyAlignment="1">
      <alignment horizontal="right"/>
    </xf>
    <xf numFmtId="41" fontId="30" fillId="0" borderId="14" xfId="7" applyFont="1" applyBorder="1" applyAlignment="1">
      <alignment horizontal="right"/>
    </xf>
    <xf numFmtId="41" fontId="13" fillId="0" borderId="14" xfId="7" applyFont="1" applyBorder="1" applyAlignment="1">
      <alignment horizontal="left"/>
    </xf>
    <xf numFmtId="41" fontId="13" fillId="0" borderId="12" xfId="158" applyFont="1" applyBorder="1" applyAlignment="1">
      <alignment horizontal="left" vertical="top" wrapText="1"/>
    </xf>
    <xf numFmtId="0" fontId="0" fillId="0" borderId="12" xfId="0" applyBorder="1"/>
    <xf numFmtId="43" fontId="0" fillId="0" borderId="12" xfId="0" applyNumberFormat="1" applyBorder="1"/>
    <xf numFmtId="0" fontId="19" fillId="0" borderId="0" xfId="155" applyAlignment="1">
      <alignment horizontal="center"/>
    </xf>
    <xf numFmtId="0" fontId="19" fillId="4" borderId="22" xfId="155" applyFill="1" applyBorder="1" applyAlignment="1">
      <alignment horizontal="center" vertical="center" wrapText="1"/>
    </xf>
    <xf numFmtId="0" fontId="19" fillId="0" borderId="23" xfId="155" applyBorder="1" applyAlignment="1">
      <alignment horizontal="center"/>
    </xf>
    <xf numFmtId="0" fontId="19" fillId="0" borderId="25" xfId="155" applyBorder="1" applyAlignment="1">
      <alignment horizontal="center"/>
    </xf>
    <xf numFmtId="0" fontId="19" fillId="0" borderId="28" xfId="155" applyBorder="1" applyAlignment="1">
      <alignment horizontal="center"/>
    </xf>
    <xf numFmtId="0" fontId="19" fillId="0" borderId="24" xfId="155" applyBorder="1" applyAlignment="1">
      <alignment horizontal="center"/>
    </xf>
    <xf numFmtId="0" fontId="19" fillId="0" borderId="22" xfId="155" applyBorder="1" applyAlignment="1">
      <alignment horizontal="center"/>
    </xf>
    <xf numFmtId="0" fontId="19" fillId="0" borderId="29" xfId="155" applyBorder="1" applyAlignment="1">
      <alignment horizontal="center"/>
    </xf>
    <xf numFmtId="0" fontId="20" fillId="0" borderId="12" xfId="155" applyFont="1" applyBorder="1" applyAlignment="1">
      <alignment horizontal="center" vertical="center"/>
    </xf>
    <xf numFmtId="0" fontId="20" fillId="0" borderId="2" xfId="155" applyFont="1" applyBorder="1" applyAlignment="1">
      <alignment horizontal="center" vertical="center"/>
    </xf>
    <xf numFmtId="0" fontId="19" fillId="0" borderId="26" xfId="155" applyBorder="1" applyAlignment="1">
      <alignment horizontal="center" wrapText="1"/>
    </xf>
    <xf numFmtId="0" fontId="19" fillId="0" borderId="27" xfId="155" applyBorder="1" applyAlignment="1">
      <alignment horizontal="center" wrapText="1"/>
    </xf>
    <xf numFmtId="0" fontId="19" fillId="0" borderId="30" xfId="155" applyBorder="1" applyAlignment="1">
      <alignment horizontal="center" wrapText="1"/>
    </xf>
    <xf numFmtId="0" fontId="19" fillId="0" borderId="26" xfId="155" applyBorder="1" applyAlignment="1">
      <alignment horizontal="center"/>
    </xf>
    <xf numFmtId="0" fontId="19" fillId="0" borderId="27" xfId="155" applyBorder="1" applyAlignment="1">
      <alignment horizontal="center"/>
    </xf>
    <xf numFmtId="0" fontId="19" fillId="0" borderId="30" xfId="155" applyBorder="1" applyAlignment="1">
      <alignment horizontal="center"/>
    </xf>
    <xf numFmtId="0" fontId="21" fillId="0" borderId="14" xfId="155" applyFont="1" applyBorder="1" applyAlignment="1">
      <alignment horizontal="center" vertical="center"/>
    </xf>
    <xf numFmtId="0" fontId="13" fillId="4" borderId="22" xfId="155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6" fillId="0" borderId="14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5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7" fillId="0" borderId="0" xfId="148" applyFont="1" applyFill="1" applyAlignment="1">
      <alignment horizontal="center" vertical="center"/>
    </xf>
    <xf numFmtId="165" fontId="4" fillId="0" borderId="9" xfId="148" applyNumberFormat="1" applyFont="1" applyFill="1" applyBorder="1" applyAlignment="1">
      <alignment horizontal="center" vertical="center"/>
    </xf>
    <xf numFmtId="165" fontId="4" fillId="0" borderId="6" xfId="148" applyNumberFormat="1" applyFont="1" applyFill="1" applyBorder="1" applyAlignment="1">
      <alignment horizontal="center" vertical="center"/>
    </xf>
    <xf numFmtId="165" fontId="4" fillId="0" borderId="2" xfId="148" applyNumberFormat="1" applyFont="1" applyFill="1" applyBorder="1" applyAlignment="1">
      <alignment horizontal="center" vertical="center"/>
    </xf>
    <xf numFmtId="0" fontId="4" fillId="0" borderId="0" xfId="148" applyFont="1" applyFill="1" applyBorder="1" applyAlignment="1">
      <alignment horizontal="center" vertical="center"/>
    </xf>
    <xf numFmtId="0" fontId="4" fillId="0" borderId="3" xfId="148" applyFont="1" applyFill="1" applyBorder="1" applyAlignment="1">
      <alignment horizontal="center" vertical="center"/>
    </xf>
    <xf numFmtId="0" fontId="4" fillId="0" borderId="9" xfId="148" applyFont="1" applyFill="1" applyBorder="1" applyAlignment="1">
      <alignment horizontal="center" vertical="center" wrapText="1"/>
    </xf>
    <xf numFmtId="0" fontId="4" fillId="0" borderId="6" xfId="148" applyFont="1" applyFill="1" applyBorder="1" applyAlignment="1">
      <alignment horizontal="center" vertical="center" wrapText="1"/>
    </xf>
    <xf numFmtId="0" fontId="4" fillId="0" borderId="2" xfId="148" applyFont="1" applyFill="1" applyBorder="1" applyAlignment="1">
      <alignment horizontal="center" vertical="center" wrapText="1"/>
    </xf>
    <xf numFmtId="0" fontId="4" fillId="0" borderId="9" xfId="148" applyFont="1" applyFill="1" applyBorder="1" applyAlignment="1">
      <alignment horizontal="center" vertical="center"/>
    </xf>
    <xf numFmtId="0" fontId="4" fillId="0" borderId="6" xfId="148" applyFont="1" applyFill="1" applyBorder="1" applyAlignment="1">
      <alignment horizontal="center" vertical="center"/>
    </xf>
    <xf numFmtId="0" fontId="4" fillId="0" borderId="2" xfId="148" applyFont="1" applyFill="1" applyBorder="1" applyAlignment="1">
      <alignment horizontal="center" vertical="center"/>
    </xf>
    <xf numFmtId="0" fontId="4" fillId="0" borderId="10" xfId="148" applyFont="1" applyFill="1" applyBorder="1" applyAlignment="1">
      <alignment horizontal="center" vertical="center"/>
    </xf>
    <xf numFmtId="165" fontId="4" fillId="0" borderId="6" xfId="148" quotePrefix="1" applyNumberFormat="1" applyFont="1" applyFill="1" applyBorder="1" applyAlignment="1">
      <alignment horizontal="center" vertical="center"/>
    </xf>
    <xf numFmtId="165" fontId="4" fillId="0" borderId="9" xfId="148" quotePrefix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4" fillId="0" borderId="10" xfId="148" quotePrefix="1" applyFont="1" applyFill="1" applyBorder="1" applyAlignment="1">
      <alignment horizontal="center" vertical="center" wrapText="1"/>
    </xf>
    <xf numFmtId="0" fontId="4" fillId="0" borderId="0" xfId="148" quotePrefix="1" applyFont="1" applyFill="1" applyBorder="1" applyAlignment="1">
      <alignment horizontal="center" vertical="center" wrapText="1"/>
    </xf>
    <xf numFmtId="0" fontId="4" fillId="0" borderId="3" xfId="148" quotePrefix="1" applyFont="1" applyFill="1" applyBorder="1" applyAlignment="1">
      <alignment horizontal="center" vertical="center" wrapText="1"/>
    </xf>
    <xf numFmtId="0" fontId="4" fillId="0" borderId="9" xfId="148" quotePrefix="1" applyFont="1" applyFill="1" applyBorder="1" applyAlignment="1">
      <alignment horizontal="center" vertical="center"/>
    </xf>
    <xf numFmtId="0" fontId="4" fillId="0" borderId="6" xfId="148" quotePrefix="1" applyFont="1" applyFill="1" applyBorder="1" applyAlignment="1">
      <alignment horizontal="center" vertical="center"/>
    </xf>
    <xf numFmtId="0" fontId="4" fillId="0" borderId="2" xfId="148" quotePrefix="1" applyFont="1" applyFill="1" applyBorder="1" applyAlignment="1">
      <alignment horizontal="center" vertical="center"/>
    </xf>
    <xf numFmtId="1" fontId="4" fillId="0" borderId="6" xfId="148" applyNumberFormat="1" applyFont="1" applyFill="1" applyBorder="1" applyAlignment="1">
      <alignment horizontal="center" vertical="center"/>
    </xf>
    <xf numFmtId="1" fontId="4" fillId="0" borderId="2" xfId="148" applyNumberFormat="1" applyFont="1" applyFill="1" applyBorder="1" applyAlignment="1">
      <alignment horizontal="center" vertical="center"/>
    </xf>
    <xf numFmtId="1" fontId="4" fillId="0" borderId="9" xfId="148" applyNumberFormat="1" applyFont="1" applyFill="1" applyBorder="1" applyAlignment="1">
      <alignment horizontal="center" vertical="center"/>
    </xf>
    <xf numFmtId="0" fontId="4" fillId="0" borderId="10" xfId="148" applyFont="1" applyFill="1" applyBorder="1" applyAlignment="1">
      <alignment horizontal="center" vertical="top"/>
    </xf>
    <xf numFmtId="0" fontId="4" fillId="0" borderId="0" xfId="148" applyFont="1" applyFill="1" applyBorder="1" applyAlignment="1">
      <alignment horizontal="center" vertical="top"/>
    </xf>
    <xf numFmtId="0" fontId="4" fillId="0" borderId="3" xfId="148" applyFont="1" applyFill="1" applyBorder="1" applyAlignment="1">
      <alignment horizontal="center" vertical="top"/>
    </xf>
    <xf numFmtId="0" fontId="4" fillId="0" borderId="9" xfId="148" applyFont="1" applyFill="1" applyBorder="1" applyAlignment="1">
      <alignment horizontal="center" vertical="top"/>
    </xf>
    <xf numFmtId="0" fontId="4" fillId="0" borderId="6" xfId="148" applyFont="1" applyFill="1" applyBorder="1" applyAlignment="1">
      <alignment horizontal="center" vertical="top"/>
    </xf>
    <xf numFmtId="0" fontId="4" fillId="0" borderId="2" xfId="148" applyFont="1" applyFill="1" applyBorder="1" applyAlignment="1">
      <alignment horizontal="center" vertical="top"/>
    </xf>
    <xf numFmtId="0" fontId="6" fillId="0" borderId="12" xfId="148" applyFont="1" applyFill="1" applyBorder="1" applyAlignment="1">
      <alignment horizontal="center" vertical="center" wrapText="1"/>
    </xf>
    <xf numFmtId="0" fontId="6" fillId="0" borderId="11" xfId="148" applyFont="1" applyFill="1" applyBorder="1" applyAlignment="1">
      <alignment horizontal="center" vertical="center" wrapText="1"/>
    </xf>
    <xf numFmtId="0" fontId="6" fillId="0" borderId="8" xfId="148" applyFont="1" applyFill="1" applyBorder="1" applyAlignment="1">
      <alignment horizontal="center" vertical="center" wrapText="1"/>
    </xf>
    <xf numFmtId="0" fontId="6" fillId="0" borderId="4" xfId="148" applyFont="1" applyFill="1" applyBorder="1" applyAlignment="1">
      <alignment horizontal="center" vertical="center" wrapText="1"/>
    </xf>
    <xf numFmtId="0" fontId="6" fillId="0" borderId="1" xfId="148" applyFont="1" applyFill="1" applyBorder="1" applyAlignment="1">
      <alignment horizontal="center" vertical="center" wrapText="1"/>
    </xf>
    <xf numFmtId="0" fontId="6" fillId="0" borderId="12" xfId="148" applyFont="1" applyFill="1" applyBorder="1" applyAlignment="1">
      <alignment horizontal="center" vertical="center"/>
    </xf>
    <xf numFmtId="0" fontId="4" fillId="0" borderId="10" xfId="148" applyFont="1" applyFill="1" applyBorder="1" applyAlignment="1">
      <alignment horizontal="center" vertical="top" wrapText="1"/>
    </xf>
    <xf numFmtId="0" fontId="4" fillId="0" borderId="0" xfId="148" applyFont="1" applyFill="1" applyBorder="1" applyAlignment="1">
      <alignment horizontal="center" vertical="top" wrapText="1"/>
    </xf>
    <xf numFmtId="0" fontId="4" fillId="0" borderId="3" xfId="148" applyFont="1" applyFill="1" applyBorder="1" applyAlignment="1">
      <alignment horizontal="center" vertical="top" wrapText="1"/>
    </xf>
    <xf numFmtId="1" fontId="6" fillId="0" borderId="12" xfId="148" applyNumberFormat="1" applyFont="1" applyFill="1" applyBorder="1" applyAlignment="1">
      <alignment horizontal="center" vertical="center" wrapText="1"/>
    </xf>
    <xf numFmtId="0" fontId="8" fillId="2" borderId="0" xfId="148" applyFont="1" applyFill="1" applyAlignment="1">
      <alignment horizontal="center" vertical="center"/>
    </xf>
    <xf numFmtId="0" fontId="6" fillId="2" borderId="12" xfId="148" applyFont="1" applyFill="1" applyBorder="1" applyAlignment="1">
      <alignment horizontal="center" vertical="center" wrapText="1"/>
    </xf>
    <xf numFmtId="0" fontId="6" fillId="2" borderId="11" xfId="148" applyFont="1" applyFill="1" applyBorder="1" applyAlignment="1">
      <alignment horizontal="center" vertical="center" wrapText="1"/>
    </xf>
    <xf numFmtId="0" fontId="6" fillId="2" borderId="8" xfId="148" applyFont="1" applyFill="1" applyBorder="1" applyAlignment="1">
      <alignment horizontal="center" vertical="center" wrapText="1"/>
    </xf>
    <xf numFmtId="0" fontId="6" fillId="2" borderId="4" xfId="148" applyFont="1" applyFill="1" applyBorder="1" applyAlignment="1">
      <alignment horizontal="center" vertical="center" wrapText="1"/>
    </xf>
    <xf numFmtId="0" fontId="6" fillId="2" borderId="1" xfId="148" applyFont="1" applyFill="1" applyBorder="1" applyAlignment="1">
      <alignment horizontal="center" vertical="center" wrapText="1"/>
    </xf>
    <xf numFmtId="0" fontId="6" fillId="2" borderId="9" xfId="148" applyFont="1" applyFill="1" applyBorder="1" applyAlignment="1">
      <alignment horizontal="center" vertical="center" wrapText="1"/>
    </xf>
    <xf numFmtId="0" fontId="6" fillId="2" borderId="2" xfId="148" applyFont="1" applyFill="1" applyBorder="1" applyAlignment="1">
      <alignment horizontal="center" vertical="center" wrapText="1"/>
    </xf>
    <xf numFmtId="164" fontId="6" fillId="2" borderId="12" xfId="148" applyNumberFormat="1" applyFont="1" applyFill="1" applyBorder="1" applyAlignment="1">
      <alignment horizontal="right" vertical="center" wrapText="1"/>
    </xf>
    <xf numFmtId="0" fontId="6" fillId="2" borderId="12" xfId="148" applyFont="1" applyFill="1" applyBorder="1" applyAlignment="1">
      <alignment horizontal="center" vertical="center"/>
    </xf>
    <xf numFmtId="0" fontId="4" fillId="2" borderId="9" xfId="148" applyFont="1" applyFill="1" applyBorder="1" applyAlignment="1">
      <alignment horizontal="center" vertical="top"/>
    </xf>
    <xf numFmtId="0" fontId="4" fillId="2" borderId="6" xfId="148" applyFont="1" applyFill="1" applyBorder="1" applyAlignment="1">
      <alignment horizontal="center" vertical="top"/>
    </xf>
    <xf numFmtId="0" fontId="4" fillId="2" borderId="2" xfId="148" applyFont="1" applyFill="1" applyBorder="1" applyAlignment="1">
      <alignment horizontal="center" vertical="top"/>
    </xf>
    <xf numFmtId="0" fontId="4" fillId="2" borderId="9" xfId="148" applyFont="1" applyFill="1" applyBorder="1" applyAlignment="1">
      <alignment horizontal="center" vertical="center" wrapText="1"/>
    </xf>
    <xf numFmtId="0" fontId="4" fillId="2" borderId="6" xfId="148" applyFont="1" applyFill="1" applyBorder="1" applyAlignment="1">
      <alignment horizontal="center" vertical="center" wrapText="1"/>
    </xf>
    <xf numFmtId="0" fontId="4" fillId="2" borderId="2" xfId="148" applyFont="1" applyFill="1" applyBorder="1" applyAlignment="1">
      <alignment horizontal="center" vertical="center" wrapText="1"/>
    </xf>
    <xf numFmtId="0" fontId="4" fillId="2" borderId="10" xfId="148" applyFont="1" applyFill="1" applyBorder="1" applyAlignment="1">
      <alignment horizontal="center" vertical="top" wrapText="1"/>
    </xf>
    <xf numFmtId="0" fontId="4" fillId="2" borderId="0" xfId="148" applyFont="1" applyFill="1" applyBorder="1" applyAlignment="1">
      <alignment horizontal="center" vertical="top" wrapText="1"/>
    </xf>
    <xf numFmtId="0" fontId="4" fillId="2" borderId="3" xfId="148" applyFont="1" applyFill="1" applyBorder="1" applyAlignment="1">
      <alignment horizontal="center" vertical="top" wrapText="1"/>
    </xf>
    <xf numFmtId="0" fontId="4" fillId="2" borderId="9" xfId="148" applyFont="1" applyFill="1" applyBorder="1" applyAlignment="1">
      <alignment horizontal="center" vertical="center"/>
    </xf>
    <xf numFmtId="0" fontId="4" fillId="2" borderId="6" xfId="148" applyFont="1" applyFill="1" applyBorder="1" applyAlignment="1">
      <alignment horizontal="center" vertical="center"/>
    </xf>
    <xf numFmtId="0" fontId="4" fillId="2" borderId="2" xfId="148" applyFont="1" applyFill="1" applyBorder="1" applyAlignment="1">
      <alignment horizontal="center" vertical="center"/>
    </xf>
    <xf numFmtId="165" fontId="4" fillId="2" borderId="9" xfId="148" quotePrefix="1" applyNumberFormat="1" applyFont="1" applyFill="1" applyBorder="1" applyAlignment="1">
      <alignment horizontal="center" vertical="center"/>
    </xf>
    <xf numFmtId="165" fontId="4" fillId="2" borderId="6" xfId="148" applyNumberFormat="1" applyFont="1" applyFill="1" applyBorder="1" applyAlignment="1">
      <alignment horizontal="center" vertical="center"/>
    </xf>
    <xf numFmtId="0" fontId="4" fillId="2" borderId="6" xfId="148" quotePrefix="1" applyFont="1" applyFill="1" applyBorder="1" applyAlignment="1">
      <alignment horizontal="center" vertical="center"/>
    </xf>
    <xf numFmtId="0" fontId="4" fillId="2" borderId="10" xfId="148" applyFont="1" applyFill="1" applyBorder="1" applyAlignment="1">
      <alignment horizontal="center" vertical="center"/>
    </xf>
    <xf numFmtId="0" fontId="4" fillId="2" borderId="0" xfId="148" applyFont="1" applyFill="1" applyBorder="1" applyAlignment="1">
      <alignment horizontal="center" vertical="center"/>
    </xf>
    <xf numFmtId="0" fontId="4" fillId="2" borderId="10" xfId="148" applyFont="1" applyFill="1" applyBorder="1" applyAlignment="1">
      <alignment horizontal="center" vertical="center" wrapText="1"/>
    </xf>
    <xf numFmtId="0" fontId="4" fillId="2" borderId="0" xfId="148" quotePrefix="1" applyFont="1" applyFill="1" applyBorder="1" applyAlignment="1">
      <alignment horizontal="center" vertical="center" wrapText="1"/>
    </xf>
    <xf numFmtId="0" fontId="4" fillId="2" borderId="2" xfId="148" quotePrefix="1" applyFont="1" applyFill="1" applyBorder="1" applyAlignment="1">
      <alignment horizontal="center" vertical="center"/>
    </xf>
    <xf numFmtId="0" fontId="4" fillId="2" borderId="0" xfId="148" applyFont="1" applyFill="1" applyBorder="1" applyAlignment="1">
      <alignment horizontal="center" vertical="top"/>
    </xf>
    <xf numFmtId="0" fontId="4" fillId="2" borderId="3" xfId="148" applyFont="1" applyFill="1" applyBorder="1" applyAlignment="1">
      <alignment horizontal="center" vertical="top"/>
    </xf>
    <xf numFmtId="0" fontId="4" fillId="2" borderId="11" xfId="148" applyFont="1" applyFill="1" applyBorder="1" applyAlignment="1">
      <alignment horizontal="center" vertical="center"/>
    </xf>
    <xf numFmtId="0" fontId="4" fillId="2" borderId="8" xfId="148" applyFont="1" applyFill="1" applyBorder="1" applyAlignment="1">
      <alignment horizontal="center" vertical="center"/>
    </xf>
    <xf numFmtId="0" fontId="4" fillId="2" borderId="7" xfId="148" applyFont="1" applyFill="1" applyBorder="1" applyAlignment="1">
      <alignment horizontal="center" vertical="center"/>
    </xf>
    <xf numFmtId="0" fontId="4" fillId="2" borderId="5" xfId="148" applyFont="1" applyFill="1" applyBorder="1" applyAlignment="1">
      <alignment horizontal="center" vertical="center"/>
    </xf>
    <xf numFmtId="165" fontId="4" fillId="2" borderId="2" xfId="148" applyNumberFormat="1" applyFont="1" applyFill="1" applyBorder="1" applyAlignment="1">
      <alignment horizontal="center" vertical="center"/>
    </xf>
    <xf numFmtId="0" fontId="4" fillId="2" borderId="3" xfId="148" applyFont="1" applyFill="1" applyBorder="1" applyAlignment="1">
      <alignment horizontal="center" vertical="center"/>
    </xf>
    <xf numFmtId="0" fontId="4" fillId="2" borderId="3" xfId="148" quotePrefix="1" applyFont="1" applyFill="1" applyBorder="1" applyAlignment="1">
      <alignment horizontal="center" vertical="center" wrapText="1"/>
    </xf>
    <xf numFmtId="0" fontId="4" fillId="2" borderId="10" xfId="148" applyFont="1" applyFill="1" applyBorder="1" applyAlignment="1">
      <alignment horizontal="center" vertical="top"/>
    </xf>
    <xf numFmtId="0" fontId="4" fillId="2" borderId="9" xfId="148" quotePrefix="1" applyFont="1" applyFill="1" applyBorder="1" applyAlignment="1">
      <alignment horizontal="center" vertical="center"/>
    </xf>
    <xf numFmtId="0" fontId="4" fillId="2" borderId="0" xfId="148" applyFont="1" applyFill="1" applyBorder="1" applyAlignment="1">
      <alignment horizontal="center" vertical="center" wrapText="1"/>
    </xf>
    <xf numFmtId="165" fontId="4" fillId="2" borderId="9" xfId="148" applyNumberFormat="1" applyFont="1" applyFill="1" applyBorder="1" applyAlignment="1">
      <alignment horizontal="center" vertical="center"/>
    </xf>
    <xf numFmtId="0" fontId="4" fillId="2" borderId="6" xfId="148" quotePrefix="1" applyFont="1" applyFill="1" applyBorder="1" applyAlignment="1">
      <alignment horizontal="center" vertical="center" wrapText="1"/>
    </xf>
    <xf numFmtId="165" fontId="4" fillId="2" borderId="6" xfId="148" quotePrefix="1" applyNumberFormat="1" applyFont="1" applyFill="1" applyBorder="1" applyAlignment="1">
      <alignment horizontal="center" vertical="center"/>
    </xf>
    <xf numFmtId="0" fontId="4" fillId="2" borderId="10" xfId="148" quotePrefix="1" applyFont="1" applyFill="1" applyBorder="1" applyAlignment="1">
      <alignment horizontal="center" vertical="center" wrapText="1"/>
    </xf>
    <xf numFmtId="0" fontId="4" fillId="2" borderId="11" xfId="148" quotePrefix="1" applyFont="1" applyFill="1" applyBorder="1" applyAlignment="1">
      <alignment horizontal="center" vertical="center"/>
    </xf>
    <xf numFmtId="0" fontId="4" fillId="2" borderId="7" xfId="148" quotePrefix="1" applyFont="1" applyFill="1" applyBorder="1" applyAlignment="1">
      <alignment horizontal="center" vertical="center"/>
    </xf>
    <xf numFmtId="0" fontId="4" fillId="2" borderId="9" xfId="148" quotePrefix="1" applyFont="1" applyFill="1" applyBorder="1" applyAlignment="1">
      <alignment horizontal="center" vertical="center" wrapText="1"/>
    </xf>
    <xf numFmtId="0" fontId="5" fillId="0" borderId="9" xfId="148" quotePrefix="1" applyFont="1" applyFill="1" applyBorder="1" applyAlignment="1">
      <alignment horizontal="center" vertical="center"/>
    </xf>
    <xf numFmtId="0" fontId="5" fillId="0" borderId="6" xfId="148" applyFont="1" applyFill="1" applyBorder="1" applyAlignment="1">
      <alignment horizontal="center" vertical="center"/>
    </xf>
    <xf numFmtId="0" fontId="5" fillId="0" borderId="2" xfId="148" applyFont="1" applyFill="1" applyBorder="1" applyAlignment="1">
      <alignment horizontal="center" vertical="center"/>
    </xf>
    <xf numFmtId="0" fontId="5" fillId="0" borderId="9" xfId="148" applyFont="1" applyFill="1" applyBorder="1" applyAlignment="1">
      <alignment horizontal="center" vertical="center"/>
    </xf>
    <xf numFmtId="0" fontId="4" fillId="0" borderId="10" xfId="148" applyFont="1" applyFill="1" applyBorder="1" applyAlignment="1">
      <alignment horizontal="center" vertical="center" wrapText="1"/>
    </xf>
    <xf numFmtId="0" fontId="4" fillId="0" borderId="0" xfId="148" applyFont="1" applyFill="1" applyBorder="1" applyAlignment="1">
      <alignment horizontal="center" vertical="center" wrapText="1"/>
    </xf>
    <xf numFmtId="0" fontId="8" fillId="0" borderId="0" xfId="148" applyFont="1" applyFill="1" applyAlignment="1">
      <alignment horizontal="center" vertical="center"/>
    </xf>
    <xf numFmtId="0" fontId="6" fillId="0" borderId="9" xfId="148" applyFont="1" applyFill="1" applyBorder="1" applyAlignment="1">
      <alignment horizontal="center" vertical="center" wrapText="1"/>
    </xf>
    <xf numFmtId="164" fontId="6" fillId="0" borderId="12" xfId="150" applyNumberFormat="1" applyFont="1" applyFill="1" applyBorder="1" applyAlignment="1">
      <alignment horizontal="center" vertical="center" wrapText="1"/>
    </xf>
    <xf numFmtId="0" fontId="23" fillId="0" borderId="0" xfId="1" applyFont="1" applyFill="1"/>
    <xf numFmtId="49" fontId="23" fillId="0" borderId="0" xfId="1" applyNumberFormat="1" applyFont="1" applyFill="1"/>
    <xf numFmtId="1" fontId="23" fillId="0" borderId="0" xfId="1" applyNumberFormat="1" applyFont="1" applyFill="1"/>
    <xf numFmtId="0" fontId="23" fillId="0" borderId="0" xfId="1" applyFont="1" applyFill="1" applyAlignment="1">
      <alignment wrapText="1"/>
    </xf>
    <xf numFmtId="0" fontId="23" fillId="0" borderId="0" xfId="1" applyFont="1" applyFill="1" applyAlignment="1">
      <alignment horizontal="center" vertical="top"/>
    </xf>
    <xf numFmtId="0" fontId="23" fillId="0" borderId="0" xfId="1" applyFont="1" applyFill="1" applyAlignment="1">
      <alignment horizontal="left" vertical="top"/>
    </xf>
    <xf numFmtId="0" fontId="23" fillId="0" borderId="0" xfId="1" applyFont="1" applyFill="1" applyAlignment="1">
      <alignment horizontal="right" vertical="top"/>
    </xf>
    <xf numFmtId="0" fontId="23" fillId="0" borderId="0" xfId="1" applyFont="1" applyFill="1" applyAlignment="1">
      <alignment vertical="top"/>
    </xf>
    <xf numFmtId="41" fontId="23" fillId="0" borderId="0" xfId="154" applyFont="1" applyFill="1" applyAlignment="1">
      <alignment horizontal="center" vertical="center"/>
    </xf>
    <xf numFmtId="41" fontId="53" fillId="0" borderId="0" xfId="154" applyFont="1" applyFill="1"/>
    <xf numFmtId="41" fontId="23" fillId="0" borderId="0" xfId="154" applyFont="1" applyFill="1"/>
    <xf numFmtId="0" fontId="53" fillId="0" borderId="0" xfId="1" applyFont="1" applyFill="1"/>
    <xf numFmtId="41" fontId="23" fillId="0" borderId="0" xfId="154" applyNumberFormat="1" applyFont="1" applyFill="1" applyAlignment="1">
      <alignment horizontal="center" vertical="top"/>
    </xf>
    <xf numFmtId="41" fontId="23" fillId="0" borderId="0" xfId="154" applyFont="1" applyFill="1" applyAlignment="1">
      <alignment horizontal="center" vertical="top"/>
    </xf>
    <xf numFmtId="0" fontId="23" fillId="0" borderId="0" xfId="1" applyFont="1" applyFill="1" applyAlignment="1"/>
    <xf numFmtId="41" fontId="23" fillId="0" borderId="0" xfId="154" applyNumberFormat="1" applyFont="1" applyFill="1" applyAlignment="1">
      <alignment vertical="top"/>
    </xf>
    <xf numFmtId="41" fontId="23" fillId="0" borderId="0" xfId="154" applyFont="1" applyFill="1" applyAlignment="1">
      <alignment horizontal="left" vertical="top"/>
    </xf>
    <xf numFmtId="0" fontId="23" fillId="0" borderId="0" xfId="1" applyFont="1" applyFill="1" applyAlignment="1">
      <alignment horizontal="center" vertical="center"/>
    </xf>
    <xf numFmtId="0" fontId="23" fillId="0" borderId="9" xfId="1" applyFont="1" applyFill="1" applyBorder="1" applyAlignment="1">
      <alignment horizontal="center" vertical="top"/>
    </xf>
    <xf numFmtId="0" fontId="23" fillId="0" borderId="11" xfId="1" applyFont="1" applyFill="1" applyBorder="1" applyAlignment="1">
      <alignment horizontal="left" vertical="center"/>
    </xf>
    <xf numFmtId="0" fontId="23" fillId="0" borderId="10" xfId="1" applyFont="1" applyFill="1" applyBorder="1" applyAlignment="1">
      <alignment vertical="center"/>
    </xf>
    <xf numFmtId="0" fontId="23" fillId="0" borderId="11" xfId="1" applyFont="1" applyFill="1" applyBorder="1" applyAlignment="1">
      <alignment vertical="center"/>
    </xf>
    <xf numFmtId="0" fontId="23" fillId="0" borderId="8" xfId="1" applyFont="1" applyFill="1" applyBorder="1" applyAlignment="1">
      <alignment vertical="center"/>
    </xf>
    <xf numFmtId="49" fontId="23" fillId="0" borderId="9" xfId="1" applyNumberFormat="1" applyFont="1" applyFill="1" applyBorder="1" applyAlignment="1">
      <alignment horizontal="center" vertical="top"/>
    </xf>
    <xf numFmtId="0" fontId="23" fillId="0" borderId="7" xfId="1" applyFont="1" applyFill="1" applyBorder="1" applyAlignment="1">
      <alignment vertical="center"/>
    </xf>
    <xf numFmtId="0" fontId="23" fillId="0" borderId="5" xfId="1" applyFont="1" applyFill="1" applyBorder="1" applyAlignment="1">
      <alignment vertical="center"/>
    </xf>
    <xf numFmtId="1" fontId="23" fillId="0" borderId="10" xfId="1" applyNumberFormat="1" applyFont="1" applyFill="1" applyBorder="1" applyAlignment="1">
      <alignment horizontal="center" vertical="center"/>
    </xf>
    <xf numFmtId="0" fontId="23" fillId="0" borderId="9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top" wrapText="1"/>
    </xf>
    <xf numFmtId="0" fontId="23" fillId="0" borderId="9" xfId="1" applyFont="1" applyFill="1" applyBorder="1" applyAlignment="1">
      <alignment horizontal="center" vertical="center"/>
    </xf>
    <xf numFmtId="0" fontId="23" fillId="0" borderId="11" xfId="1" applyFont="1" applyFill="1" applyBorder="1" applyAlignment="1">
      <alignment horizontal="center" vertical="center"/>
    </xf>
    <xf numFmtId="0" fontId="23" fillId="0" borderId="8" xfId="1" applyFont="1" applyFill="1" applyBorder="1" applyAlignment="1">
      <alignment vertical="center" wrapText="1"/>
    </xf>
    <xf numFmtId="164" fontId="23" fillId="0" borderId="10" xfId="2" applyNumberFormat="1" applyFont="1" applyFill="1" applyBorder="1" applyAlignment="1">
      <alignment vertical="top"/>
    </xf>
    <xf numFmtId="0" fontId="23" fillId="0" borderId="9" xfId="1" applyFont="1" applyFill="1" applyBorder="1" applyAlignment="1">
      <alignment vertical="top"/>
    </xf>
    <xf numFmtId="0" fontId="23" fillId="0" borderId="9" xfId="1" applyFont="1" applyFill="1" applyBorder="1" applyAlignment="1">
      <alignment horizontal="center" vertical="center"/>
    </xf>
    <xf numFmtId="0" fontId="23" fillId="0" borderId="9" xfId="1" applyFont="1" applyFill="1" applyBorder="1" applyAlignment="1">
      <alignment horizontal="center" vertical="top"/>
    </xf>
    <xf numFmtId="0" fontId="23" fillId="0" borderId="10" xfId="1" applyFont="1" applyFill="1" applyBorder="1" applyAlignment="1">
      <alignment vertical="top"/>
    </xf>
    <xf numFmtId="0" fontId="23" fillId="0" borderId="9" xfId="1" applyFont="1" applyFill="1" applyBorder="1" applyAlignment="1">
      <alignment horizontal="right" vertical="top"/>
    </xf>
    <xf numFmtId="0" fontId="23" fillId="0" borderId="10" xfId="1" applyFont="1" applyFill="1" applyBorder="1" applyAlignment="1">
      <alignment horizontal="right" vertical="top"/>
    </xf>
    <xf numFmtId="0" fontId="23" fillId="0" borderId="9" xfId="1" applyFont="1" applyFill="1" applyBorder="1" applyAlignment="1">
      <alignment vertical="center"/>
    </xf>
    <xf numFmtId="0" fontId="23" fillId="0" borderId="10" xfId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top"/>
    </xf>
    <xf numFmtId="41" fontId="23" fillId="0" borderId="9" xfId="154" applyFont="1" applyFill="1" applyBorder="1" applyAlignment="1">
      <alignment horizontal="center" vertical="center"/>
    </xf>
    <xf numFmtId="41" fontId="53" fillId="0" borderId="9" xfId="154" applyFont="1" applyFill="1" applyBorder="1" applyAlignment="1">
      <alignment horizontal="center" vertical="top"/>
    </xf>
    <xf numFmtId="41" fontId="23" fillId="0" borderId="9" xfId="154" applyFont="1" applyFill="1" applyBorder="1" applyAlignment="1">
      <alignment horizontal="center" vertical="top"/>
    </xf>
    <xf numFmtId="0" fontId="53" fillId="0" borderId="9" xfId="1" applyFont="1" applyFill="1" applyBorder="1" applyAlignment="1">
      <alignment horizontal="center" vertical="top"/>
    </xf>
    <xf numFmtId="41" fontId="23" fillId="0" borderId="9" xfId="154" applyNumberFormat="1" applyFont="1" applyFill="1" applyBorder="1" applyAlignment="1">
      <alignment horizontal="center" vertical="top"/>
    </xf>
    <xf numFmtId="41" fontId="23" fillId="0" borderId="9" xfId="154" applyFont="1" applyFill="1" applyBorder="1" applyAlignment="1">
      <alignment horizontal="left" vertical="top"/>
    </xf>
    <xf numFmtId="0" fontId="23" fillId="0" borderId="6" xfId="1" applyFont="1" applyFill="1" applyBorder="1" applyAlignment="1">
      <alignment horizontal="center" vertical="top"/>
    </xf>
    <xf numFmtId="0" fontId="23" fillId="0" borderId="0" xfId="1" applyFont="1" applyFill="1" applyBorder="1" applyAlignment="1">
      <alignment vertical="center" wrapText="1"/>
    </xf>
    <xf numFmtId="0" fontId="23" fillId="0" borderId="7" xfId="1" applyFont="1" applyFill="1" applyBorder="1" applyAlignment="1">
      <alignment vertical="center" wrapText="1"/>
    </xf>
    <xf numFmtId="49" fontId="23" fillId="0" borderId="6" xfId="1" applyNumberFormat="1" applyFont="1" applyFill="1" applyBorder="1" applyAlignment="1">
      <alignment horizontal="center" vertical="top"/>
    </xf>
    <xf numFmtId="1" fontId="23" fillId="0" borderId="0" xfId="1" applyNumberFormat="1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23" fillId="0" borderId="6" xfId="1" applyFont="1" applyFill="1" applyBorder="1" applyAlignment="1">
      <alignment horizontal="center" vertical="top" wrapText="1"/>
    </xf>
    <xf numFmtId="0" fontId="23" fillId="0" borderId="6" xfId="1" applyFont="1" applyFill="1" applyBorder="1" applyAlignment="1">
      <alignment horizontal="center" vertical="center"/>
    </xf>
    <xf numFmtId="0" fontId="23" fillId="0" borderId="7" xfId="1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vertical="center" wrapText="1"/>
    </xf>
    <xf numFmtId="164" fontId="23" fillId="0" borderId="0" xfId="2" applyNumberFormat="1" applyFont="1" applyFill="1" applyBorder="1" applyAlignment="1">
      <alignment vertical="top"/>
    </xf>
    <xf numFmtId="0" fontId="23" fillId="0" borderId="6" xfId="1" applyFont="1" applyFill="1" applyBorder="1" applyAlignment="1">
      <alignment vertical="top"/>
    </xf>
    <xf numFmtId="0" fontId="23" fillId="0" borderId="0" xfId="1" applyFont="1" applyFill="1" applyBorder="1" applyAlignment="1">
      <alignment vertical="center"/>
    </xf>
    <xf numFmtId="0" fontId="23" fillId="0" borderId="6" xfId="1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top"/>
    </xf>
    <xf numFmtId="0" fontId="23" fillId="0" borderId="0" xfId="1" applyFont="1" applyFill="1" applyBorder="1" applyAlignment="1">
      <alignment vertical="top"/>
    </xf>
    <xf numFmtId="0" fontId="23" fillId="0" borderId="6" xfId="1" applyFont="1" applyFill="1" applyBorder="1" applyAlignment="1">
      <alignment horizontal="right" vertical="top"/>
    </xf>
    <xf numFmtId="0" fontId="23" fillId="0" borderId="0" xfId="1" applyFont="1" applyFill="1" applyBorder="1" applyAlignment="1">
      <alignment horizontal="right" vertical="top"/>
    </xf>
    <xf numFmtId="0" fontId="23" fillId="0" borderId="6" xfId="1" applyFont="1" applyFill="1" applyBorder="1" applyAlignment="1">
      <alignment vertical="center"/>
    </xf>
    <xf numFmtId="0" fontId="23" fillId="0" borderId="0" xfId="1" applyFont="1" applyFill="1" applyBorder="1" applyAlignment="1">
      <alignment horizontal="center" vertical="center"/>
    </xf>
    <xf numFmtId="0" fontId="23" fillId="0" borderId="7" xfId="1" applyFont="1" applyFill="1" applyBorder="1" applyAlignment="1">
      <alignment vertical="top"/>
    </xf>
    <xf numFmtId="0" fontId="23" fillId="0" borderId="5" xfId="1" applyFont="1" applyFill="1" applyBorder="1" applyAlignment="1">
      <alignment vertical="top" wrapText="1"/>
    </xf>
    <xf numFmtId="0" fontId="23" fillId="0" borderId="0" xfId="1" applyFont="1" applyFill="1" applyBorder="1" applyAlignment="1">
      <alignment horizontal="center" vertical="top"/>
    </xf>
    <xf numFmtId="41" fontId="23" fillId="0" borderId="6" xfId="154" applyFont="1" applyFill="1" applyBorder="1" applyAlignment="1">
      <alignment horizontal="center" vertical="center"/>
    </xf>
    <xf numFmtId="41" fontId="53" fillId="0" borderId="6" xfId="154" applyFont="1" applyFill="1" applyBorder="1" applyAlignment="1">
      <alignment horizontal="center" vertical="top"/>
    </xf>
    <xf numFmtId="41" fontId="23" fillId="0" borderId="6" xfId="154" applyFont="1" applyFill="1" applyBorder="1" applyAlignment="1">
      <alignment horizontal="center" vertical="top"/>
    </xf>
    <xf numFmtId="0" fontId="53" fillId="0" borderId="6" xfId="1" applyFont="1" applyFill="1" applyBorder="1" applyAlignment="1">
      <alignment horizontal="center" vertical="top"/>
    </xf>
    <xf numFmtId="41" fontId="23" fillId="0" borderId="6" xfId="154" applyNumberFormat="1" applyFont="1" applyFill="1" applyBorder="1" applyAlignment="1">
      <alignment horizontal="center" vertical="top"/>
    </xf>
    <xf numFmtId="41" fontId="23" fillId="0" borderId="6" xfId="154" applyFont="1" applyFill="1" applyBorder="1" applyAlignment="1">
      <alignment horizontal="left" vertical="top"/>
    </xf>
    <xf numFmtId="0" fontId="23" fillId="0" borderId="0" xfId="1" applyFont="1" applyFill="1" applyBorder="1" applyAlignment="1">
      <alignment horizontal="center" vertical="top"/>
    </xf>
    <xf numFmtId="0" fontId="23" fillId="0" borderId="5" xfId="1" applyFont="1" applyFill="1" applyBorder="1" applyAlignment="1">
      <alignment vertical="top"/>
    </xf>
    <xf numFmtId="0" fontId="23" fillId="0" borderId="2" xfId="1" applyFont="1" applyFill="1" applyBorder="1" applyAlignment="1">
      <alignment horizontal="center" vertical="top"/>
    </xf>
    <xf numFmtId="0" fontId="23" fillId="0" borderId="3" xfId="1" applyFont="1" applyFill="1" applyBorder="1" applyAlignment="1">
      <alignment vertical="center"/>
    </xf>
    <xf numFmtId="0" fontId="23" fillId="0" borderId="4" xfId="1" applyFont="1" applyFill="1" applyBorder="1" applyAlignment="1">
      <alignment vertical="center"/>
    </xf>
    <xf numFmtId="0" fontId="23" fillId="0" borderId="1" xfId="1" applyFont="1" applyFill="1" applyBorder="1" applyAlignment="1">
      <alignment vertical="center"/>
    </xf>
    <xf numFmtId="49" fontId="23" fillId="0" borderId="2" xfId="1" applyNumberFormat="1" applyFont="1" applyFill="1" applyBorder="1" applyAlignment="1">
      <alignment horizontal="center" vertical="top"/>
    </xf>
    <xf numFmtId="0" fontId="23" fillId="0" borderId="4" xfId="1" applyFont="1" applyFill="1" applyBorder="1" applyAlignment="1">
      <alignment vertical="top"/>
    </xf>
    <xf numFmtId="0" fontId="23" fillId="0" borderId="1" xfId="1" applyFont="1" applyFill="1" applyBorder="1" applyAlignment="1">
      <alignment vertical="top"/>
    </xf>
    <xf numFmtId="1" fontId="23" fillId="0" borderId="3" xfId="1" applyNumberFormat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 wrapText="1"/>
    </xf>
    <xf numFmtId="0" fontId="23" fillId="0" borderId="2" xfId="1" applyFont="1" applyFill="1" applyBorder="1" applyAlignment="1">
      <alignment horizontal="center" vertical="top" wrapText="1"/>
    </xf>
    <xf numFmtId="0" fontId="23" fillId="0" borderId="2" xfId="1" applyFont="1" applyFill="1" applyBorder="1" applyAlignment="1">
      <alignment horizontal="center" vertical="center"/>
    </xf>
    <xf numFmtId="0" fontId="23" fillId="0" borderId="4" xfId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vertical="top" wrapText="1"/>
    </xf>
    <xf numFmtId="164" fontId="23" fillId="0" borderId="3" xfId="2" applyNumberFormat="1" applyFont="1" applyFill="1" applyBorder="1" applyAlignment="1">
      <alignment vertical="top"/>
    </xf>
    <xf numFmtId="0" fontId="23" fillId="0" borderId="2" xfId="1" applyFont="1" applyFill="1" applyBorder="1" applyAlignment="1">
      <alignment vertical="top"/>
    </xf>
    <xf numFmtId="0" fontId="23" fillId="0" borderId="2" xfId="1" applyFont="1" applyFill="1" applyBorder="1" applyAlignment="1">
      <alignment horizontal="center" vertical="top"/>
    </xf>
    <xf numFmtId="0" fontId="23" fillId="0" borderId="3" xfId="1" applyFont="1" applyFill="1" applyBorder="1" applyAlignment="1">
      <alignment horizontal="center" vertical="top"/>
    </xf>
    <xf numFmtId="0" fontId="23" fillId="0" borderId="2" xfId="1" applyFont="1" applyFill="1" applyBorder="1" applyAlignment="1">
      <alignment horizontal="right" vertical="top"/>
    </xf>
    <xf numFmtId="0" fontId="23" fillId="0" borderId="3" xfId="1" applyFont="1" applyFill="1" applyBorder="1" applyAlignment="1">
      <alignment horizontal="right" vertical="top"/>
    </xf>
    <xf numFmtId="0" fontId="23" fillId="0" borderId="2" xfId="1" applyFont="1" applyFill="1" applyBorder="1" applyAlignment="1">
      <alignment vertical="center"/>
    </xf>
    <xf numFmtId="0" fontId="23" fillId="0" borderId="3" xfId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top"/>
    </xf>
    <xf numFmtId="41" fontId="23" fillId="0" borderId="2" xfId="154" applyFont="1" applyFill="1" applyBorder="1" applyAlignment="1">
      <alignment horizontal="center" vertical="center"/>
    </xf>
    <xf numFmtId="41" fontId="53" fillId="0" borderId="2" xfId="154" applyFont="1" applyFill="1" applyBorder="1" applyAlignment="1">
      <alignment horizontal="center" vertical="top"/>
    </xf>
    <xf numFmtId="41" fontId="23" fillId="0" borderId="2" xfId="154" applyFont="1" applyFill="1" applyBorder="1" applyAlignment="1">
      <alignment horizontal="center" vertical="top"/>
    </xf>
    <xf numFmtId="0" fontId="53" fillId="0" borderId="2" xfId="1" applyFont="1" applyFill="1" applyBorder="1" applyAlignment="1">
      <alignment horizontal="center" vertical="top"/>
    </xf>
    <xf numFmtId="41" fontId="23" fillId="0" borderId="2" xfId="154" applyNumberFormat="1" applyFont="1" applyFill="1" applyBorder="1" applyAlignment="1">
      <alignment horizontal="center" vertical="top"/>
    </xf>
    <xf numFmtId="41" fontId="23" fillId="0" borderId="2" xfId="154" applyFont="1" applyFill="1" applyBorder="1" applyAlignment="1">
      <alignment horizontal="left" vertical="top"/>
    </xf>
    <xf numFmtId="0" fontId="53" fillId="0" borderId="6" xfId="1" quotePrefix="1" applyFont="1" applyFill="1" applyBorder="1" applyAlignment="1">
      <alignment horizontal="center" vertical="center"/>
    </xf>
    <xf numFmtId="0" fontId="23" fillId="0" borderId="7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left" vertical="center"/>
    </xf>
    <xf numFmtId="49" fontId="23" fillId="0" borderId="6" xfId="1" quotePrefix="1" applyNumberFormat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left" vertical="top"/>
    </xf>
    <xf numFmtId="0" fontId="23" fillId="0" borderId="0" xfId="1" applyFont="1" applyFill="1" applyBorder="1" applyAlignment="1">
      <alignment vertical="top" wrapText="1"/>
    </xf>
    <xf numFmtId="1" fontId="23" fillId="0" borderId="6" xfId="1" applyNumberFormat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23" fillId="0" borderId="9" xfId="1" quotePrefix="1" applyFont="1" applyFill="1" applyBorder="1" applyAlignment="1">
      <alignment horizontal="center" vertical="center" wrapText="1"/>
    </xf>
    <xf numFmtId="0" fontId="23" fillId="0" borderId="6" xfId="1" quotePrefix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left" vertical="center" wrapText="1"/>
    </xf>
    <xf numFmtId="164" fontId="23" fillId="0" borderId="6" xfId="2" applyNumberFormat="1" applyFont="1" applyFill="1" applyBorder="1" applyAlignment="1">
      <alignment horizontal="center" vertical="center"/>
    </xf>
    <xf numFmtId="43" fontId="23" fillId="0" borderId="0" xfId="2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/>
    </xf>
    <xf numFmtId="41" fontId="53" fillId="0" borderId="6" xfId="1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top"/>
    </xf>
    <xf numFmtId="42" fontId="53" fillId="0" borderId="6" xfId="1" applyNumberFormat="1" applyFont="1" applyFill="1" applyBorder="1" applyAlignment="1">
      <alignment horizontal="center" vertical="top"/>
    </xf>
    <xf numFmtId="49" fontId="23" fillId="0" borderId="6" xfId="1" applyNumberFormat="1" applyFont="1" applyFill="1" applyBorder="1" applyAlignment="1">
      <alignment horizontal="center" vertical="center"/>
    </xf>
    <xf numFmtId="0" fontId="23" fillId="0" borderId="6" xfId="1" quotePrefix="1" applyFont="1" applyFill="1" applyBorder="1" applyAlignment="1">
      <alignment horizontal="center" vertical="center" wrapText="1"/>
    </xf>
    <xf numFmtId="164" fontId="23" fillId="0" borderId="0" xfId="2" applyNumberFormat="1" applyFont="1" applyFill="1" applyBorder="1" applyAlignment="1">
      <alignment horizontal="right" vertical="top"/>
    </xf>
    <xf numFmtId="164" fontId="23" fillId="0" borderId="6" xfId="2" applyNumberFormat="1" applyFont="1" applyFill="1" applyBorder="1" applyAlignment="1">
      <alignment horizontal="right" vertical="top"/>
    </xf>
    <xf numFmtId="164" fontId="23" fillId="0" borderId="5" xfId="2" applyNumberFormat="1" applyFont="1" applyFill="1" applyBorder="1" applyAlignment="1">
      <alignment vertical="center"/>
    </xf>
    <xf numFmtId="164" fontId="23" fillId="0" borderId="5" xfId="2" applyNumberFormat="1" applyFont="1" applyFill="1" applyBorder="1" applyAlignment="1">
      <alignment horizontal="center" vertical="center"/>
    </xf>
    <xf numFmtId="165" fontId="23" fillId="0" borderId="6" xfId="1" applyNumberFormat="1" applyFont="1" applyFill="1" applyBorder="1" applyAlignment="1">
      <alignment horizontal="center" vertical="center"/>
    </xf>
    <xf numFmtId="165" fontId="23" fillId="0" borderId="0" xfId="1" quotePrefix="1" applyNumberFormat="1" applyFont="1" applyFill="1" applyBorder="1" applyAlignment="1">
      <alignment horizontal="center" vertical="top"/>
    </xf>
    <xf numFmtId="165" fontId="23" fillId="0" borderId="6" xfId="1" applyNumberFormat="1" applyFont="1" applyFill="1" applyBorder="1" applyAlignment="1">
      <alignment horizontal="left" vertical="top"/>
    </xf>
    <xf numFmtId="0" fontId="23" fillId="0" borderId="5" xfId="1" quotePrefix="1" applyFont="1" applyFill="1" applyBorder="1" applyAlignment="1">
      <alignment vertical="top" wrapText="1"/>
    </xf>
    <xf numFmtId="0" fontId="23" fillId="0" borderId="1" xfId="1" quotePrefix="1" applyFont="1" applyFill="1" applyBorder="1" applyAlignment="1">
      <alignment vertical="top"/>
    </xf>
    <xf numFmtId="0" fontId="23" fillId="0" borderId="3" xfId="1" quotePrefix="1" applyFont="1" applyFill="1" applyBorder="1" applyAlignment="1">
      <alignment vertical="center"/>
    </xf>
    <xf numFmtId="49" fontId="23" fillId="0" borderId="2" xfId="1" applyNumberFormat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vertical="top"/>
    </xf>
    <xf numFmtId="1" fontId="23" fillId="0" borderId="2" xfId="1" applyNumberFormat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center"/>
    </xf>
    <xf numFmtId="0" fontId="23" fillId="0" borderId="2" xfId="1" quotePrefix="1" applyFont="1" applyFill="1" applyBorder="1" applyAlignment="1">
      <alignment horizontal="center" vertical="center" wrapText="1"/>
    </xf>
    <xf numFmtId="0" fontId="23" fillId="0" borderId="2" xfId="1" quotePrefix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vertical="top" wrapText="1"/>
    </xf>
    <xf numFmtId="164" fontId="23" fillId="0" borderId="2" xfId="2" applyNumberFormat="1" applyFont="1" applyFill="1" applyBorder="1" applyAlignment="1">
      <alignment vertical="top"/>
    </xf>
    <xf numFmtId="43" fontId="23" fillId="0" borderId="3" xfId="2" applyFont="1" applyFill="1" applyBorder="1" applyAlignment="1">
      <alignment vertical="top"/>
    </xf>
    <xf numFmtId="0" fontId="23" fillId="0" borderId="1" xfId="1" applyFont="1" applyFill="1" applyBorder="1" applyAlignment="1">
      <alignment vertical="center" wrapText="1"/>
    </xf>
    <xf numFmtId="165" fontId="23" fillId="0" borderId="2" xfId="1" applyNumberFormat="1" applyFont="1" applyFill="1" applyBorder="1" applyAlignment="1">
      <alignment horizontal="center" vertical="center"/>
    </xf>
    <xf numFmtId="165" fontId="23" fillId="0" borderId="3" xfId="1" quotePrefix="1" applyNumberFormat="1" applyFont="1" applyFill="1" applyBorder="1" applyAlignment="1">
      <alignment horizontal="center" vertical="top"/>
    </xf>
    <xf numFmtId="165" fontId="23" fillId="0" borderId="2" xfId="1" applyNumberFormat="1" applyFont="1" applyFill="1" applyBorder="1" applyAlignment="1">
      <alignment horizontal="left" vertical="top"/>
    </xf>
    <xf numFmtId="165" fontId="23" fillId="0" borderId="3" xfId="1" applyNumberFormat="1" applyFont="1" applyFill="1" applyBorder="1" applyAlignment="1">
      <alignment horizontal="right" vertical="top"/>
    </xf>
    <xf numFmtId="165" fontId="23" fillId="0" borderId="2" xfId="1" applyNumberFormat="1" applyFont="1" applyFill="1" applyBorder="1" applyAlignment="1">
      <alignment horizontal="right" vertical="top"/>
    </xf>
    <xf numFmtId="165" fontId="23" fillId="0" borderId="1" xfId="1" applyNumberFormat="1" applyFont="1" applyFill="1" applyBorder="1" applyAlignment="1">
      <alignment vertical="center"/>
    </xf>
    <xf numFmtId="165" fontId="23" fillId="0" borderId="1" xfId="1" applyNumberFormat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vertical="center" wrapText="1"/>
    </xf>
    <xf numFmtId="0" fontId="23" fillId="0" borderId="2" xfId="1" applyFont="1" applyFill="1" applyBorder="1" applyAlignment="1">
      <alignment horizontal="center" vertical="center"/>
    </xf>
    <xf numFmtId="0" fontId="53" fillId="0" borderId="9" xfId="1" quotePrefix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left" vertical="center"/>
    </xf>
    <xf numFmtId="49" fontId="23" fillId="0" borderId="9" xfId="1" quotePrefix="1" applyNumberFormat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left" vertical="top"/>
    </xf>
    <xf numFmtId="0" fontId="23" fillId="0" borderId="10" xfId="1" applyFont="1" applyFill="1" applyBorder="1" applyAlignment="1">
      <alignment vertical="top" wrapText="1"/>
    </xf>
    <xf numFmtId="1" fontId="23" fillId="0" borderId="9" xfId="1" applyNumberFormat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center"/>
    </xf>
    <xf numFmtId="0" fontId="23" fillId="0" borderId="9" xfId="1" quotePrefix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left" vertical="center" wrapText="1"/>
    </xf>
    <xf numFmtId="164" fontId="23" fillId="0" borderId="9" xfId="2" applyNumberFormat="1" applyFont="1" applyFill="1" applyBorder="1" applyAlignment="1">
      <alignment horizontal="center" vertical="center"/>
    </xf>
    <xf numFmtId="43" fontId="23" fillId="0" borderId="10" xfId="2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top"/>
    </xf>
    <xf numFmtId="0" fontId="23" fillId="0" borderId="10" xfId="1" applyFont="1" applyFill="1" applyBorder="1" applyAlignment="1">
      <alignment vertical="center" wrapText="1"/>
    </xf>
    <xf numFmtId="41" fontId="53" fillId="0" borderId="9" xfId="1" applyNumberFormat="1" applyFont="1" applyFill="1" applyBorder="1" applyAlignment="1">
      <alignment horizontal="center" vertical="top"/>
    </xf>
    <xf numFmtId="165" fontId="23" fillId="0" borderId="5" xfId="1" applyNumberFormat="1" applyFont="1" applyFill="1" applyBorder="1" applyAlignment="1">
      <alignment horizontal="center" vertical="center"/>
    </xf>
    <xf numFmtId="0" fontId="23" fillId="0" borderId="0" xfId="1" quotePrefix="1" applyFont="1" applyFill="1" applyBorder="1" applyAlignment="1">
      <alignment horizontal="center" vertical="top"/>
    </xf>
    <xf numFmtId="0" fontId="23" fillId="0" borderId="6" xfId="1" applyFont="1" applyFill="1" applyBorder="1" applyAlignment="1">
      <alignment horizontal="left" vertical="top"/>
    </xf>
    <xf numFmtId="0" fontId="23" fillId="0" borderId="1" xfId="1" quotePrefix="1" applyFont="1" applyFill="1" applyBorder="1" applyAlignment="1">
      <alignment vertical="center"/>
    </xf>
    <xf numFmtId="164" fontId="23" fillId="0" borderId="2" xfId="2" applyNumberFormat="1" applyFont="1" applyFill="1" applyBorder="1" applyAlignment="1">
      <alignment horizontal="center" vertical="center"/>
    </xf>
    <xf numFmtId="0" fontId="23" fillId="0" borderId="3" xfId="1" quotePrefix="1" applyFont="1" applyFill="1" applyBorder="1" applyAlignment="1">
      <alignment horizontal="center" vertical="top"/>
    </xf>
    <xf numFmtId="0" fontId="23" fillId="0" borderId="2" xfId="1" applyFont="1" applyFill="1" applyBorder="1" applyAlignment="1">
      <alignment horizontal="left" vertical="top"/>
    </xf>
    <xf numFmtId="0" fontId="23" fillId="0" borderId="8" xfId="1" applyFont="1" applyFill="1" applyBorder="1" applyAlignment="1">
      <alignment horizontal="left" vertical="center" wrapText="1"/>
    </xf>
    <xf numFmtId="0" fontId="23" fillId="0" borderId="5" xfId="1" applyFont="1" applyFill="1" applyBorder="1" applyAlignment="1">
      <alignment horizontal="left" vertical="center"/>
    </xf>
    <xf numFmtId="164" fontId="23" fillId="0" borderId="6" xfId="2" applyNumberFormat="1" applyFont="1" applyFill="1" applyBorder="1" applyAlignment="1">
      <alignment vertical="top"/>
    </xf>
    <xf numFmtId="43" fontId="23" fillId="0" borderId="0" xfId="2" applyFont="1" applyFill="1" applyBorder="1" applyAlignment="1">
      <alignment vertical="top"/>
    </xf>
    <xf numFmtId="164" fontId="23" fillId="0" borderId="5" xfId="2" applyNumberFormat="1" applyFont="1" applyFill="1" applyBorder="1" applyAlignment="1">
      <alignment vertical="top"/>
    </xf>
    <xf numFmtId="164" fontId="23" fillId="0" borderId="6" xfId="2" applyNumberFormat="1" applyFont="1" applyFill="1" applyBorder="1" applyAlignment="1">
      <alignment vertical="center"/>
    </xf>
    <xf numFmtId="43" fontId="23" fillId="0" borderId="0" xfId="2" applyFont="1" applyFill="1" applyBorder="1" applyAlignment="1">
      <alignment vertical="center"/>
    </xf>
    <xf numFmtId="164" fontId="23" fillId="0" borderId="2" xfId="2" applyNumberFormat="1" applyFont="1" applyFill="1" applyBorder="1" applyAlignment="1">
      <alignment vertical="center"/>
    </xf>
    <xf numFmtId="43" fontId="23" fillId="0" borderId="3" xfId="2" applyFont="1" applyFill="1" applyBorder="1" applyAlignment="1">
      <alignment vertical="center"/>
    </xf>
    <xf numFmtId="0" fontId="23" fillId="0" borderId="10" xfId="1" quotePrefix="1" applyFont="1" applyFill="1" applyBorder="1" applyAlignment="1">
      <alignment vertical="center"/>
    </xf>
    <xf numFmtId="164" fontId="23" fillId="0" borderId="10" xfId="2" applyNumberFormat="1" applyFont="1" applyFill="1" applyBorder="1" applyAlignment="1">
      <alignment horizontal="right" vertical="top"/>
    </xf>
    <xf numFmtId="164" fontId="23" fillId="0" borderId="9" xfId="2" applyNumberFormat="1" applyFont="1" applyFill="1" applyBorder="1" applyAlignment="1">
      <alignment horizontal="right" vertical="top"/>
    </xf>
    <xf numFmtId="164" fontId="23" fillId="0" borderId="8" xfId="2" applyNumberFormat="1" applyFont="1" applyFill="1" applyBorder="1" applyAlignment="1">
      <alignment vertical="center"/>
    </xf>
    <xf numFmtId="0" fontId="23" fillId="0" borderId="8" xfId="1" applyFont="1" applyFill="1" applyBorder="1" applyAlignment="1">
      <alignment horizontal="center" vertical="center"/>
    </xf>
    <xf numFmtId="0" fontId="23" fillId="0" borderId="0" xfId="1" quotePrefix="1" applyFont="1" applyFill="1" applyBorder="1" applyAlignment="1">
      <alignment vertical="center"/>
    </xf>
    <xf numFmtId="43" fontId="23" fillId="0" borderId="1" xfId="2" applyFont="1" applyFill="1" applyBorder="1" applyAlignment="1">
      <alignment vertical="center"/>
    </xf>
    <xf numFmtId="0" fontId="23" fillId="0" borderId="2" xfId="1" applyFont="1" applyFill="1" applyBorder="1" applyAlignment="1">
      <alignment horizontal="right"/>
    </xf>
    <xf numFmtId="0" fontId="23" fillId="0" borderId="2" xfId="1" applyFont="1" applyFill="1" applyBorder="1" applyAlignment="1"/>
    <xf numFmtId="164" fontId="23" fillId="0" borderId="1" xfId="2" applyNumberFormat="1" applyFont="1" applyFill="1" applyBorder="1" applyAlignment="1">
      <alignment horizontal="center" vertical="center"/>
    </xf>
    <xf numFmtId="41" fontId="23" fillId="0" borderId="2" xfId="154" applyNumberFormat="1" applyFont="1" applyFill="1" applyBorder="1"/>
    <xf numFmtId="41" fontId="23" fillId="0" borderId="1" xfId="154" applyFont="1" applyFill="1" applyBorder="1"/>
    <xf numFmtId="0" fontId="23" fillId="0" borderId="6" xfId="1" applyFont="1" applyFill="1" applyBorder="1" applyAlignment="1">
      <alignment horizontal="left" vertical="top" wrapText="1"/>
    </xf>
    <xf numFmtId="43" fontId="23" fillId="0" borderId="9" xfId="2" applyFont="1" applyFill="1" applyBorder="1" applyAlignment="1">
      <alignment horizontal="center" vertical="center"/>
    </xf>
    <xf numFmtId="43" fontId="23" fillId="0" borderId="6" xfId="2" applyFont="1" applyFill="1" applyBorder="1" applyAlignment="1">
      <alignment horizontal="center" vertical="center"/>
    </xf>
    <xf numFmtId="0" fontId="23" fillId="0" borderId="9" xfId="1" quotePrefix="1" applyNumberFormat="1" applyFont="1" applyFill="1" applyBorder="1" applyAlignment="1">
      <alignment horizontal="center" vertical="center"/>
    </xf>
    <xf numFmtId="0" fontId="23" fillId="0" borderId="10" xfId="1" quotePrefix="1" applyFont="1" applyFill="1" applyBorder="1" applyAlignment="1">
      <alignment horizontal="center" vertical="center" wrapText="1"/>
    </xf>
    <xf numFmtId="0" fontId="23" fillId="0" borderId="9" xfId="1" quotePrefix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wrapText="1"/>
    </xf>
    <xf numFmtId="164" fontId="23" fillId="0" borderId="9" xfId="2" applyNumberFormat="1" applyFont="1" applyFill="1" applyBorder="1" applyAlignment="1">
      <alignment vertical="top"/>
    </xf>
    <xf numFmtId="43" fontId="23" fillId="0" borderId="10" xfId="2" applyFont="1" applyFill="1" applyBorder="1" applyAlignment="1">
      <alignment vertical="top"/>
    </xf>
    <xf numFmtId="0" fontId="23" fillId="0" borderId="6" xfId="1" applyNumberFormat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 wrapText="1"/>
    </xf>
    <xf numFmtId="0" fontId="23" fillId="0" borderId="4" xfId="1" applyFont="1" applyFill="1" applyBorder="1" applyAlignment="1">
      <alignment horizontal="right" vertical="top"/>
    </xf>
    <xf numFmtId="0" fontId="23" fillId="0" borderId="2" xfId="1" applyNumberFormat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center" wrapText="1"/>
    </xf>
    <xf numFmtId="164" fontId="23" fillId="0" borderId="6" xfId="2" applyNumberFormat="1" applyFont="1" applyFill="1" applyBorder="1" applyAlignment="1">
      <alignment horizontal="center" vertical="top"/>
    </xf>
    <xf numFmtId="43" fontId="23" fillId="0" borderId="5" xfId="2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left" vertical="center" wrapText="1"/>
    </xf>
    <xf numFmtId="43" fontId="23" fillId="0" borderId="1" xfId="2" applyFont="1" applyFill="1" applyBorder="1" applyAlignment="1">
      <alignment vertical="top"/>
    </xf>
    <xf numFmtId="164" fontId="23" fillId="0" borderId="8" xfId="2" applyNumberFormat="1" applyFont="1" applyFill="1" applyBorder="1" applyAlignment="1">
      <alignment horizontal="center" vertical="center"/>
    </xf>
    <xf numFmtId="0" fontId="23" fillId="0" borderId="8" xfId="1" applyFont="1" applyFill="1" applyBorder="1" applyAlignment="1">
      <alignment horizontal="center" vertical="top"/>
    </xf>
    <xf numFmtId="0" fontId="23" fillId="0" borderId="5" xfId="1" applyFont="1" applyFill="1" applyBorder="1" applyAlignment="1">
      <alignment horizontal="center" vertical="top"/>
    </xf>
    <xf numFmtId="0" fontId="23" fillId="0" borderId="1" xfId="1" applyFont="1" applyFill="1" applyBorder="1" applyAlignment="1">
      <alignment horizontal="center" vertical="top"/>
    </xf>
    <xf numFmtId="49" fontId="23" fillId="0" borderId="6" xfId="1" applyNumberFormat="1" applyFont="1" applyFill="1" applyBorder="1" applyAlignment="1">
      <alignment horizontal="center" vertical="center"/>
    </xf>
    <xf numFmtId="1" fontId="23" fillId="0" borderId="6" xfId="1" applyNumberFormat="1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23" fillId="0" borderId="6" xfId="1" quotePrefix="1" applyFont="1" applyFill="1" applyBorder="1" applyAlignment="1">
      <alignment horizontal="center" vertical="center" wrapText="1"/>
    </xf>
    <xf numFmtId="0" fontId="23" fillId="0" borderId="6" xfId="1" quotePrefix="1" applyFont="1" applyFill="1" applyBorder="1" applyAlignment="1">
      <alignment horizontal="center" vertical="center"/>
    </xf>
    <xf numFmtId="0" fontId="23" fillId="0" borderId="11" xfId="1" applyFont="1" applyFill="1" applyBorder="1" applyAlignment="1">
      <alignment horizontal="center" vertical="top"/>
    </xf>
    <xf numFmtId="164" fontId="84" fillId="0" borderId="9" xfId="2" applyNumberFormat="1" applyFont="1" applyFill="1" applyBorder="1" applyAlignment="1">
      <alignment horizontal="right" vertical="top"/>
    </xf>
    <xf numFmtId="41" fontId="23" fillId="0" borderId="9" xfId="154" applyFont="1" applyFill="1" applyBorder="1" applyAlignment="1">
      <alignment horizontal="right" vertical="center"/>
    </xf>
    <xf numFmtId="164" fontId="84" fillId="0" borderId="6" xfId="2" applyNumberFormat="1" applyFont="1" applyFill="1" applyBorder="1" applyAlignment="1">
      <alignment horizontal="right" vertical="top"/>
    </xf>
    <xf numFmtId="164" fontId="84" fillId="0" borderId="6" xfId="2" applyNumberFormat="1" applyFont="1" applyFill="1" applyBorder="1" applyAlignment="1">
      <alignment vertical="center"/>
    </xf>
    <xf numFmtId="0" fontId="23" fillId="0" borderId="7" xfId="1" applyFont="1" applyFill="1" applyBorder="1" applyAlignment="1">
      <alignment horizontal="left" vertical="top"/>
    </xf>
    <xf numFmtId="0" fontId="23" fillId="0" borderId="5" xfId="1" quotePrefix="1" applyFont="1" applyFill="1" applyBorder="1" applyAlignment="1">
      <alignment vertical="center"/>
    </xf>
    <xf numFmtId="0" fontId="23" fillId="0" borderId="7" xfId="1" applyFont="1" applyFill="1" applyBorder="1"/>
    <xf numFmtId="0" fontId="23" fillId="0" borderId="5" xfId="1" applyFont="1" applyFill="1" applyBorder="1" applyAlignment="1">
      <alignment wrapText="1"/>
    </xf>
    <xf numFmtId="0" fontId="23" fillId="0" borderId="5" xfId="1" applyFont="1" applyFill="1" applyBorder="1"/>
    <xf numFmtId="43" fontId="23" fillId="0" borderId="3" xfId="2" applyFont="1" applyFill="1" applyBorder="1" applyAlignment="1">
      <alignment horizontal="center" vertical="center"/>
    </xf>
    <xf numFmtId="164" fontId="23" fillId="0" borderId="3" xfId="2" applyNumberFormat="1" applyFont="1" applyFill="1" applyBorder="1" applyAlignment="1">
      <alignment horizontal="right" vertical="top"/>
    </xf>
    <xf numFmtId="164" fontId="23" fillId="0" borderId="2" xfId="2" applyNumberFormat="1" applyFont="1" applyFill="1" applyBorder="1" applyAlignment="1">
      <alignment horizontal="right" vertical="top"/>
    </xf>
    <xf numFmtId="164" fontId="84" fillId="0" borderId="2" xfId="2" applyNumberFormat="1" applyFont="1" applyFill="1" applyBorder="1" applyAlignment="1">
      <alignment vertical="center"/>
    </xf>
    <xf numFmtId="164" fontId="84" fillId="0" borderId="9" xfId="2" applyNumberFormat="1" applyFont="1" applyFill="1" applyBorder="1" applyAlignment="1">
      <alignment vertical="center"/>
    </xf>
    <xf numFmtId="0" fontId="23" fillId="0" borderId="7" xfId="1" applyFont="1" applyFill="1" applyBorder="1" applyAlignment="1">
      <alignment horizontal="center" vertical="top"/>
    </xf>
    <xf numFmtId="0" fontId="84" fillId="0" borderId="6" xfId="1" applyFont="1" applyFill="1" applyBorder="1" applyAlignment="1">
      <alignment horizontal="center" vertical="top"/>
    </xf>
    <xf numFmtId="0" fontId="84" fillId="0" borderId="6" xfId="1" applyFont="1" applyFill="1" applyBorder="1" applyAlignment="1">
      <alignment horizontal="left" vertical="top"/>
    </xf>
    <xf numFmtId="164" fontId="84" fillId="0" borderId="6" xfId="2" applyNumberFormat="1" applyFont="1" applyFill="1" applyBorder="1" applyAlignment="1">
      <alignment vertical="top"/>
    </xf>
    <xf numFmtId="0" fontId="23" fillId="0" borderId="0" xfId="1" applyFont="1" applyFill="1" applyBorder="1" applyAlignment="1">
      <alignment wrapText="1"/>
    </xf>
    <xf numFmtId="164" fontId="23" fillId="0" borderId="6" xfId="2" applyNumberFormat="1" applyFont="1" applyFill="1" applyBorder="1"/>
    <xf numFmtId="43" fontId="23" fillId="0" borderId="0" xfId="2" applyFont="1" applyFill="1" applyBorder="1"/>
    <xf numFmtId="0" fontId="84" fillId="0" borderId="7" xfId="1" applyFont="1" applyFill="1" applyBorder="1" applyAlignment="1">
      <alignment horizontal="center" vertical="top"/>
    </xf>
    <xf numFmtId="164" fontId="84" fillId="0" borderId="0" xfId="2" applyNumberFormat="1" applyFont="1" applyFill="1" applyBorder="1" applyAlignment="1">
      <alignment horizontal="right" vertical="top"/>
    </xf>
    <xf numFmtId="164" fontId="84" fillId="0" borderId="5" xfId="2" applyNumberFormat="1" applyFont="1" applyFill="1" applyBorder="1" applyAlignment="1">
      <alignment vertical="center"/>
    </xf>
    <xf numFmtId="0" fontId="23" fillId="0" borderId="3" xfId="1" applyFont="1" applyFill="1" applyBorder="1"/>
    <xf numFmtId="0" fontId="23" fillId="0" borderId="1" xfId="1" applyFont="1" applyFill="1" applyBorder="1"/>
    <xf numFmtId="0" fontId="23" fillId="0" borderId="3" xfId="1" applyFont="1" applyFill="1" applyBorder="1" applyAlignment="1">
      <alignment wrapText="1"/>
    </xf>
    <xf numFmtId="164" fontId="23" fillId="0" borderId="2" xfId="2" applyNumberFormat="1" applyFont="1" applyFill="1" applyBorder="1"/>
    <xf numFmtId="43" fontId="23" fillId="0" borderId="3" xfId="2" applyFont="1" applyFill="1" applyBorder="1"/>
    <xf numFmtId="0" fontId="23" fillId="0" borderId="4" xfId="1" applyFont="1" applyFill="1" applyBorder="1" applyAlignment="1">
      <alignment horizontal="center" vertical="top"/>
    </xf>
    <xf numFmtId="0" fontId="53" fillId="0" borderId="11" xfId="1" quotePrefix="1" applyFont="1" applyFill="1" applyBorder="1" applyAlignment="1">
      <alignment horizontal="center" vertical="center"/>
    </xf>
    <xf numFmtId="0" fontId="23" fillId="0" borderId="4" xfId="1" applyFont="1" applyFill="1" applyBorder="1"/>
    <xf numFmtId="0" fontId="53" fillId="0" borderId="9" xfId="1" quotePrefix="1" applyFont="1" applyFill="1" applyBorder="1" applyAlignment="1">
      <alignment horizontal="center" vertical="top"/>
    </xf>
    <xf numFmtId="0" fontId="23" fillId="0" borderId="11" xfId="1" applyFont="1" applyFill="1" applyBorder="1" applyAlignment="1">
      <alignment horizontal="left" vertical="top"/>
    </xf>
    <xf numFmtId="0" fontId="23" fillId="0" borderId="8" xfId="1" applyFont="1" applyFill="1" applyBorder="1" applyAlignment="1">
      <alignment vertical="top" wrapText="1"/>
    </xf>
    <xf numFmtId="0" fontId="23" fillId="0" borderId="10" xfId="1" quotePrefix="1" applyFont="1" applyFill="1" applyBorder="1" applyAlignment="1">
      <alignment vertical="top" wrapText="1"/>
    </xf>
    <xf numFmtId="1" fontId="23" fillId="0" borderId="9" xfId="1" quotePrefix="1" applyNumberFormat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center" wrapText="1"/>
    </xf>
    <xf numFmtId="164" fontId="23" fillId="0" borderId="9" xfId="2" applyNumberFormat="1" applyFont="1" applyFill="1" applyBorder="1" applyAlignment="1">
      <alignment vertical="center"/>
    </xf>
    <xf numFmtId="43" fontId="23" fillId="0" borderId="10" xfId="2" applyFont="1" applyFill="1" applyBorder="1" applyAlignment="1">
      <alignment vertical="center"/>
    </xf>
    <xf numFmtId="0" fontId="23" fillId="0" borderId="9" xfId="1" applyFont="1" applyFill="1" applyBorder="1" applyAlignment="1">
      <alignment horizontal="center" vertical="center" wrapText="1"/>
    </xf>
    <xf numFmtId="0" fontId="23" fillId="0" borderId="0" xfId="1" quotePrefix="1" applyFont="1" applyFill="1" applyBorder="1" applyAlignment="1">
      <alignment vertical="top" wrapText="1"/>
    </xf>
    <xf numFmtId="0" fontId="84" fillId="0" borderId="6" xfId="1" applyFont="1" applyFill="1" applyBorder="1" applyAlignment="1">
      <alignment horizontal="right" vertical="top"/>
    </xf>
    <xf numFmtId="0" fontId="84" fillId="0" borderId="6" xfId="1" applyFont="1" applyFill="1" applyBorder="1" applyAlignment="1">
      <alignment vertical="center"/>
    </xf>
    <xf numFmtId="0" fontId="23" fillId="0" borderId="1" xfId="1" quotePrefix="1" applyFont="1" applyFill="1" applyBorder="1" applyAlignment="1">
      <alignment vertical="top" wrapText="1"/>
    </xf>
    <xf numFmtId="0" fontId="23" fillId="0" borderId="3" xfId="1" applyFont="1" applyFill="1" applyBorder="1" applyAlignment="1">
      <alignment horizontal="left" vertical="top"/>
    </xf>
    <xf numFmtId="0" fontId="23" fillId="0" borderId="3" xfId="1" quotePrefix="1" applyFont="1" applyFill="1" applyBorder="1" applyAlignment="1">
      <alignment vertical="top" wrapText="1"/>
    </xf>
    <xf numFmtId="0" fontId="23" fillId="0" borderId="1" xfId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/>
    </xf>
    <xf numFmtId="49" fontId="23" fillId="0" borderId="2" xfId="1" quotePrefix="1" applyNumberFormat="1" applyFont="1" applyFill="1" applyBorder="1" applyAlignment="1">
      <alignment horizontal="center" vertical="center"/>
    </xf>
    <xf numFmtId="1" fontId="23" fillId="0" borderId="2" xfId="1" applyNumberFormat="1" applyFont="1" applyFill="1" applyBorder="1" applyAlignment="1">
      <alignment horizontal="center" vertical="center"/>
    </xf>
    <xf numFmtId="49" fontId="23" fillId="0" borderId="5" xfId="1" applyNumberFormat="1" applyFont="1" applyFill="1" applyBorder="1" applyAlignment="1">
      <alignment horizontal="center" vertical="center"/>
    </xf>
    <xf numFmtId="0" fontId="23" fillId="0" borderId="8" xfId="1" quotePrefix="1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left" vertical="center" wrapText="1"/>
    </xf>
    <xf numFmtId="0" fontId="23" fillId="0" borderId="5" xfId="1" quotePrefix="1" applyFont="1" applyFill="1" applyBorder="1" applyAlignment="1">
      <alignment horizontal="center" vertical="center"/>
    </xf>
    <xf numFmtId="0" fontId="23" fillId="0" borderId="5" xfId="1" quotePrefix="1" applyFont="1" applyFill="1" applyBorder="1" applyAlignment="1">
      <alignment horizontal="center" vertical="center"/>
    </xf>
    <xf numFmtId="41" fontId="23" fillId="0" borderId="5" xfId="154" applyFont="1" applyFill="1" applyBorder="1" applyAlignment="1">
      <alignment horizontal="center" vertical="center"/>
    </xf>
    <xf numFmtId="41" fontId="53" fillId="0" borderId="5" xfId="154" applyFont="1" applyFill="1" applyBorder="1" applyAlignment="1">
      <alignment horizontal="center" vertical="top"/>
    </xf>
    <xf numFmtId="41" fontId="23" fillId="0" borderId="5" xfId="154" applyFont="1" applyFill="1" applyBorder="1" applyAlignment="1">
      <alignment horizontal="center" vertical="top"/>
    </xf>
    <xf numFmtId="0" fontId="53" fillId="0" borderId="5" xfId="1" applyFont="1" applyFill="1" applyBorder="1" applyAlignment="1">
      <alignment horizontal="center" vertical="top"/>
    </xf>
    <xf numFmtId="41" fontId="23" fillId="0" borderId="5" xfId="154" applyNumberFormat="1" applyFont="1" applyFill="1" applyBorder="1" applyAlignment="1">
      <alignment horizontal="center" vertical="top"/>
    </xf>
    <xf numFmtId="0" fontId="23" fillId="0" borderId="5" xfId="1" applyFont="1" applyFill="1" applyBorder="1" applyAlignment="1">
      <alignment horizontal="center" vertical="top"/>
    </xf>
    <xf numFmtId="0" fontId="23" fillId="0" borderId="5" xfId="1" applyFont="1" applyFill="1" applyBorder="1" applyAlignment="1">
      <alignment horizontal="center" vertical="center" wrapText="1"/>
    </xf>
    <xf numFmtId="43" fontId="23" fillId="0" borderId="6" xfId="2" applyFont="1" applyFill="1" applyBorder="1" applyAlignment="1">
      <alignment vertical="top"/>
    </xf>
    <xf numFmtId="0" fontId="23" fillId="0" borderId="2" xfId="1" quotePrefix="1" applyFont="1" applyFill="1" applyBorder="1" applyAlignment="1">
      <alignment horizontal="center" vertical="center" wrapText="1"/>
    </xf>
    <xf numFmtId="41" fontId="23" fillId="0" borderId="1" xfId="154" applyFont="1" applyFill="1" applyBorder="1" applyAlignment="1">
      <alignment horizontal="center" vertical="center"/>
    </xf>
    <xf numFmtId="41" fontId="53" fillId="0" borderId="1" xfId="154" applyFont="1" applyFill="1" applyBorder="1" applyAlignment="1">
      <alignment horizontal="center" vertical="top"/>
    </xf>
    <xf numFmtId="41" fontId="23" fillId="0" borderId="1" xfId="154" applyFont="1" applyFill="1" applyBorder="1" applyAlignment="1">
      <alignment horizontal="center" vertical="top"/>
    </xf>
    <xf numFmtId="0" fontId="53" fillId="0" borderId="1" xfId="1" applyFont="1" applyFill="1" applyBorder="1" applyAlignment="1">
      <alignment horizontal="center" vertical="top"/>
    </xf>
    <xf numFmtId="41" fontId="23" fillId="0" borderId="1" xfId="154" applyNumberFormat="1" applyFont="1" applyFill="1" applyBorder="1" applyAlignment="1">
      <alignment horizontal="center" vertical="top"/>
    </xf>
    <xf numFmtId="0" fontId="23" fillId="0" borderId="1" xfId="1" applyFont="1" applyFill="1" applyBorder="1" applyAlignment="1">
      <alignment horizontal="center" vertical="top"/>
    </xf>
    <xf numFmtId="0" fontId="23" fillId="0" borderId="1" xfId="1" applyFont="1" applyFill="1" applyBorder="1" applyAlignment="1">
      <alignment horizontal="center" vertical="center" wrapText="1"/>
    </xf>
    <xf numFmtId="165" fontId="23" fillId="0" borderId="8" xfId="1" applyNumberFormat="1" applyFont="1" applyFill="1" applyBorder="1" applyAlignment="1">
      <alignment horizontal="center" vertical="center"/>
    </xf>
    <xf numFmtId="165" fontId="23" fillId="0" borderId="6" xfId="1" applyNumberFormat="1" applyFont="1" applyFill="1" applyBorder="1" applyAlignment="1">
      <alignment vertical="top"/>
    </xf>
    <xf numFmtId="165" fontId="23" fillId="0" borderId="0" xfId="1" applyNumberFormat="1" applyFont="1" applyFill="1" applyBorder="1" applyAlignment="1">
      <alignment horizontal="right" vertical="top"/>
    </xf>
    <xf numFmtId="165" fontId="23" fillId="0" borderId="6" xfId="1" applyNumberFormat="1" applyFont="1" applyFill="1" applyBorder="1" applyAlignment="1">
      <alignment horizontal="right" vertical="top"/>
    </xf>
    <xf numFmtId="165" fontId="23" fillId="0" borderId="5" xfId="1" applyNumberFormat="1" applyFont="1" applyFill="1" applyBorder="1" applyAlignment="1">
      <alignment vertical="center"/>
    </xf>
    <xf numFmtId="0" fontId="23" fillId="0" borderId="9" xfId="1" applyFont="1" applyFill="1" applyBorder="1"/>
    <xf numFmtId="0" fontId="23" fillId="0" borderId="10" xfId="1" applyFont="1" applyFill="1" applyBorder="1"/>
    <xf numFmtId="0" fontId="23" fillId="0" borderId="9" xfId="1" applyFont="1" applyFill="1" applyBorder="1" applyAlignment="1">
      <alignment horizontal="left" vertical="top"/>
    </xf>
    <xf numFmtId="0" fontId="23" fillId="0" borderId="6" xfId="1" applyFont="1" applyFill="1" applyBorder="1"/>
    <xf numFmtId="0" fontId="23" fillId="0" borderId="0" xfId="1" applyFont="1" applyFill="1" applyBorder="1"/>
    <xf numFmtId="0" fontId="84" fillId="0" borderId="2" xfId="1" applyFont="1" applyFill="1" applyBorder="1" applyAlignment="1">
      <alignment horizontal="left" vertical="top"/>
    </xf>
    <xf numFmtId="43" fontId="23" fillId="0" borderId="9" xfId="2" applyFont="1" applyFill="1" applyBorder="1"/>
    <xf numFmtId="43" fontId="23" fillId="0" borderId="10" xfId="2" applyFont="1" applyFill="1" applyBorder="1"/>
    <xf numFmtId="43" fontId="23" fillId="0" borderId="6" xfId="2" applyFont="1" applyFill="1" applyBorder="1" applyAlignment="1">
      <alignment horizontal="right"/>
    </xf>
    <xf numFmtId="164" fontId="84" fillId="0" borderId="5" xfId="2" applyNumberFormat="1" applyFont="1" applyFill="1" applyBorder="1" applyAlignment="1">
      <alignment horizontal="right" vertical="top"/>
    </xf>
    <xf numFmtId="0" fontId="23" fillId="0" borderId="5" xfId="1" quotePrefix="1" applyFont="1" applyFill="1" applyBorder="1" applyAlignment="1">
      <alignment vertical="top"/>
    </xf>
    <xf numFmtId="0" fontId="23" fillId="0" borderId="0" xfId="1" quotePrefix="1" applyFont="1" applyFill="1" applyBorder="1" applyAlignment="1">
      <alignment vertical="top"/>
    </xf>
    <xf numFmtId="1" fontId="23" fillId="0" borderId="11" xfId="1" quotePrefix="1" applyNumberFormat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center" wrapText="1"/>
    </xf>
    <xf numFmtId="0" fontId="23" fillId="0" borderId="10" xfId="1" quotePrefix="1" applyFont="1" applyFill="1" applyBorder="1" applyAlignment="1">
      <alignment horizontal="center" vertical="center"/>
    </xf>
    <xf numFmtId="164" fontId="23" fillId="0" borderId="11" xfId="2" applyNumberFormat="1" applyFont="1" applyFill="1" applyBorder="1" applyAlignment="1">
      <alignment horizontal="center" vertical="center"/>
    </xf>
    <xf numFmtId="41" fontId="23" fillId="0" borderId="8" xfId="154" applyFont="1" applyFill="1" applyBorder="1" applyAlignment="1">
      <alignment horizontal="center" vertical="center"/>
    </xf>
    <xf numFmtId="41" fontId="23" fillId="0" borderId="8" xfId="154" applyFont="1" applyFill="1" applyBorder="1" applyAlignment="1">
      <alignment horizontal="center" vertical="top"/>
    </xf>
    <xf numFmtId="41" fontId="53" fillId="0" borderId="8" xfId="1" applyNumberFormat="1" applyFont="1" applyFill="1" applyBorder="1" applyAlignment="1">
      <alignment horizontal="center" vertical="top"/>
    </xf>
    <xf numFmtId="41" fontId="23" fillId="0" borderId="8" xfId="154" applyNumberFormat="1" applyFont="1" applyFill="1" applyBorder="1" applyAlignment="1">
      <alignment horizontal="center" vertical="top"/>
    </xf>
    <xf numFmtId="41" fontId="53" fillId="0" borderId="8" xfId="154" applyFont="1" applyFill="1" applyBorder="1" applyAlignment="1">
      <alignment horizontal="center" vertical="top"/>
    </xf>
    <xf numFmtId="1" fontId="23" fillId="0" borderId="7" xfId="1" applyNumberFormat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 wrapText="1"/>
    </xf>
    <xf numFmtId="164" fontId="23" fillId="0" borderId="7" xfId="2" applyNumberFormat="1" applyFont="1" applyFill="1" applyBorder="1" applyAlignment="1">
      <alignment horizontal="center" vertical="center"/>
    </xf>
    <xf numFmtId="1" fontId="23" fillId="0" borderId="4" xfId="1" applyNumberFormat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center" wrapText="1"/>
    </xf>
    <xf numFmtId="1" fontId="23" fillId="0" borderId="10" xfId="1" quotePrefix="1" applyNumberFormat="1" applyFont="1" applyFill="1" applyBorder="1" applyAlignment="1">
      <alignment horizontal="center" vertical="center"/>
    </xf>
    <xf numFmtId="164" fontId="23" fillId="0" borderId="10" xfId="2" applyNumberFormat="1" applyFont="1" applyFill="1" applyBorder="1" applyAlignment="1">
      <alignment horizontal="center" vertical="center"/>
    </xf>
    <xf numFmtId="43" fontId="23" fillId="0" borderId="9" xfId="2" applyNumberFormat="1" applyFont="1" applyFill="1" applyBorder="1" applyAlignment="1">
      <alignment horizontal="center" vertical="center"/>
    </xf>
    <xf numFmtId="1" fontId="23" fillId="0" borderId="0" xfId="1" applyNumberFormat="1" applyFont="1" applyFill="1" applyBorder="1" applyAlignment="1">
      <alignment horizontal="center" vertical="center"/>
    </xf>
    <xf numFmtId="164" fontId="23" fillId="0" borderId="0" xfId="2" applyNumberFormat="1" applyFont="1" applyFill="1" applyBorder="1" applyAlignment="1">
      <alignment horizontal="center" vertical="center"/>
    </xf>
    <xf numFmtId="43" fontId="23" fillId="0" borderId="6" xfId="2" applyNumberFormat="1" applyFont="1" applyFill="1" applyBorder="1" applyAlignment="1">
      <alignment horizontal="center" vertical="center"/>
    </xf>
    <xf numFmtId="1" fontId="23" fillId="0" borderId="3" xfId="1" applyNumberFormat="1" applyFont="1" applyFill="1" applyBorder="1" applyAlignment="1">
      <alignment horizontal="center" vertical="center"/>
    </xf>
    <xf numFmtId="0" fontId="84" fillId="0" borderId="0" xfId="1" applyFont="1" applyFill="1"/>
    <xf numFmtId="0" fontId="53" fillId="0" borderId="7" xfId="1" quotePrefix="1" applyFont="1" applyFill="1" applyBorder="1" applyAlignment="1">
      <alignment horizontal="center" vertical="center"/>
    </xf>
    <xf numFmtId="0" fontId="23" fillId="0" borderId="0" xfId="1" quotePrefix="1" applyFont="1" applyFill="1" applyBorder="1" applyAlignment="1">
      <alignment horizontal="center" vertical="center"/>
    </xf>
    <xf numFmtId="0" fontId="23" fillId="0" borderId="10" xfId="1" quotePrefix="1" applyFont="1" applyFill="1" applyBorder="1" applyAlignment="1">
      <alignment horizontal="center" vertical="top"/>
    </xf>
    <xf numFmtId="41" fontId="53" fillId="0" borderId="5" xfId="1" applyNumberFormat="1" applyFont="1" applyFill="1" applyBorder="1" applyAlignment="1">
      <alignment horizontal="center" vertical="top"/>
    </xf>
    <xf numFmtId="0" fontId="84" fillId="0" borderId="6" xfId="1" applyFont="1" applyFill="1" applyBorder="1" applyAlignment="1">
      <alignment vertical="top"/>
    </xf>
    <xf numFmtId="0" fontId="23" fillId="0" borderId="5" xfId="1" applyFont="1" applyFill="1" applyBorder="1" applyAlignment="1">
      <alignment horizontal="left" vertical="top" wrapText="1"/>
    </xf>
    <xf numFmtId="164" fontId="23" fillId="0" borderId="0" xfId="2" applyNumberFormat="1" applyFont="1" applyFill="1" applyBorder="1" applyAlignment="1">
      <alignment horizontal="center" vertical="top"/>
    </xf>
    <xf numFmtId="0" fontId="23" fillId="0" borderId="0" xfId="1" quotePrefix="1" applyFont="1" applyFill="1" applyBorder="1" applyAlignment="1">
      <alignment horizontal="center" vertical="center"/>
    </xf>
    <xf numFmtId="165" fontId="23" fillId="0" borderId="0" xfId="1" applyNumberFormat="1" applyFont="1" applyFill="1" applyBorder="1" applyAlignment="1">
      <alignment horizontal="center" vertical="center"/>
    </xf>
    <xf numFmtId="164" fontId="84" fillId="0" borderId="5" xfId="2" applyNumberFormat="1" applyFont="1" applyFill="1" applyBorder="1" applyAlignment="1">
      <alignment horizontal="center" vertical="center"/>
    </xf>
    <xf numFmtId="43" fontId="23" fillId="0" borderId="6" xfId="2" applyFont="1" applyFill="1" applyBorder="1" applyAlignment="1">
      <alignment horizontal="right" vertical="top"/>
    </xf>
    <xf numFmtId="43" fontId="23" fillId="0" borderId="5" xfId="2" applyFont="1" applyFill="1" applyBorder="1" applyAlignment="1">
      <alignment vertical="center"/>
    </xf>
    <xf numFmtId="43" fontId="23" fillId="0" borderId="0" xfId="2" applyFont="1" applyFill="1" applyBorder="1" applyAlignment="1">
      <alignment horizontal="right" vertical="top"/>
    </xf>
    <xf numFmtId="0" fontId="53" fillId="0" borderId="8" xfId="1" applyFont="1" applyFill="1" applyBorder="1" applyAlignment="1">
      <alignment horizontal="center" vertical="top"/>
    </xf>
    <xf numFmtId="0" fontId="23" fillId="0" borderId="8" xfId="1" applyFont="1" applyFill="1" applyBorder="1" applyAlignment="1">
      <alignment horizontal="center" vertical="center" wrapText="1"/>
    </xf>
    <xf numFmtId="0" fontId="23" fillId="0" borderId="8" xfId="1" quotePrefix="1" applyFont="1" applyFill="1" applyBorder="1" applyAlignment="1">
      <alignment vertical="center"/>
    </xf>
    <xf numFmtId="0" fontId="23" fillId="0" borderId="8" xfId="1" applyFont="1" applyFill="1" applyBorder="1" applyAlignment="1">
      <alignment vertical="top"/>
    </xf>
    <xf numFmtId="0" fontId="23" fillId="0" borderId="1" xfId="1" applyFont="1" applyFill="1" applyBorder="1" applyAlignment="1">
      <alignment horizontal="left" vertical="center" wrapText="1"/>
    </xf>
    <xf numFmtId="164" fontId="23" fillId="0" borderId="3" xfId="2" applyNumberFormat="1" applyFont="1" applyFill="1" applyBorder="1" applyAlignment="1">
      <alignment horizontal="center" vertical="center"/>
    </xf>
    <xf numFmtId="43" fontId="23" fillId="0" borderId="2" xfId="2" applyFont="1" applyFill="1" applyBorder="1" applyAlignment="1">
      <alignment horizontal="center" vertical="center"/>
    </xf>
    <xf numFmtId="1" fontId="23" fillId="0" borderId="0" xfId="1" quotePrefix="1" applyNumberFormat="1" applyFont="1" applyFill="1" applyBorder="1" applyAlignment="1">
      <alignment horizontal="center" vertical="center"/>
    </xf>
    <xf numFmtId="1" fontId="23" fillId="0" borderId="10" xfId="1" applyNumberFormat="1" applyFont="1" applyFill="1" applyBorder="1" applyAlignment="1">
      <alignment horizontal="center" vertical="center"/>
    </xf>
    <xf numFmtId="0" fontId="23" fillId="0" borderId="11" xfId="1" applyFont="1" applyFill="1" applyBorder="1"/>
    <xf numFmtId="0" fontId="23" fillId="0" borderId="8" xfId="1" applyFont="1" applyFill="1" applyBorder="1"/>
    <xf numFmtId="49" fontId="23" fillId="0" borderId="9" xfId="1" applyNumberFormat="1" applyFont="1" applyFill="1" applyBorder="1" applyAlignment="1">
      <alignment horizontal="center" vertical="center"/>
    </xf>
    <xf numFmtId="165" fontId="23" fillId="0" borderId="9" xfId="1" applyNumberFormat="1" applyFont="1" applyFill="1" applyBorder="1" applyAlignment="1">
      <alignment horizontal="center" vertical="center"/>
    </xf>
    <xf numFmtId="0" fontId="53" fillId="0" borderId="2" xfId="1" quotePrefix="1" applyFont="1" applyFill="1" applyBorder="1" applyAlignment="1">
      <alignment horizontal="center" vertical="center"/>
    </xf>
    <xf numFmtId="0" fontId="23" fillId="0" borderId="4" xfId="1" quotePrefix="1" applyFont="1" applyFill="1" applyBorder="1" applyAlignment="1">
      <alignment horizontal="center" vertical="top"/>
    </xf>
    <xf numFmtId="164" fontId="23" fillId="0" borderId="1" xfId="2" applyNumberFormat="1" applyFont="1" applyFill="1" applyBorder="1" applyAlignment="1">
      <alignment vertical="center"/>
    </xf>
    <xf numFmtId="0" fontId="53" fillId="4" borderId="11" xfId="1" quotePrefix="1" applyFont="1" applyFill="1" applyBorder="1" applyAlignment="1">
      <alignment horizontal="center" vertical="center"/>
    </xf>
    <xf numFmtId="0" fontId="23" fillId="4" borderId="11" xfId="1" applyFont="1" applyFill="1" applyBorder="1" applyAlignment="1">
      <alignment horizontal="left" vertical="center"/>
    </xf>
    <xf numFmtId="0" fontId="23" fillId="4" borderId="8" xfId="1" applyFont="1" applyFill="1" applyBorder="1" applyAlignment="1">
      <alignment vertical="center"/>
    </xf>
    <xf numFmtId="49" fontId="23" fillId="4" borderId="9" xfId="1" quotePrefix="1" applyNumberFormat="1" applyFont="1" applyFill="1" applyBorder="1" applyAlignment="1">
      <alignment horizontal="center" vertical="center"/>
    </xf>
    <xf numFmtId="0" fontId="23" fillId="4" borderId="11" xfId="1" applyFont="1" applyFill="1" applyBorder="1" applyAlignment="1">
      <alignment horizontal="left" vertical="top"/>
    </xf>
    <xf numFmtId="0" fontId="23" fillId="4" borderId="8" xfId="1" applyFont="1" applyFill="1" applyBorder="1" applyAlignment="1">
      <alignment vertical="top" wrapText="1"/>
    </xf>
    <xf numFmtId="1" fontId="23" fillId="4" borderId="10" xfId="1" applyNumberFormat="1" applyFont="1" applyFill="1" applyBorder="1" applyAlignment="1">
      <alignment horizontal="center" vertical="center"/>
    </xf>
    <xf numFmtId="0" fontId="23" fillId="4" borderId="9" xfId="1" applyFont="1" applyFill="1" applyBorder="1" applyAlignment="1">
      <alignment horizontal="center" vertical="center"/>
    </xf>
    <xf numFmtId="0" fontId="23" fillId="4" borderId="10" xfId="1" applyFont="1" applyFill="1" applyBorder="1" applyAlignment="1">
      <alignment horizontal="center" vertical="center" wrapText="1"/>
    </xf>
    <xf numFmtId="0" fontId="23" fillId="4" borderId="9" xfId="1" quotePrefix="1" applyFont="1" applyFill="1" applyBorder="1" applyAlignment="1">
      <alignment horizontal="center" vertical="center" wrapText="1"/>
    </xf>
    <xf numFmtId="0" fontId="23" fillId="4" borderId="10" xfId="1" quotePrefix="1" applyFont="1" applyFill="1" applyBorder="1" applyAlignment="1">
      <alignment horizontal="center" vertical="center"/>
    </xf>
    <xf numFmtId="0" fontId="23" fillId="4" borderId="11" xfId="1" applyFont="1" applyFill="1" applyBorder="1" applyAlignment="1">
      <alignment vertical="center"/>
    </xf>
    <xf numFmtId="0" fontId="23" fillId="4" borderId="8" xfId="1" applyFont="1" applyFill="1" applyBorder="1" applyAlignment="1">
      <alignment vertical="center" wrapText="1"/>
    </xf>
    <xf numFmtId="164" fontId="23" fillId="4" borderId="10" xfId="2" applyNumberFormat="1" applyFont="1" applyFill="1" applyBorder="1" applyAlignment="1">
      <alignment horizontal="center" vertical="center"/>
    </xf>
    <xf numFmtId="43" fontId="23" fillId="4" borderId="9" xfId="2" applyNumberFormat="1" applyFont="1" applyFill="1" applyBorder="1" applyAlignment="1">
      <alignment horizontal="center" vertical="center"/>
    </xf>
    <xf numFmtId="0" fontId="23" fillId="4" borderId="10" xfId="1" applyFont="1" applyFill="1" applyBorder="1" applyAlignment="1">
      <alignment vertical="center"/>
    </xf>
    <xf numFmtId="0" fontId="23" fillId="4" borderId="9" xfId="1" applyFont="1" applyFill="1" applyBorder="1" applyAlignment="1">
      <alignment horizontal="center" vertical="center"/>
    </xf>
    <xf numFmtId="0" fontId="23" fillId="4" borderId="11" xfId="1" quotePrefix="1" applyFont="1" applyFill="1" applyBorder="1" applyAlignment="1">
      <alignment horizontal="center" vertical="top"/>
    </xf>
    <xf numFmtId="0" fontId="23" fillId="4" borderId="9" xfId="1" applyFont="1" applyFill="1" applyBorder="1" applyAlignment="1">
      <alignment horizontal="left" vertical="top"/>
    </xf>
    <xf numFmtId="164" fontId="23" fillId="4" borderId="10" xfId="2" applyNumberFormat="1" applyFont="1" applyFill="1" applyBorder="1" applyAlignment="1">
      <alignment horizontal="right" vertical="top"/>
    </xf>
    <xf numFmtId="164" fontId="84" fillId="4" borderId="9" xfId="2" applyNumberFormat="1" applyFont="1" applyFill="1" applyBorder="1" applyAlignment="1">
      <alignment horizontal="right" vertical="top"/>
    </xf>
    <xf numFmtId="164" fontId="23" fillId="4" borderId="8" xfId="2" applyNumberFormat="1" applyFont="1" applyFill="1" applyBorder="1" applyAlignment="1">
      <alignment vertical="center"/>
    </xf>
    <xf numFmtId="164" fontId="23" fillId="4" borderId="8" xfId="2" applyNumberFormat="1" applyFont="1" applyFill="1" applyBorder="1" applyAlignment="1">
      <alignment horizontal="center" vertical="center"/>
    </xf>
    <xf numFmtId="0" fontId="23" fillId="4" borderId="10" xfId="1" applyFont="1" applyFill="1" applyBorder="1" applyAlignment="1">
      <alignment horizontal="left" vertical="center"/>
    </xf>
    <xf numFmtId="0" fontId="23" fillId="4" borderId="10" xfId="1" applyFont="1" applyFill="1" applyBorder="1" applyAlignment="1">
      <alignment vertical="top" wrapText="1"/>
    </xf>
    <xf numFmtId="0" fontId="23" fillId="4" borderId="9" xfId="1" applyFont="1" applyFill="1" applyBorder="1" applyAlignment="1">
      <alignment vertical="top"/>
    </xf>
    <xf numFmtId="0" fontId="23" fillId="4" borderId="10" xfId="1" applyFont="1" applyFill="1" applyBorder="1" applyAlignment="1">
      <alignment horizontal="center" vertical="top"/>
    </xf>
    <xf numFmtId="0" fontId="23" fillId="4" borderId="9" xfId="1" applyFont="1" applyFill="1" applyBorder="1" applyAlignment="1">
      <alignment horizontal="center" vertical="top"/>
    </xf>
    <xf numFmtId="41" fontId="23" fillId="4" borderId="8" xfId="154" applyFont="1" applyFill="1" applyBorder="1" applyAlignment="1">
      <alignment horizontal="center" vertical="center"/>
    </xf>
    <xf numFmtId="41" fontId="53" fillId="4" borderId="6" xfId="154" applyFont="1" applyFill="1" applyBorder="1" applyAlignment="1">
      <alignment horizontal="center" vertical="top"/>
    </xf>
    <xf numFmtId="41" fontId="23" fillId="4" borderId="8" xfId="154" applyFont="1" applyFill="1" applyBorder="1" applyAlignment="1">
      <alignment horizontal="center" vertical="top"/>
    </xf>
    <xf numFmtId="0" fontId="53" fillId="4" borderId="8" xfId="1" applyFont="1" applyFill="1" applyBorder="1" applyAlignment="1">
      <alignment horizontal="center" vertical="top"/>
    </xf>
    <xf numFmtId="41" fontId="23" fillId="4" borderId="8" xfId="154" applyNumberFormat="1" applyFont="1" applyFill="1" applyBorder="1" applyAlignment="1">
      <alignment horizontal="center" vertical="top"/>
    </xf>
    <xf numFmtId="41" fontId="23" fillId="4" borderId="6" xfId="154" applyFont="1" applyFill="1" applyBorder="1" applyAlignment="1">
      <alignment horizontal="left" vertical="top"/>
    </xf>
    <xf numFmtId="41" fontId="53" fillId="4" borderId="8" xfId="154" applyFont="1" applyFill="1" applyBorder="1" applyAlignment="1">
      <alignment horizontal="center" vertical="top"/>
    </xf>
    <xf numFmtId="41" fontId="23" fillId="4" borderId="6" xfId="1" applyNumberFormat="1" applyFont="1" applyFill="1" applyBorder="1" applyAlignment="1">
      <alignment horizontal="center" vertical="top"/>
    </xf>
    <xf numFmtId="41" fontId="23" fillId="4" borderId="6" xfId="154" applyFont="1" applyFill="1" applyBorder="1" applyAlignment="1">
      <alignment horizontal="center" vertical="top"/>
    </xf>
    <xf numFmtId="42" fontId="53" fillId="4" borderId="6" xfId="1" applyNumberFormat="1" applyFont="1" applyFill="1" applyBorder="1" applyAlignment="1">
      <alignment horizontal="center" vertical="top"/>
    </xf>
    <xf numFmtId="0" fontId="23" fillId="4" borderId="7" xfId="1" applyFont="1" applyFill="1" applyBorder="1" applyAlignment="1">
      <alignment vertical="top"/>
    </xf>
    <xf numFmtId="0" fontId="23" fillId="4" borderId="7" xfId="1" applyFont="1" applyFill="1" applyBorder="1" applyAlignment="1">
      <alignment vertical="center"/>
    </xf>
    <xf numFmtId="0" fontId="23" fillId="4" borderId="5" xfId="1" applyFont="1" applyFill="1" applyBorder="1" applyAlignment="1">
      <alignment vertical="center" wrapText="1"/>
    </xf>
    <xf numFmtId="49" fontId="23" fillId="4" borderId="6" xfId="1" applyNumberFormat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vertical="center"/>
    </xf>
    <xf numFmtId="1" fontId="23" fillId="4" borderId="0" xfId="1" applyNumberFormat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 wrapText="1"/>
    </xf>
    <xf numFmtId="0" fontId="23" fillId="4" borderId="6" xfId="1" quotePrefix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horizontal="center" vertical="center"/>
    </xf>
    <xf numFmtId="164" fontId="23" fillId="4" borderId="0" xfId="2" applyNumberFormat="1" applyFont="1" applyFill="1" applyBorder="1" applyAlignment="1">
      <alignment horizontal="center" vertical="center"/>
    </xf>
    <xf numFmtId="43" fontId="23" fillId="4" borderId="6" xfId="2" applyNumberFormat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vertical="center"/>
    </xf>
    <xf numFmtId="165" fontId="23" fillId="4" borderId="6" xfId="1" applyNumberFormat="1" applyFont="1" applyFill="1" applyBorder="1" applyAlignment="1">
      <alignment horizontal="center" vertical="center"/>
    </xf>
    <xf numFmtId="0" fontId="23" fillId="4" borderId="0" xfId="1" quotePrefix="1" applyFont="1" applyFill="1" applyBorder="1" applyAlignment="1">
      <alignment horizontal="center" vertical="top"/>
    </xf>
    <xf numFmtId="0" fontId="23" fillId="4" borderId="6" xfId="1" applyFont="1" applyFill="1" applyBorder="1" applyAlignment="1">
      <alignment horizontal="left" vertical="top"/>
    </xf>
    <xf numFmtId="164" fontId="23" fillId="4" borderId="0" xfId="2" applyNumberFormat="1" applyFont="1" applyFill="1" applyBorder="1" applyAlignment="1">
      <alignment horizontal="right" vertical="top"/>
    </xf>
    <xf numFmtId="164" fontId="84" fillId="4" borderId="6" xfId="2" applyNumberFormat="1" applyFont="1" applyFill="1" applyBorder="1" applyAlignment="1">
      <alignment horizontal="right" vertical="top"/>
    </xf>
    <xf numFmtId="164" fontId="23" fillId="4" borderId="5" xfId="2" applyNumberFormat="1" applyFont="1" applyFill="1" applyBorder="1" applyAlignment="1">
      <alignment vertical="center"/>
    </xf>
    <xf numFmtId="164" fontId="23" fillId="4" borderId="5" xfId="2" applyNumberFormat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vertical="top" wrapText="1"/>
    </xf>
    <xf numFmtId="0" fontId="23" fillId="4" borderId="6" xfId="1" applyFont="1" applyFill="1" applyBorder="1" applyAlignment="1">
      <alignment vertical="top"/>
    </xf>
    <xf numFmtId="0" fontId="23" fillId="4" borderId="0" xfId="1" applyFont="1" applyFill="1" applyBorder="1" applyAlignment="1">
      <alignment horizontal="center" vertical="top"/>
    </xf>
    <xf numFmtId="0" fontId="23" fillId="4" borderId="6" xfId="1" applyFont="1" applyFill="1" applyBorder="1" applyAlignment="1">
      <alignment horizontal="center" vertical="top"/>
    </xf>
    <xf numFmtId="41" fontId="23" fillId="4" borderId="5" xfId="154" applyFont="1" applyFill="1" applyBorder="1" applyAlignment="1">
      <alignment horizontal="center" vertical="center"/>
    </xf>
    <xf numFmtId="41" fontId="53" fillId="4" borderId="5" xfId="154" applyFont="1" applyFill="1" applyBorder="1" applyAlignment="1">
      <alignment horizontal="center" vertical="top"/>
    </xf>
    <xf numFmtId="41" fontId="23" fillId="4" borderId="5" xfId="154" applyFont="1" applyFill="1" applyBorder="1" applyAlignment="1">
      <alignment horizontal="center" vertical="top"/>
    </xf>
    <xf numFmtId="0" fontId="53" fillId="4" borderId="5" xfId="1" applyFont="1" applyFill="1" applyBorder="1" applyAlignment="1">
      <alignment horizontal="center" vertical="top"/>
    </xf>
    <xf numFmtId="41" fontId="23" fillId="4" borderId="6" xfId="154" applyNumberFormat="1" applyFont="1" applyFill="1" applyBorder="1" applyAlignment="1">
      <alignment horizontal="center" vertical="top"/>
    </xf>
    <xf numFmtId="0" fontId="23" fillId="4" borderId="5" xfId="1" applyFont="1" applyFill="1" applyBorder="1" applyAlignment="1">
      <alignment horizontal="center" vertical="top"/>
    </xf>
    <xf numFmtId="0" fontId="23" fillId="4" borderId="6" xfId="1" applyFont="1" applyFill="1" applyBorder="1" applyAlignment="1">
      <alignment horizontal="center" vertical="center"/>
    </xf>
    <xf numFmtId="165" fontId="23" fillId="4" borderId="6" xfId="1" applyNumberFormat="1" applyFont="1" applyFill="1" applyBorder="1" applyAlignment="1">
      <alignment horizontal="left" vertical="top"/>
    </xf>
    <xf numFmtId="164" fontId="84" fillId="4" borderId="6" xfId="2" applyNumberFormat="1" applyFont="1" applyFill="1" applyBorder="1" applyAlignment="1">
      <alignment vertical="center"/>
    </xf>
    <xf numFmtId="41" fontId="23" fillId="4" borderId="5" xfId="154" applyNumberFormat="1" applyFont="1" applyFill="1" applyBorder="1" applyAlignment="1">
      <alignment horizontal="center" vertical="top"/>
    </xf>
    <xf numFmtId="0" fontId="23" fillId="4" borderId="5" xfId="1" applyFont="1" applyFill="1" applyBorder="1" applyAlignment="1">
      <alignment vertical="top" wrapText="1"/>
    </xf>
    <xf numFmtId="0" fontId="23" fillId="4" borderId="5" xfId="1" applyFont="1" applyFill="1" applyBorder="1" applyAlignment="1">
      <alignment vertical="top"/>
    </xf>
    <xf numFmtId="0" fontId="84" fillId="4" borderId="6" xfId="1" applyFont="1" applyFill="1" applyBorder="1" applyAlignment="1">
      <alignment horizontal="center" vertical="top"/>
    </xf>
    <xf numFmtId="0" fontId="84" fillId="4" borderId="6" xfId="1" applyFont="1" applyFill="1" applyBorder="1" applyAlignment="1">
      <alignment horizontal="left" vertical="top"/>
    </xf>
    <xf numFmtId="0" fontId="23" fillId="4" borderId="0" xfId="1" applyFont="1" applyFill="1" applyBorder="1" applyAlignment="1">
      <alignment vertical="center" wrapText="1"/>
    </xf>
    <xf numFmtId="0" fontId="23" fillId="4" borderId="5" xfId="1" quotePrefix="1" applyFont="1" applyFill="1" applyBorder="1" applyAlignment="1">
      <alignment vertical="top" wrapText="1"/>
    </xf>
    <xf numFmtId="0" fontId="84" fillId="4" borderId="6" xfId="1" applyFont="1" applyFill="1" applyBorder="1" applyAlignment="1">
      <alignment vertical="top"/>
    </xf>
    <xf numFmtId="0" fontId="23" fillId="4" borderId="4" xfId="1" applyFont="1" applyFill="1" applyBorder="1" applyAlignment="1">
      <alignment vertical="top"/>
    </xf>
    <xf numFmtId="0" fontId="23" fillId="4" borderId="4" xfId="1" applyFont="1" applyFill="1" applyBorder="1" applyAlignment="1">
      <alignment vertical="center"/>
    </xf>
    <xf numFmtId="0" fontId="23" fillId="4" borderId="1" xfId="1" quotePrefix="1" applyFont="1" applyFill="1" applyBorder="1" applyAlignment="1">
      <alignment vertical="top" wrapText="1"/>
    </xf>
    <xf numFmtId="0" fontId="23" fillId="4" borderId="1" xfId="1" applyFont="1" applyFill="1" applyBorder="1" applyAlignment="1">
      <alignment vertical="top" wrapText="1"/>
    </xf>
    <xf numFmtId="49" fontId="23" fillId="4" borderId="2" xfId="1" applyNumberFormat="1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vertical="top"/>
    </xf>
    <xf numFmtId="1" fontId="23" fillId="4" borderId="3" xfId="1" applyNumberFormat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 wrapText="1"/>
    </xf>
    <xf numFmtId="0" fontId="23" fillId="4" borderId="2" xfId="1" quotePrefix="1" applyFont="1" applyFill="1" applyBorder="1" applyAlignment="1">
      <alignment horizontal="center" vertical="center" wrapText="1"/>
    </xf>
    <xf numFmtId="0" fontId="23" fillId="4" borderId="3" xfId="1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vertical="center" wrapText="1"/>
    </xf>
    <xf numFmtId="0" fontId="23" fillId="4" borderId="3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vertical="center"/>
    </xf>
    <xf numFmtId="0" fontId="84" fillId="4" borderId="2" xfId="1" applyFont="1" applyFill="1" applyBorder="1" applyAlignment="1">
      <alignment horizontal="center" vertical="top"/>
    </xf>
    <xf numFmtId="0" fontId="84" fillId="4" borderId="2" xfId="1" applyFont="1" applyFill="1" applyBorder="1" applyAlignment="1">
      <alignment vertical="top"/>
    </xf>
    <xf numFmtId="164" fontId="84" fillId="4" borderId="2" xfId="2" applyNumberFormat="1" applyFont="1" applyFill="1" applyBorder="1" applyAlignment="1">
      <alignment horizontal="right" vertical="top"/>
    </xf>
    <xf numFmtId="164" fontId="84" fillId="4" borderId="2" xfId="2" applyNumberFormat="1" applyFont="1" applyFill="1" applyBorder="1" applyAlignment="1">
      <alignment vertical="center"/>
    </xf>
    <xf numFmtId="164" fontId="23" fillId="4" borderId="1" xfId="2" applyNumberFormat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vertical="center" wrapText="1"/>
    </xf>
    <xf numFmtId="0" fontId="23" fillId="4" borderId="3" xfId="1" applyFont="1" applyFill="1" applyBorder="1" applyAlignment="1">
      <alignment horizontal="center" vertical="top"/>
    </xf>
    <xf numFmtId="0" fontId="23" fillId="4" borderId="2" xfId="1" applyFont="1" applyFill="1" applyBorder="1" applyAlignment="1">
      <alignment horizontal="center" vertical="top"/>
    </xf>
    <xf numFmtId="41" fontId="23" fillId="4" borderId="1" xfId="154" applyFont="1" applyFill="1" applyBorder="1" applyAlignment="1">
      <alignment horizontal="center" vertical="center"/>
    </xf>
    <xf numFmtId="41" fontId="53" fillId="4" borderId="1" xfId="154" applyFont="1" applyFill="1" applyBorder="1" applyAlignment="1">
      <alignment horizontal="center" vertical="top"/>
    </xf>
    <xf numFmtId="41" fontId="23" fillId="4" borderId="1" xfId="154" applyFont="1" applyFill="1" applyBorder="1" applyAlignment="1">
      <alignment horizontal="center" vertical="top"/>
    </xf>
    <xf numFmtId="0" fontId="53" fillId="4" borderId="1" xfId="1" applyFont="1" applyFill="1" applyBorder="1" applyAlignment="1">
      <alignment horizontal="center" vertical="top"/>
    </xf>
    <xf numFmtId="41" fontId="23" fillId="4" borderId="2" xfId="154" applyFont="1" applyFill="1" applyBorder="1" applyAlignment="1">
      <alignment horizontal="center" vertical="top"/>
    </xf>
    <xf numFmtId="0" fontId="23" fillId="4" borderId="1" xfId="1" applyFont="1" applyFill="1" applyBorder="1" applyAlignment="1">
      <alignment horizontal="center" vertical="top"/>
    </xf>
    <xf numFmtId="0" fontId="53" fillId="4" borderId="9" xfId="1" quotePrefix="1" applyFont="1" applyFill="1" applyBorder="1" applyAlignment="1">
      <alignment horizontal="center" vertical="center"/>
    </xf>
    <xf numFmtId="0" fontId="23" fillId="4" borderId="9" xfId="1" applyFont="1" applyFill="1" applyBorder="1" applyAlignment="1">
      <alignment horizontal="center" vertical="center" wrapText="1"/>
    </xf>
    <xf numFmtId="43" fontId="23" fillId="4" borderId="9" xfId="2" applyFont="1" applyFill="1" applyBorder="1" applyAlignment="1">
      <alignment horizontal="center" vertical="center"/>
    </xf>
    <xf numFmtId="164" fontId="23" fillId="4" borderId="9" xfId="2" applyNumberFormat="1" applyFont="1" applyFill="1" applyBorder="1" applyAlignment="1">
      <alignment horizontal="center" vertical="center"/>
    </xf>
    <xf numFmtId="0" fontId="23" fillId="4" borderId="10" xfId="1" applyFont="1" applyFill="1" applyBorder="1" applyAlignment="1">
      <alignment horizontal="center" vertical="top"/>
    </xf>
    <xf numFmtId="164" fontId="23" fillId="4" borderId="9" xfId="2" applyNumberFormat="1" applyFont="1" applyFill="1" applyBorder="1" applyAlignment="1">
      <alignment horizontal="right" vertical="top"/>
    </xf>
    <xf numFmtId="0" fontId="23" fillId="4" borderId="8" xfId="1" applyFont="1" applyFill="1" applyBorder="1" applyAlignment="1">
      <alignment horizontal="center" vertical="center"/>
    </xf>
    <xf numFmtId="0" fontId="23" fillId="4" borderId="10" xfId="1" applyFont="1" applyFill="1" applyBorder="1" applyAlignment="1">
      <alignment vertical="center" wrapText="1"/>
    </xf>
    <xf numFmtId="0" fontId="23" fillId="4" borderId="9" xfId="1" applyFont="1" applyFill="1" applyBorder="1" applyAlignment="1">
      <alignment horizontal="center" vertical="top"/>
    </xf>
    <xf numFmtId="0" fontId="23" fillId="4" borderId="8" xfId="1" applyFont="1" applyFill="1" applyBorder="1" applyAlignment="1">
      <alignment horizontal="center" vertical="center" wrapText="1"/>
    </xf>
    <xf numFmtId="0" fontId="23" fillId="4" borderId="0" xfId="1" applyFont="1" applyFill="1"/>
    <xf numFmtId="0" fontId="23" fillId="4" borderId="6" xfId="1" applyFont="1" applyFill="1" applyBorder="1" applyAlignment="1">
      <alignment horizontal="center" vertical="center" wrapText="1"/>
    </xf>
    <xf numFmtId="43" fontId="23" fillId="4" borderId="6" xfId="2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top"/>
    </xf>
    <xf numFmtId="164" fontId="23" fillId="4" borderId="6" xfId="2" applyNumberFormat="1" applyFont="1" applyFill="1" applyBorder="1" applyAlignment="1">
      <alignment horizontal="right" vertical="top"/>
    </xf>
    <xf numFmtId="165" fontId="23" fillId="4" borderId="5" xfId="1" applyNumberFormat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top"/>
    </xf>
    <xf numFmtId="0" fontId="23" fillId="4" borderId="5" xfId="1" applyFont="1" applyFill="1" applyBorder="1" applyAlignment="1">
      <alignment horizontal="center" vertical="center" wrapText="1"/>
    </xf>
    <xf numFmtId="164" fontId="23" fillId="4" borderId="6" xfId="2" applyNumberFormat="1" applyFont="1" applyFill="1" applyBorder="1" applyAlignment="1">
      <alignment horizontal="center" vertical="center"/>
    </xf>
    <xf numFmtId="0" fontId="23" fillId="4" borderId="0" xfId="1" applyFont="1" applyFill="1" applyBorder="1"/>
    <xf numFmtId="0" fontId="23" fillId="4" borderId="5" xfId="1" quotePrefix="1" applyFont="1" applyFill="1" applyBorder="1" applyAlignment="1">
      <alignment vertical="center"/>
    </xf>
    <xf numFmtId="0" fontId="23" fillId="4" borderId="0" xfId="1" applyFont="1" applyFill="1" applyBorder="1" applyAlignment="1">
      <alignment horizontal="right" vertical="top"/>
    </xf>
    <xf numFmtId="0" fontId="23" fillId="4" borderId="6" xfId="1" applyFont="1" applyFill="1" applyBorder="1" applyAlignment="1">
      <alignment horizontal="right" vertical="top"/>
    </xf>
    <xf numFmtId="0" fontId="23" fillId="4" borderId="1" xfId="1" quotePrefix="1" applyFont="1" applyFill="1" applyBorder="1" applyAlignment="1">
      <alignment vertical="center"/>
    </xf>
    <xf numFmtId="49" fontId="23" fillId="4" borderId="2" xfId="1" quotePrefix="1" applyNumberFormat="1" applyFont="1" applyFill="1" applyBorder="1" applyAlignment="1">
      <alignment horizontal="center" vertical="center"/>
    </xf>
    <xf numFmtId="1" fontId="23" fillId="4" borderId="3" xfId="1" applyNumberFormat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 wrapText="1"/>
    </xf>
    <xf numFmtId="0" fontId="23" fillId="4" borderId="2" xfId="1" applyFont="1" applyFill="1" applyBorder="1" applyAlignment="1">
      <alignment horizontal="center" vertical="center" wrapText="1"/>
    </xf>
    <xf numFmtId="0" fontId="23" fillId="4" borderId="3" xfId="1" applyFont="1" applyFill="1" applyBorder="1"/>
    <xf numFmtId="0" fontId="23" fillId="4" borderId="3" xfId="1" quotePrefix="1" applyFont="1" applyFill="1" applyBorder="1" applyAlignment="1">
      <alignment horizontal="center" vertical="top"/>
    </xf>
    <xf numFmtId="0" fontId="23" fillId="4" borderId="2" xfId="1" applyFont="1" applyFill="1" applyBorder="1" applyAlignment="1">
      <alignment horizontal="left" vertical="top"/>
    </xf>
    <xf numFmtId="0" fontId="23" fillId="4" borderId="3" xfId="1" applyFont="1" applyFill="1" applyBorder="1" applyAlignment="1">
      <alignment horizontal="right" vertical="top"/>
    </xf>
    <xf numFmtId="0" fontId="23" fillId="4" borderId="2" xfId="1" applyFont="1" applyFill="1" applyBorder="1" applyAlignment="1">
      <alignment horizontal="right" vertical="top"/>
    </xf>
    <xf numFmtId="0" fontId="23" fillId="4" borderId="1" xfId="1" applyFont="1" applyFill="1" applyBorder="1" applyAlignment="1">
      <alignment vertical="center"/>
    </xf>
    <xf numFmtId="165" fontId="23" fillId="4" borderId="1" xfId="1" applyNumberFormat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top"/>
    </xf>
    <xf numFmtId="0" fontId="23" fillId="4" borderId="2" xfId="1" applyFont="1" applyFill="1" applyBorder="1" applyAlignment="1">
      <alignment horizontal="center" vertical="top"/>
    </xf>
    <xf numFmtId="41" fontId="23" fillId="4" borderId="1" xfId="154" applyNumberFormat="1" applyFont="1" applyFill="1" applyBorder="1" applyAlignment="1">
      <alignment horizontal="center" vertical="top"/>
    </xf>
    <xf numFmtId="0" fontId="23" fillId="4" borderId="1" xfId="1" applyFont="1" applyFill="1" applyBorder="1" applyAlignment="1">
      <alignment horizontal="center" vertical="center" wrapText="1"/>
    </xf>
    <xf numFmtId="0" fontId="23" fillId="0" borderId="11" xfId="1" quotePrefix="1" applyFont="1" applyFill="1" applyBorder="1" applyAlignment="1">
      <alignment horizontal="center" vertical="top"/>
    </xf>
    <xf numFmtId="0" fontId="23" fillId="0" borderId="7" xfId="1" quotePrefix="1" applyFont="1" applyFill="1" applyBorder="1" applyAlignment="1">
      <alignment horizontal="center" vertical="top"/>
    </xf>
    <xf numFmtId="41" fontId="23" fillId="0" borderId="6" xfId="154" applyNumberFormat="1" applyFont="1" applyFill="1" applyBorder="1" applyAlignment="1">
      <alignment vertical="top"/>
    </xf>
    <xf numFmtId="0" fontId="53" fillId="0" borderId="7" xfId="1" quotePrefix="1" applyFont="1" applyFill="1" applyBorder="1" applyAlignment="1">
      <alignment horizontal="center" vertical="top"/>
    </xf>
    <xf numFmtId="0" fontId="23" fillId="0" borderId="11" xfId="1" applyFont="1" applyFill="1" applyBorder="1" applyAlignment="1">
      <alignment vertical="top"/>
    </xf>
    <xf numFmtId="49" fontId="23" fillId="0" borderId="9" xfId="1" quotePrefix="1" applyNumberFormat="1" applyFont="1" applyFill="1" applyBorder="1" applyAlignment="1">
      <alignment horizontal="center" vertical="center"/>
    </xf>
    <xf numFmtId="49" fontId="23" fillId="0" borderId="2" xfId="1" applyNumberFormat="1" applyFont="1" applyFill="1" applyBorder="1" applyAlignment="1">
      <alignment horizontal="center" vertical="center"/>
    </xf>
    <xf numFmtId="164" fontId="84" fillId="0" borderId="6" xfId="2" quotePrefix="1" applyNumberFormat="1" applyFont="1" applyFill="1" applyBorder="1" applyAlignment="1">
      <alignment horizontal="right" vertical="top"/>
    </xf>
    <xf numFmtId="164" fontId="84" fillId="0" borderId="6" xfId="2" quotePrefix="1" applyNumberFormat="1" applyFont="1" applyFill="1" applyBorder="1" applyAlignment="1">
      <alignment vertical="center"/>
    </xf>
    <xf numFmtId="164" fontId="84" fillId="0" borderId="6" xfId="2" quotePrefix="1" applyNumberFormat="1" applyFont="1" applyFill="1" applyBorder="1" applyAlignment="1">
      <alignment vertical="top"/>
    </xf>
    <xf numFmtId="0" fontId="84" fillId="0" borderId="0" xfId="1" applyFont="1" applyFill="1" applyBorder="1" applyAlignment="1">
      <alignment horizontal="center" vertical="top"/>
    </xf>
    <xf numFmtId="0" fontId="23" fillId="0" borderId="10" xfId="1" applyFont="1" applyFill="1" applyBorder="1" applyAlignment="1">
      <alignment horizontal="center" vertical="top" wrapText="1"/>
    </xf>
    <xf numFmtId="0" fontId="23" fillId="0" borderId="0" xfId="1" applyFont="1" applyFill="1" applyBorder="1" applyAlignment="1">
      <alignment horizontal="center" vertical="top" wrapText="1"/>
    </xf>
    <xf numFmtId="0" fontId="23" fillId="0" borderId="3" xfId="1" applyFont="1" applyFill="1" applyBorder="1" applyAlignment="1">
      <alignment horizontal="center" vertical="top" wrapText="1"/>
    </xf>
    <xf numFmtId="0" fontId="53" fillId="0" borderId="9" xfId="1" quotePrefix="1" applyNumberFormat="1" applyFont="1" applyFill="1" applyBorder="1" applyAlignment="1">
      <alignment horizontal="center" vertical="center"/>
    </xf>
    <xf numFmtId="0" fontId="53" fillId="0" borderId="0" xfId="1" applyFont="1" applyFill="1" applyBorder="1" applyAlignment="1">
      <alignment vertical="center"/>
    </xf>
    <xf numFmtId="0" fontId="23" fillId="0" borderId="0" xfId="1" quotePrefix="1" applyFont="1" applyFill="1" applyBorder="1" applyAlignment="1">
      <alignment horizontal="center" vertical="center" wrapText="1"/>
    </xf>
    <xf numFmtId="165" fontId="23" fillId="0" borderId="5" xfId="1" applyNumberFormat="1" applyFont="1" applyFill="1" applyBorder="1" applyAlignment="1">
      <alignment vertical="top"/>
    </xf>
    <xf numFmtId="0" fontId="23" fillId="0" borderId="0" xfId="1" quotePrefix="1" applyFont="1" applyFill="1" applyBorder="1" applyAlignment="1">
      <alignment horizontal="right" vertical="top"/>
    </xf>
    <xf numFmtId="0" fontId="23" fillId="0" borderId="4" xfId="1" applyFont="1" applyFill="1" applyBorder="1" applyAlignment="1">
      <alignment horizontal="left" vertical="center"/>
    </xf>
    <xf numFmtId="0" fontId="53" fillId="0" borderId="7" xfId="1" applyFont="1" applyFill="1" applyBorder="1" applyAlignment="1">
      <alignment vertical="center"/>
    </xf>
    <xf numFmtId="41" fontId="23" fillId="0" borderId="9" xfId="1" applyNumberFormat="1" applyFont="1" applyFill="1" applyBorder="1" applyAlignment="1">
      <alignment horizontal="center" vertical="top"/>
    </xf>
    <xf numFmtId="0" fontId="23" fillId="0" borderId="2" xfId="1" applyFont="1" applyFill="1" applyBorder="1"/>
    <xf numFmtId="167" fontId="23" fillId="0" borderId="0" xfId="1" applyNumberFormat="1" applyFont="1" applyFill="1" applyBorder="1" applyAlignment="1">
      <alignment horizontal="center" vertical="center"/>
    </xf>
    <xf numFmtId="2" fontId="23" fillId="0" borderId="0" xfId="1" applyNumberFormat="1" applyFont="1" applyFill="1" applyBorder="1" applyAlignment="1">
      <alignment horizontal="center" vertical="center"/>
    </xf>
    <xf numFmtId="167" fontId="23" fillId="0" borderId="0" xfId="1" applyNumberFormat="1" applyFont="1" applyFill="1" applyBorder="1"/>
    <xf numFmtId="1" fontId="23" fillId="0" borderId="0" xfId="1" applyNumberFormat="1" applyFont="1" applyFill="1" applyBorder="1"/>
    <xf numFmtId="0" fontId="53" fillId="0" borderId="7" xfId="1" applyFont="1" applyFill="1" applyBorder="1" applyAlignment="1">
      <alignment horizontal="left" vertical="center"/>
    </xf>
    <xf numFmtId="0" fontId="53" fillId="0" borderId="11" xfId="1" applyFont="1" applyFill="1" applyBorder="1" applyAlignment="1">
      <alignment vertical="center"/>
    </xf>
    <xf numFmtId="0" fontId="23" fillId="0" borderId="8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vertical="top"/>
    </xf>
    <xf numFmtId="165" fontId="23" fillId="0" borderId="8" xfId="1" applyNumberFormat="1" applyFont="1" applyFill="1" applyBorder="1" applyAlignment="1">
      <alignment vertical="center"/>
    </xf>
    <xf numFmtId="49" fontId="23" fillId="0" borderId="10" xfId="1" applyNumberFormat="1" applyFont="1" applyFill="1" applyBorder="1" applyAlignment="1">
      <alignment horizontal="center" vertical="center"/>
    </xf>
    <xf numFmtId="49" fontId="23" fillId="0" borderId="0" xfId="1" applyNumberFormat="1" applyFont="1" applyFill="1" applyBorder="1" applyAlignment="1">
      <alignment horizontal="center" vertical="center"/>
    </xf>
    <xf numFmtId="167" fontId="23" fillId="0" borderId="6" xfId="1" applyNumberFormat="1" applyFont="1" applyFill="1" applyBorder="1" applyAlignment="1">
      <alignment horizontal="center" vertical="center"/>
    </xf>
    <xf numFmtId="167" fontId="23" fillId="0" borderId="6" xfId="1" applyNumberFormat="1" applyFont="1" applyFill="1" applyBorder="1" applyAlignment="1">
      <alignment vertical="top"/>
    </xf>
    <xf numFmtId="49" fontId="23" fillId="0" borderId="3" xfId="1" applyNumberFormat="1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vertical="top" wrapText="1"/>
    </xf>
    <xf numFmtId="2" fontId="23" fillId="0" borderId="9" xfId="1" applyNumberFormat="1" applyFont="1" applyFill="1" applyBorder="1" applyAlignment="1">
      <alignment horizontal="center" vertical="center"/>
    </xf>
    <xf numFmtId="165" fontId="23" fillId="0" borderId="6" xfId="1" applyNumberFormat="1" applyFont="1" applyFill="1" applyBorder="1" applyAlignment="1">
      <alignment vertical="center"/>
    </xf>
    <xf numFmtId="49" fontId="23" fillId="4" borderId="9" xfId="1" applyNumberFormat="1" applyFont="1" applyFill="1" applyBorder="1" applyAlignment="1">
      <alignment horizontal="center" vertical="center"/>
    </xf>
    <xf numFmtId="1" fontId="23" fillId="4" borderId="9" xfId="1" quotePrefix="1" applyNumberFormat="1" applyFont="1" applyFill="1" applyBorder="1" applyAlignment="1">
      <alignment horizontal="center" vertical="center"/>
    </xf>
    <xf numFmtId="0" fontId="23" fillId="4" borderId="10" xfId="1" applyFont="1" applyFill="1" applyBorder="1" applyAlignment="1">
      <alignment horizontal="center" vertical="center"/>
    </xf>
    <xf numFmtId="0" fontId="23" fillId="4" borderId="9" xfId="1" applyFont="1" applyFill="1" applyBorder="1" applyAlignment="1">
      <alignment horizontal="center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3" fillId="4" borderId="0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left" vertical="center"/>
    </xf>
    <xf numFmtId="0" fontId="23" fillId="4" borderId="6" xfId="1" applyFont="1" applyFill="1" applyBorder="1" applyAlignment="1">
      <alignment vertical="center"/>
    </xf>
    <xf numFmtId="0" fontId="23" fillId="4" borderId="5" xfId="1" applyFont="1" applyFill="1" applyBorder="1" applyAlignment="1">
      <alignment horizontal="center" vertical="center"/>
    </xf>
    <xf numFmtId="1" fontId="23" fillId="4" borderId="6" xfId="1" applyNumberFormat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vertical="top"/>
    </xf>
    <xf numFmtId="0" fontId="23" fillId="4" borderId="5" xfId="1" applyFont="1" applyFill="1" applyBorder="1" applyAlignment="1">
      <alignment horizontal="left" vertical="center"/>
    </xf>
    <xf numFmtId="0" fontId="23" fillId="4" borderId="3" xfId="1" applyFont="1" applyFill="1" applyBorder="1" applyAlignment="1">
      <alignment vertical="top"/>
    </xf>
    <xf numFmtId="1" fontId="23" fillId="4" borderId="2" xfId="1" applyNumberFormat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 wrapText="1"/>
    </xf>
    <xf numFmtId="0" fontId="23" fillId="4" borderId="2" xfId="1" applyFont="1" applyFill="1" applyBorder="1" applyAlignment="1">
      <alignment vertical="center"/>
    </xf>
    <xf numFmtId="0" fontId="23" fillId="4" borderId="2" xfId="1" applyFont="1" applyFill="1" applyBorder="1" applyAlignment="1">
      <alignment vertical="top"/>
    </xf>
    <xf numFmtId="0" fontId="23" fillId="4" borderId="1" xfId="1" applyFont="1" applyFill="1" applyBorder="1" applyAlignment="1">
      <alignment horizontal="center" vertical="center"/>
    </xf>
    <xf numFmtId="41" fontId="23" fillId="4" borderId="2" xfId="154" applyFont="1" applyFill="1" applyBorder="1" applyAlignment="1">
      <alignment horizontal="left" vertical="top"/>
    </xf>
    <xf numFmtId="1" fontId="23" fillId="0" borderId="6" xfId="1" quotePrefix="1" applyNumberFormat="1" applyFont="1" applyFill="1" applyBorder="1" applyAlignment="1">
      <alignment horizontal="center" vertical="center"/>
    </xf>
    <xf numFmtId="49" fontId="23" fillId="0" borderId="10" xfId="1" quotePrefix="1" applyNumberFormat="1" applyFont="1" applyFill="1" applyBorder="1" applyAlignment="1">
      <alignment horizontal="center" vertical="center"/>
    </xf>
    <xf numFmtId="0" fontId="53" fillId="0" borderId="11" xfId="1" quotePrefix="1" applyFont="1" applyFill="1" applyBorder="1" applyAlignment="1">
      <alignment horizontal="center"/>
    </xf>
    <xf numFmtId="41" fontId="23" fillId="0" borderId="8" xfId="154" applyFont="1" applyFill="1" applyBorder="1"/>
    <xf numFmtId="41" fontId="53" fillId="0" borderId="8" xfId="1" applyNumberFormat="1" applyFont="1" applyFill="1" applyBorder="1"/>
    <xf numFmtId="41" fontId="23" fillId="0" borderId="8" xfId="154" applyNumberFormat="1" applyFont="1" applyFill="1" applyBorder="1" applyAlignment="1">
      <alignment vertical="top"/>
    </xf>
    <xf numFmtId="41" fontId="53" fillId="0" borderId="8" xfId="154" applyFont="1" applyFill="1" applyBorder="1"/>
    <xf numFmtId="41" fontId="53" fillId="0" borderId="5" xfId="154" applyFont="1" applyFill="1" applyBorder="1"/>
    <xf numFmtId="41" fontId="23" fillId="0" borderId="5" xfId="154" applyFont="1" applyFill="1" applyBorder="1"/>
    <xf numFmtId="0" fontId="53" fillId="0" borderId="5" xfId="1" applyFont="1" applyFill="1" applyBorder="1"/>
    <xf numFmtId="41" fontId="23" fillId="0" borderId="5" xfId="154" applyNumberFormat="1" applyFont="1" applyFill="1" applyBorder="1" applyAlignment="1">
      <alignment vertical="top"/>
    </xf>
    <xf numFmtId="41" fontId="23" fillId="0" borderId="6" xfId="154" applyFont="1" applyFill="1" applyBorder="1"/>
    <xf numFmtId="0" fontId="23" fillId="0" borderId="5" xfId="1" quotePrefix="1" applyFont="1" applyFill="1" applyBorder="1"/>
    <xf numFmtId="0" fontId="23" fillId="0" borderId="0" xfId="1" applyFont="1" applyFill="1" applyBorder="1" applyAlignment="1">
      <alignment horizontal="center"/>
    </xf>
    <xf numFmtId="0" fontId="23" fillId="0" borderId="6" xfId="1" applyFont="1" applyFill="1" applyBorder="1" applyAlignment="1">
      <alignment horizontal="center"/>
    </xf>
    <xf numFmtId="41" fontId="53" fillId="0" borderId="2" xfId="154" applyFont="1" applyFill="1" applyBorder="1"/>
    <xf numFmtId="41" fontId="23" fillId="0" borderId="2" xfId="154" applyFont="1" applyFill="1" applyBorder="1"/>
    <xf numFmtId="41" fontId="23" fillId="0" borderId="2" xfId="154" applyNumberFormat="1" applyFont="1" applyFill="1" applyBorder="1" applyAlignment="1">
      <alignment vertical="top"/>
    </xf>
    <xf numFmtId="0" fontId="53" fillId="0" borderId="1" xfId="1" applyFont="1" applyFill="1" applyBorder="1"/>
    <xf numFmtId="165" fontId="23" fillId="0" borderId="10" xfId="1" applyNumberFormat="1" applyFont="1" applyFill="1" applyBorder="1" applyAlignment="1">
      <alignment horizontal="right" vertical="top"/>
    </xf>
    <xf numFmtId="165" fontId="23" fillId="0" borderId="9" xfId="1" applyNumberFormat="1" applyFont="1" applyFill="1" applyBorder="1" applyAlignment="1">
      <alignment horizontal="right" vertical="top"/>
    </xf>
    <xf numFmtId="1" fontId="23" fillId="0" borderId="10" xfId="1" quotePrefix="1" applyNumberFormat="1" applyFont="1" applyFill="1" applyBorder="1" applyAlignment="1">
      <alignment horizontal="center" vertical="top"/>
    </xf>
    <xf numFmtId="1" fontId="23" fillId="0" borderId="0" xfId="1" quotePrefix="1" applyNumberFormat="1" applyFont="1" applyFill="1" applyBorder="1" applyAlignment="1">
      <alignment horizontal="center" vertical="top"/>
    </xf>
    <xf numFmtId="1" fontId="23" fillId="0" borderId="0" xfId="1" applyNumberFormat="1" applyFont="1" applyFill="1" applyBorder="1" applyAlignment="1">
      <alignment horizontal="center" vertical="top"/>
    </xf>
    <xf numFmtId="1" fontId="23" fillId="0" borderId="0" xfId="1" quotePrefix="1" applyNumberFormat="1" applyFont="1" applyFill="1" applyBorder="1" applyAlignment="1">
      <alignment vertical="top"/>
    </xf>
    <xf numFmtId="0" fontId="23" fillId="0" borderId="1" xfId="1" applyFont="1" applyFill="1" applyBorder="1" applyAlignment="1">
      <alignment wrapText="1"/>
    </xf>
    <xf numFmtId="0" fontId="53" fillId="0" borderId="7" xfId="1" applyFont="1" applyFill="1" applyBorder="1"/>
    <xf numFmtId="0" fontId="23" fillId="0" borderId="8" xfId="1" applyFont="1" applyFill="1" applyBorder="1" applyAlignment="1">
      <alignment horizontal="right" vertical="center"/>
    </xf>
    <xf numFmtId="0" fontId="23" fillId="0" borderId="5" xfId="1" applyFont="1" applyFill="1" applyBorder="1" applyAlignment="1">
      <alignment horizontal="right" vertical="center"/>
    </xf>
    <xf numFmtId="41" fontId="53" fillId="0" borderId="1" xfId="154" applyFont="1" applyFill="1" applyBorder="1"/>
    <xf numFmtId="0" fontId="53" fillId="0" borderId="11" xfId="1" quotePrefix="1" applyFont="1" applyFill="1" applyBorder="1" applyAlignment="1">
      <alignment horizontal="center" vertical="top"/>
    </xf>
    <xf numFmtId="0" fontId="23" fillId="0" borderId="11" xfId="1" applyFont="1" applyFill="1" applyBorder="1" applyAlignment="1">
      <alignment horizontal="right" vertical="top"/>
    </xf>
    <xf numFmtId="0" fontId="23" fillId="0" borderId="5" xfId="1" applyFont="1" applyFill="1" applyBorder="1" applyAlignment="1">
      <alignment horizontal="left" vertical="top"/>
    </xf>
    <xf numFmtId="41" fontId="23" fillId="0" borderId="1" xfId="154" applyNumberFormat="1" applyFont="1" applyFill="1" applyBorder="1" applyAlignment="1">
      <alignment vertical="top"/>
    </xf>
    <xf numFmtId="0" fontId="53" fillId="0" borderId="6" xfId="148" quotePrefix="1" applyFont="1" applyFill="1" applyBorder="1" applyAlignment="1">
      <alignment horizontal="center" vertical="center"/>
    </xf>
    <xf numFmtId="0" fontId="23" fillId="0" borderId="7" xfId="148" applyFont="1" applyFill="1" applyBorder="1" applyAlignment="1">
      <alignment horizontal="left" vertical="center"/>
    </xf>
    <xf numFmtId="0" fontId="23" fillId="0" borderId="5" xfId="148" applyFont="1" applyFill="1" applyBorder="1" applyAlignment="1">
      <alignment vertical="center"/>
    </xf>
    <xf numFmtId="0" fontId="23" fillId="0" borderId="0" xfId="148" applyFont="1" applyFill="1" applyBorder="1" applyAlignment="1">
      <alignment horizontal="left" vertical="center"/>
    </xf>
    <xf numFmtId="0" fontId="23" fillId="0" borderId="0" xfId="148" applyFont="1" applyFill="1" applyBorder="1" applyAlignment="1">
      <alignment vertical="center"/>
    </xf>
    <xf numFmtId="49" fontId="23" fillId="0" borderId="6" xfId="148" quotePrefix="1" applyNumberFormat="1" applyFont="1" applyFill="1" applyBorder="1" applyAlignment="1">
      <alignment horizontal="center" vertical="center"/>
    </xf>
    <xf numFmtId="0" fontId="23" fillId="0" borderId="0" xfId="148" applyFont="1" applyFill="1" applyBorder="1" applyAlignment="1">
      <alignment horizontal="left" vertical="top"/>
    </xf>
    <xf numFmtId="0" fontId="23" fillId="0" borderId="0" xfId="148" applyFont="1" applyFill="1" applyBorder="1" applyAlignment="1">
      <alignment vertical="top" wrapText="1"/>
    </xf>
    <xf numFmtId="165" fontId="23" fillId="0" borderId="6" xfId="148" applyNumberFormat="1" applyFont="1" applyFill="1" applyBorder="1" applyAlignment="1">
      <alignment horizontal="center" vertical="center"/>
    </xf>
    <xf numFmtId="0" fontId="23" fillId="0" borderId="0" xfId="148" applyFont="1" applyFill="1" applyBorder="1" applyAlignment="1">
      <alignment horizontal="center" vertical="center"/>
    </xf>
    <xf numFmtId="0" fontId="23" fillId="0" borderId="6" xfId="148" applyFont="1" applyFill="1" applyBorder="1" applyAlignment="1">
      <alignment horizontal="center" vertical="center" wrapText="1"/>
    </xf>
    <xf numFmtId="0" fontId="23" fillId="0" borderId="0" xfId="148" applyFont="1" applyFill="1" applyBorder="1" applyAlignment="1">
      <alignment horizontal="center" vertical="center"/>
    </xf>
    <xf numFmtId="0" fontId="23" fillId="0" borderId="0" xfId="148" applyFont="1" applyFill="1" applyBorder="1" applyAlignment="1">
      <alignment vertical="center" wrapText="1"/>
    </xf>
    <xf numFmtId="0" fontId="23" fillId="0" borderId="6" xfId="148" applyFont="1" applyFill="1" applyBorder="1" applyAlignment="1">
      <alignment horizontal="center" vertical="center"/>
    </xf>
    <xf numFmtId="0" fontId="23" fillId="0" borderId="0" xfId="148" applyFont="1" applyFill="1" applyBorder="1" applyAlignment="1">
      <alignment horizontal="center" vertical="top"/>
    </xf>
    <xf numFmtId="0" fontId="23" fillId="0" borderId="6" xfId="148" applyFont="1" applyFill="1" applyBorder="1" applyAlignment="1">
      <alignment horizontal="left" vertical="top"/>
    </xf>
    <xf numFmtId="41" fontId="84" fillId="0" borderId="9" xfId="149" applyFont="1" applyFill="1" applyBorder="1" applyAlignment="1">
      <alignment horizontal="right" vertical="top" wrapText="1"/>
    </xf>
    <xf numFmtId="41" fontId="84" fillId="0" borderId="9" xfId="149" applyFont="1" applyFill="1" applyBorder="1" applyAlignment="1">
      <alignment vertical="center" wrapText="1"/>
    </xf>
    <xf numFmtId="41" fontId="23" fillId="0" borderId="5" xfId="148" applyNumberFormat="1" applyFont="1" applyFill="1" applyBorder="1" applyAlignment="1">
      <alignment horizontal="center" vertical="center"/>
    </xf>
    <xf numFmtId="0" fontId="23" fillId="0" borderId="6" xfId="148" applyFont="1" applyFill="1" applyBorder="1" applyAlignment="1">
      <alignment vertical="top"/>
    </xf>
    <xf numFmtId="0" fontId="23" fillId="0" borderId="9" xfId="148" applyFont="1" applyFill="1" applyBorder="1" applyAlignment="1">
      <alignment vertical="top"/>
    </xf>
    <xf numFmtId="41" fontId="23" fillId="0" borderId="9" xfId="154" applyFont="1" applyFill="1" applyBorder="1" applyAlignment="1">
      <alignment vertical="top"/>
    </xf>
    <xf numFmtId="0" fontId="53" fillId="0" borderId="9" xfId="148" applyFont="1" applyFill="1" applyBorder="1" applyAlignment="1">
      <alignment vertical="top"/>
    </xf>
    <xf numFmtId="41" fontId="53" fillId="0" borderId="9" xfId="154" applyFont="1" applyFill="1" applyBorder="1" applyAlignment="1">
      <alignment vertical="top"/>
    </xf>
    <xf numFmtId="0" fontId="23" fillId="0" borderId="9" xfId="148" applyFont="1" applyFill="1" applyBorder="1" applyAlignment="1">
      <alignment vertical="center" wrapText="1"/>
    </xf>
    <xf numFmtId="0" fontId="23" fillId="0" borderId="7" xfId="148" applyFont="1" applyFill="1" applyBorder="1" applyAlignment="1">
      <alignment vertical="center"/>
    </xf>
    <xf numFmtId="0" fontId="23" fillId="0" borderId="5" xfId="148" applyFont="1" applyFill="1" applyBorder="1" applyAlignment="1">
      <alignment vertical="center" wrapText="1"/>
    </xf>
    <xf numFmtId="49" fontId="23" fillId="0" borderId="6" xfId="148" applyNumberFormat="1" applyFont="1" applyFill="1" applyBorder="1" applyAlignment="1">
      <alignment horizontal="center" vertical="center"/>
    </xf>
    <xf numFmtId="0" fontId="23" fillId="0" borderId="7" xfId="148" applyFont="1" applyFill="1" applyBorder="1" applyAlignment="1">
      <alignment horizontal="right" vertical="top"/>
    </xf>
    <xf numFmtId="0" fontId="23" fillId="0" borderId="6" xfId="148" applyFont="1" applyFill="1" applyBorder="1" applyAlignment="1">
      <alignment horizontal="right" vertical="top"/>
    </xf>
    <xf numFmtId="0" fontId="23" fillId="0" borderId="5" xfId="148" applyFont="1" applyFill="1" applyBorder="1" applyAlignment="1">
      <alignment horizontal="center" vertical="center"/>
    </xf>
    <xf numFmtId="41" fontId="53" fillId="0" borderId="6" xfId="154" applyFont="1" applyFill="1" applyBorder="1" applyAlignment="1">
      <alignment vertical="top"/>
    </xf>
    <xf numFmtId="41" fontId="23" fillId="0" borderId="6" xfId="154" applyFont="1" applyFill="1" applyBorder="1" applyAlignment="1">
      <alignment vertical="top"/>
    </xf>
    <xf numFmtId="0" fontId="53" fillId="0" borderId="6" xfId="148" applyFont="1" applyFill="1" applyBorder="1" applyAlignment="1">
      <alignment vertical="top"/>
    </xf>
    <xf numFmtId="0" fontId="23" fillId="0" borderId="6" xfId="148" applyFont="1" applyFill="1" applyBorder="1" applyAlignment="1">
      <alignment vertical="center" wrapText="1"/>
    </xf>
    <xf numFmtId="41" fontId="84" fillId="0" borderId="6" xfId="149" applyFont="1" applyFill="1" applyBorder="1" applyAlignment="1">
      <alignment horizontal="right" vertical="top" wrapText="1"/>
    </xf>
    <xf numFmtId="41" fontId="84" fillId="0" borderId="6" xfId="149" applyFont="1" applyFill="1" applyBorder="1" applyAlignment="1">
      <alignment vertical="center" wrapText="1"/>
    </xf>
    <xf numFmtId="0" fontId="23" fillId="0" borderId="7" xfId="148" applyFont="1" applyFill="1" applyBorder="1" applyAlignment="1">
      <alignment vertical="top"/>
    </xf>
    <xf numFmtId="0" fontId="23" fillId="0" borderId="5" xfId="148" applyFont="1" applyFill="1" applyBorder="1" applyAlignment="1">
      <alignment vertical="top" wrapText="1"/>
    </xf>
    <xf numFmtId="41" fontId="84" fillId="0" borderId="7" xfId="149" applyFont="1" applyFill="1" applyBorder="1" applyAlignment="1">
      <alignment horizontal="right" vertical="top" wrapText="1"/>
    </xf>
    <xf numFmtId="41" fontId="84" fillId="0" borderId="5" xfId="149" applyFont="1" applyFill="1" applyBorder="1" applyAlignment="1">
      <alignment vertical="center" wrapText="1"/>
    </xf>
    <xf numFmtId="0" fontId="23" fillId="0" borderId="5" xfId="148" quotePrefix="1" applyFont="1" applyFill="1" applyBorder="1" applyAlignment="1">
      <alignment vertical="top"/>
    </xf>
    <xf numFmtId="0" fontId="23" fillId="0" borderId="6" xfId="148" applyFont="1" applyFill="1" applyBorder="1" applyAlignment="1"/>
    <xf numFmtId="41" fontId="84" fillId="0" borderId="5" xfId="149" applyFont="1" applyFill="1" applyBorder="1" applyAlignment="1">
      <alignment horizontal="center" vertical="center" wrapText="1"/>
    </xf>
    <xf numFmtId="0" fontId="23" fillId="0" borderId="7" xfId="148" applyFont="1" applyFill="1" applyBorder="1"/>
    <xf numFmtId="0" fontId="23" fillId="0" borderId="5" xfId="148" applyFont="1" applyFill="1" applyBorder="1"/>
    <xf numFmtId="0" fontId="23" fillId="0" borderId="0" xfId="148" applyFont="1" applyFill="1" applyBorder="1" applyAlignment="1">
      <alignment vertical="top"/>
    </xf>
    <xf numFmtId="165" fontId="23" fillId="0" borderId="6" xfId="148" applyNumberFormat="1" applyFont="1" applyFill="1" applyBorder="1" applyAlignment="1">
      <alignment horizontal="center" vertical="center"/>
    </xf>
    <xf numFmtId="165" fontId="23" fillId="0" borderId="6" xfId="148" applyNumberFormat="1" applyFont="1" applyFill="1" applyBorder="1" applyAlignment="1">
      <alignment horizontal="left" vertical="top"/>
    </xf>
    <xf numFmtId="165" fontId="23" fillId="0" borderId="7" xfId="148" applyNumberFormat="1" applyFont="1" applyFill="1" applyBorder="1" applyAlignment="1">
      <alignment horizontal="right" vertical="top"/>
    </xf>
    <xf numFmtId="165" fontId="23" fillId="0" borderId="6" xfId="148" applyNumberFormat="1" applyFont="1" applyFill="1" applyBorder="1" applyAlignment="1">
      <alignment horizontal="right" vertical="top"/>
    </xf>
    <xf numFmtId="165" fontId="23" fillId="0" borderId="5" xfId="148" applyNumberFormat="1" applyFont="1" applyFill="1" applyBorder="1" applyAlignment="1">
      <alignment horizontal="center" vertical="center"/>
    </xf>
    <xf numFmtId="0" fontId="23" fillId="0" borderId="2" xfId="148" applyFont="1" applyFill="1" applyBorder="1" applyAlignment="1">
      <alignment vertical="top"/>
    </xf>
    <xf numFmtId="0" fontId="23" fillId="0" borderId="4" xfId="148" applyFont="1" applyFill="1" applyBorder="1"/>
    <xf numFmtId="0" fontId="23" fillId="0" borderId="1" xfId="148" applyFont="1" applyFill="1" applyBorder="1"/>
    <xf numFmtId="0" fontId="23" fillId="0" borderId="3" xfId="148" applyFont="1" applyFill="1" applyBorder="1" applyAlignment="1">
      <alignment vertical="center"/>
    </xf>
    <xf numFmtId="0" fontId="23" fillId="0" borderId="3" xfId="148" quotePrefix="1" applyFont="1" applyFill="1" applyBorder="1" applyAlignment="1">
      <alignment vertical="center"/>
    </xf>
    <xf numFmtId="49" fontId="23" fillId="0" borderId="2" xfId="148" applyNumberFormat="1" applyFont="1" applyFill="1" applyBorder="1" applyAlignment="1">
      <alignment horizontal="center" vertical="center"/>
    </xf>
    <xf numFmtId="0" fontId="23" fillId="0" borderId="3" xfId="148" applyFont="1" applyFill="1" applyBorder="1" applyAlignment="1">
      <alignment vertical="top"/>
    </xf>
    <xf numFmtId="165" fontId="23" fillId="0" borderId="2" xfId="148" applyNumberFormat="1" applyFont="1" applyFill="1" applyBorder="1" applyAlignment="1">
      <alignment horizontal="center" vertical="center"/>
    </xf>
    <xf numFmtId="0" fontId="23" fillId="0" borderId="3" xfId="148" applyFont="1" applyFill="1" applyBorder="1" applyAlignment="1">
      <alignment horizontal="center" vertical="center"/>
    </xf>
    <xf numFmtId="0" fontId="23" fillId="0" borderId="2" xfId="148" applyFont="1" applyFill="1" applyBorder="1" applyAlignment="1">
      <alignment horizontal="center" vertical="center" wrapText="1"/>
    </xf>
    <xf numFmtId="0" fontId="23" fillId="0" borderId="3" xfId="148" applyFont="1" applyFill="1" applyBorder="1" applyAlignment="1">
      <alignment horizontal="center" vertical="center"/>
    </xf>
    <xf numFmtId="0" fontId="23" fillId="0" borderId="3" xfId="148" applyFont="1" applyFill="1" applyBorder="1" applyAlignment="1">
      <alignment vertical="center" wrapText="1"/>
    </xf>
    <xf numFmtId="0" fontId="23" fillId="0" borderId="2" xfId="148" applyFont="1" applyFill="1" applyBorder="1" applyAlignment="1">
      <alignment horizontal="center" vertical="center"/>
    </xf>
    <xf numFmtId="0" fontId="23" fillId="0" borderId="4" xfId="148" applyFont="1" applyFill="1" applyBorder="1" applyAlignment="1">
      <alignment vertical="center"/>
    </xf>
    <xf numFmtId="165" fontId="23" fillId="0" borderId="2" xfId="148" applyNumberFormat="1" applyFont="1" applyFill="1" applyBorder="1" applyAlignment="1">
      <alignment horizontal="center" vertical="center"/>
    </xf>
    <xf numFmtId="165" fontId="23" fillId="0" borderId="3" xfId="148" quotePrefix="1" applyNumberFormat="1" applyFont="1" applyFill="1" applyBorder="1" applyAlignment="1">
      <alignment horizontal="center" vertical="top"/>
    </xf>
    <xf numFmtId="165" fontId="23" fillId="0" borderId="2" xfId="148" applyNumberFormat="1" applyFont="1" applyFill="1" applyBorder="1" applyAlignment="1">
      <alignment horizontal="left" vertical="top"/>
    </xf>
    <xf numFmtId="165" fontId="23" fillId="0" borderId="3" xfId="148" applyNumberFormat="1" applyFont="1" applyFill="1" applyBorder="1" applyAlignment="1">
      <alignment horizontal="right" vertical="top"/>
    </xf>
    <xf numFmtId="165" fontId="23" fillId="0" borderId="2" xfId="148" applyNumberFormat="1" applyFont="1" applyFill="1" applyBorder="1" applyAlignment="1">
      <alignment horizontal="right" vertical="top"/>
    </xf>
    <xf numFmtId="165" fontId="23" fillId="0" borderId="1" xfId="148" applyNumberFormat="1" applyFont="1" applyFill="1" applyBorder="1" applyAlignment="1">
      <alignment vertical="center"/>
    </xf>
    <xf numFmtId="165" fontId="23" fillId="0" borderId="1" xfId="148" applyNumberFormat="1" applyFont="1" applyFill="1" applyBorder="1" applyAlignment="1">
      <alignment horizontal="center" vertical="center"/>
    </xf>
    <xf numFmtId="41" fontId="53" fillId="0" borderId="2" xfId="154" applyFont="1" applyFill="1" applyBorder="1" applyAlignment="1">
      <alignment vertical="top"/>
    </xf>
    <xf numFmtId="41" fontId="23" fillId="0" borderId="2" xfId="154" applyFont="1" applyFill="1" applyBorder="1" applyAlignment="1">
      <alignment vertical="top"/>
    </xf>
    <xf numFmtId="0" fontId="53" fillId="0" borderId="2" xfId="148" applyFont="1" applyFill="1" applyBorder="1" applyAlignment="1">
      <alignment vertical="top"/>
    </xf>
    <xf numFmtId="0" fontId="23" fillId="0" borderId="2" xfId="148" applyFont="1" applyFill="1" applyBorder="1" applyAlignment="1">
      <alignment vertical="center" wrapText="1"/>
    </xf>
    <xf numFmtId="0" fontId="53" fillId="0" borderId="9" xfId="148" quotePrefix="1" applyFont="1" applyFill="1" applyBorder="1" applyAlignment="1">
      <alignment horizontal="center" vertical="center"/>
    </xf>
    <xf numFmtId="0" fontId="23" fillId="0" borderId="11" xfId="148" applyFont="1" applyFill="1" applyBorder="1" applyAlignment="1">
      <alignment horizontal="left" vertical="center"/>
    </xf>
    <xf numFmtId="0" fontId="23" fillId="0" borderId="8" xfId="148" applyFont="1" applyFill="1" applyBorder="1" applyAlignment="1">
      <alignment vertical="center"/>
    </xf>
    <xf numFmtId="0" fontId="23" fillId="0" borderId="10" xfId="148" applyFont="1" applyFill="1" applyBorder="1" applyAlignment="1">
      <alignment horizontal="left" vertical="center"/>
    </xf>
    <xf numFmtId="0" fontId="23" fillId="0" borderId="10" xfId="148" applyFont="1" applyFill="1" applyBorder="1" applyAlignment="1">
      <alignment vertical="center"/>
    </xf>
    <xf numFmtId="49" fontId="23" fillId="0" borderId="9" xfId="148" quotePrefix="1" applyNumberFormat="1" applyFont="1" applyFill="1" applyBorder="1" applyAlignment="1">
      <alignment horizontal="center" vertical="center"/>
    </xf>
    <xf numFmtId="0" fontId="23" fillId="0" borderId="10" xfId="148" applyFont="1" applyFill="1" applyBorder="1" applyAlignment="1">
      <alignment horizontal="left" vertical="top"/>
    </xf>
    <xf numFmtId="0" fontId="23" fillId="0" borderId="10" xfId="148" applyFont="1" applyFill="1" applyBorder="1" applyAlignment="1">
      <alignment vertical="top" wrapText="1"/>
    </xf>
    <xf numFmtId="165" fontId="23" fillId="0" borderId="9" xfId="148" applyNumberFormat="1" applyFont="1" applyFill="1" applyBorder="1" applyAlignment="1">
      <alignment horizontal="center" vertical="center"/>
    </xf>
    <xf numFmtId="0" fontId="23" fillId="0" borderId="10" xfId="148" applyFont="1" applyFill="1" applyBorder="1" applyAlignment="1">
      <alignment horizontal="center" vertical="center"/>
    </xf>
    <xf numFmtId="0" fontId="23" fillId="0" borderId="10" xfId="148" applyFont="1" applyFill="1" applyBorder="1" applyAlignment="1">
      <alignment vertical="center" wrapText="1"/>
    </xf>
    <xf numFmtId="0" fontId="23" fillId="0" borderId="9" xfId="148" applyFont="1" applyFill="1" applyBorder="1" applyAlignment="1">
      <alignment horizontal="center" vertical="center"/>
    </xf>
    <xf numFmtId="0" fontId="23" fillId="0" borderId="10" xfId="148" applyFont="1" applyFill="1" applyBorder="1" applyAlignment="1">
      <alignment horizontal="center" vertical="top"/>
    </xf>
    <xf numFmtId="0" fontId="23" fillId="0" borderId="9" xfId="148" applyFont="1" applyFill="1" applyBorder="1" applyAlignment="1">
      <alignment horizontal="left" vertical="top"/>
    </xf>
    <xf numFmtId="0" fontId="23" fillId="0" borderId="10" xfId="148" applyFont="1" applyFill="1" applyBorder="1" applyAlignment="1">
      <alignment horizontal="right" vertical="top"/>
    </xf>
    <xf numFmtId="0" fontId="23" fillId="0" borderId="9" xfId="148" applyFont="1" applyFill="1" applyBorder="1" applyAlignment="1">
      <alignment horizontal="right" vertical="top"/>
    </xf>
    <xf numFmtId="0" fontId="23" fillId="0" borderId="0" xfId="148" applyFont="1" applyFill="1" applyBorder="1" applyAlignment="1">
      <alignment horizontal="right" vertical="top"/>
    </xf>
    <xf numFmtId="0" fontId="23" fillId="0" borderId="0" xfId="148" quotePrefix="1" applyFont="1" applyFill="1" applyBorder="1" applyAlignment="1">
      <alignment horizontal="center" vertical="top"/>
    </xf>
    <xf numFmtId="0" fontId="23" fillId="0" borderId="5" xfId="148" quotePrefix="1" applyFont="1" applyFill="1" applyBorder="1" applyAlignment="1">
      <alignment vertical="center"/>
    </xf>
    <xf numFmtId="0" fontId="23" fillId="0" borderId="3" xfId="148" quotePrefix="1" applyFont="1" applyFill="1" applyBorder="1" applyAlignment="1">
      <alignment horizontal="center" vertical="top"/>
    </xf>
    <xf numFmtId="0" fontId="23" fillId="0" borderId="2" xfId="148" applyFont="1" applyFill="1" applyBorder="1" applyAlignment="1">
      <alignment horizontal="left" vertical="top"/>
    </xf>
    <xf numFmtId="0" fontId="23" fillId="0" borderId="3" xfId="148" applyFont="1" applyFill="1" applyBorder="1" applyAlignment="1">
      <alignment horizontal="right" vertical="top"/>
    </xf>
    <xf numFmtId="0" fontId="23" fillId="0" borderId="2" xfId="148" applyFont="1" applyFill="1" applyBorder="1" applyAlignment="1">
      <alignment horizontal="right" vertical="top"/>
    </xf>
    <xf numFmtId="0" fontId="23" fillId="0" borderId="1" xfId="148" applyFont="1" applyFill="1" applyBorder="1" applyAlignment="1">
      <alignment vertical="center"/>
    </xf>
    <xf numFmtId="0" fontId="23" fillId="0" borderId="9" xfId="148" applyFont="1" applyFill="1" applyBorder="1" applyAlignment="1">
      <alignment horizontal="center" vertical="center" wrapText="1"/>
    </xf>
    <xf numFmtId="0" fontId="23" fillId="0" borderId="10" xfId="148" applyFont="1" applyFill="1" applyBorder="1" applyAlignment="1">
      <alignment horizontal="left" vertical="center" wrapText="1"/>
    </xf>
    <xf numFmtId="41" fontId="53" fillId="0" borderId="9" xfId="148" applyNumberFormat="1" applyFont="1" applyFill="1" applyBorder="1" applyAlignment="1">
      <alignment vertical="top"/>
    </xf>
    <xf numFmtId="41" fontId="23" fillId="0" borderId="9" xfId="154" applyNumberFormat="1" applyFont="1" applyFill="1" applyBorder="1" applyAlignment="1">
      <alignment vertical="top"/>
    </xf>
    <xf numFmtId="0" fontId="23" fillId="0" borderId="0" xfId="148" applyFont="1" applyFill="1" applyBorder="1" applyAlignment="1">
      <alignment horizontal="left" vertical="center" wrapText="1"/>
    </xf>
    <xf numFmtId="0" fontId="23" fillId="0" borderId="3" xfId="148" applyFont="1" applyFill="1" applyBorder="1" applyAlignment="1">
      <alignment vertical="top" wrapText="1"/>
    </xf>
    <xf numFmtId="0" fontId="23" fillId="0" borderId="3" xfId="148" applyFont="1" applyFill="1" applyBorder="1" applyAlignment="1">
      <alignment horizontal="left" vertical="center" wrapText="1"/>
    </xf>
    <xf numFmtId="0" fontId="23" fillId="0" borderId="6" xfId="154" applyNumberFormat="1" applyFont="1" applyFill="1" applyBorder="1" applyAlignment="1">
      <alignment horizontal="center" vertical="top"/>
    </xf>
    <xf numFmtId="49" fontId="23" fillId="0" borderId="9" xfId="148" applyNumberFormat="1" applyFont="1" applyFill="1" applyBorder="1" applyAlignment="1">
      <alignment horizontal="center" vertical="center"/>
    </xf>
    <xf numFmtId="41" fontId="84" fillId="0" borderId="6" xfId="149" applyFont="1" applyFill="1" applyBorder="1" applyAlignment="1">
      <alignment vertical="center"/>
    </xf>
    <xf numFmtId="165" fontId="23" fillId="0" borderId="5" xfId="148" applyNumberFormat="1" applyFont="1" applyFill="1" applyBorder="1" applyAlignment="1">
      <alignment vertical="center"/>
    </xf>
    <xf numFmtId="165" fontId="23" fillId="0" borderId="0" xfId="148" applyNumberFormat="1" applyFont="1" applyFill="1" applyBorder="1" applyAlignment="1">
      <alignment horizontal="right" vertical="top"/>
    </xf>
    <xf numFmtId="0" fontId="23" fillId="0" borderId="3" xfId="148" applyFont="1" applyFill="1" applyBorder="1"/>
    <xf numFmtId="0" fontId="23" fillId="0" borderId="1" xfId="148" applyFont="1" applyFill="1" applyBorder="1" applyAlignment="1">
      <alignment wrapText="1"/>
    </xf>
    <xf numFmtId="0" fontId="23" fillId="0" borderId="2" xfId="148" applyFont="1" applyFill="1" applyBorder="1"/>
    <xf numFmtId="0" fontId="23" fillId="0" borderId="5" xfId="148" applyFont="1" applyFill="1" applyBorder="1" applyAlignment="1">
      <alignment horizontal="left" vertical="center"/>
    </xf>
    <xf numFmtId="0" fontId="23" fillId="0" borderId="0" xfId="148" applyFont="1" applyFill="1"/>
    <xf numFmtId="0" fontId="23" fillId="0" borderId="0" xfId="148" applyFont="1" applyFill="1" applyBorder="1"/>
    <xf numFmtId="0" fontId="23" fillId="0" borderId="5" xfId="148" applyFont="1" applyFill="1" applyBorder="1" applyAlignment="1">
      <alignment wrapText="1"/>
    </xf>
    <xf numFmtId="0" fontId="23" fillId="0" borderId="6" xfId="148" applyFont="1" applyFill="1" applyBorder="1"/>
    <xf numFmtId="0" fontId="23" fillId="0" borderId="10" xfId="148" quotePrefix="1" applyFont="1" applyFill="1" applyBorder="1" applyAlignment="1">
      <alignment vertical="center"/>
    </xf>
    <xf numFmtId="0" fontId="23" fillId="0" borderId="0" xfId="148" quotePrefix="1" applyFont="1" applyFill="1" applyBorder="1" applyAlignment="1">
      <alignment vertical="center"/>
    </xf>
    <xf numFmtId="0" fontId="23" fillId="0" borderId="5" xfId="148" quotePrefix="1" applyFont="1" applyFill="1" applyBorder="1" applyAlignment="1">
      <alignment vertical="center" wrapText="1"/>
    </xf>
    <xf numFmtId="0" fontId="23" fillId="0" borderId="6" xfId="148" applyFont="1" applyFill="1" applyBorder="1" applyAlignment="1">
      <alignment horizontal="left" vertical="top" wrapText="1"/>
    </xf>
    <xf numFmtId="0" fontId="23" fillId="0" borderId="9" xfId="148" applyFont="1" applyFill="1" applyBorder="1" applyAlignment="1">
      <alignment horizontal="center" vertical="center"/>
    </xf>
    <xf numFmtId="0" fontId="23" fillId="0" borderId="6" xfId="148" applyFont="1" applyFill="1" applyBorder="1" applyAlignment="1">
      <alignment horizontal="center" vertical="center"/>
    </xf>
    <xf numFmtId="0" fontId="23" fillId="0" borderId="5" xfId="148" applyFont="1" applyFill="1" applyBorder="1" applyAlignment="1">
      <alignment horizontal="left" vertical="center" wrapText="1"/>
    </xf>
    <xf numFmtId="0" fontId="23" fillId="0" borderId="7" xfId="148" applyFont="1" applyFill="1" applyBorder="1" applyAlignment="1">
      <alignment horizontal="center" vertical="top"/>
    </xf>
    <xf numFmtId="41" fontId="84" fillId="0" borderId="7" xfId="149" applyFont="1" applyFill="1" applyBorder="1" applyAlignment="1">
      <alignment horizontal="left" vertical="top" wrapText="1"/>
    </xf>
    <xf numFmtId="0" fontId="84" fillId="0" borderId="0" xfId="148" applyFont="1" applyFill="1" applyAlignment="1">
      <alignment horizontal="center" vertical="center"/>
    </xf>
    <xf numFmtId="0" fontId="84" fillId="0" borderId="6" xfId="148" applyFont="1" applyFill="1" applyBorder="1" applyAlignment="1">
      <alignment horizontal="center" vertical="top" wrapText="1"/>
    </xf>
    <xf numFmtId="41" fontId="84" fillId="0" borderId="5" xfId="149" applyNumberFormat="1" applyFont="1" applyFill="1" applyBorder="1" applyAlignment="1">
      <alignment horizontal="center" vertical="center" wrapText="1"/>
    </xf>
    <xf numFmtId="0" fontId="23" fillId="0" borderId="2" xfId="148" applyFont="1" applyFill="1" applyBorder="1" applyAlignment="1">
      <alignment horizontal="center" vertical="center"/>
    </xf>
    <xf numFmtId="0" fontId="23" fillId="0" borderId="1" xfId="148" applyFont="1" applyFill="1" applyBorder="1" applyAlignment="1">
      <alignment horizontal="left" vertical="center" wrapText="1"/>
    </xf>
    <xf numFmtId="0" fontId="84" fillId="0" borderId="2" xfId="148" applyFont="1" applyFill="1" applyBorder="1" applyAlignment="1">
      <alignment horizontal="center" vertical="top" wrapText="1"/>
    </xf>
    <xf numFmtId="41" fontId="84" fillId="0" borderId="4" xfId="149" applyFont="1" applyFill="1" applyBorder="1" applyAlignment="1">
      <alignment horizontal="left" vertical="top" wrapText="1"/>
    </xf>
    <xf numFmtId="41" fontId="84" fillId="0" borderId="2" xfId="149" applyFont="1" applyFill="1" applyBorder="1" applyAlignment="1">
      <alignment horizontal="right" vertical="top" wrapText="1"/>
    </xf>
    <xf numFmtId="41" fontId="84" fillId="0" borderId="2" xfId="149" applyFont="1" applyFill="1" applyBorder="1" applyAlignment="1">
      <alignment vertical="center" wrapText="1"/>
    </xf>
    <xf numFmtId="41" fontId="84" fillId="0" borderId="1" xfId="149" applyNumberFormat="1" applyFont="1" applyFill="1" applyBorder="1" applyAlignment="1">
      <alignment horizontal="center" vertical="center" wrapText="1"/>
    </xf>
    <xf numFmtId="0" fontId="23" fillId="0" borderId="8" xfId="148" applyFont="1" applyFill="1" applyBorder="1" applyAlignment="1">
      <alignment horizontal="center" vertical="center"/>
    </xf>
    <xf numFmtId="41" fontId="84" fillId="0" borderId="6" xfId="149" applyFont="1" applyFill="1" applyBorder="1" applyAlignment="1">
      <alignment horizontal="left" vertical="top" wrapText="1"/>
    </xf>
    <xf numFmtId="41" fontId="84" fillId="0" borderId="0" xfId="149" applyFont="1" applyFill="1" applyBorder="1" applyAlignment="1">
      <alignment horizontal="right" vertical="top" wrapText="1"/>
    </xf>
    <xf numFmtId="0" fontId="23" fillId="0" borderId="6" xfId="148" applyFont="1" applyFill="1" applyBorder="1" applyAlignment="1">
      <alignment horizontal="center" vertical="top"/>
    </xf>
    <xf numFmtId="0" fontId="23" fillId="0" borderId="6" xfId="148" applyFont="1" applyFill="1" applyBorder="1" applyAlignment="1">
      <alignment vertical="center"/>
    </xf>
    <xf numFmtId="0" fontId="23" fillId="0" borderId="9" xfId="148" applyFont="1" applyFill="1" applyBorder="1" applyAlignment="1">
      <alignment horizontal="center" vertical="top"/>
    </xf>
    <xf numFmtId="0" fontId="53" fillId="0" borderId="9" xfId="148" applyFont="1" applyFill="1" applyBorder="1" applyAlignment="1">
      <alignment horizontal="center" vertical="top"/>
    </xf>
    <xf numFmtId="0" fontId="53" fillId="0" borderId="6" xfId="148" applyFont="1" applyFill="1" applyBorder="1" applyAlignment="1">
      <alignment horizontal="center" vertical="top"/>
    </xf>
    <xf numFmtId="164" fontId="23" fillId="0" borderId="0" xfId="146" applyNumberFormat="1" applyFont="1" applyFill="1" applyBorder="1" applyAlignment="1">
      <alignment horizontal="right" vertical="top"/>
    </xf>
    <xf numFmtId="164" fontId="23" fillId="0" borderId="6" xfId="146" applyNumberFormat="1" applyFont="1" applyFill="1" applyBorder="1" applyAlignment="1">
      <alignment horizontal="right" vertical="top"/>
    </xf>
    <xf numFmtId="43" fontId="23" fillId="0" borderId="6" xfId="146" applyFont="1" applyFill="1" applyBorder="1" applyAlignment="1">
      <alignment horizontal="right" vertical="top"/>
    </xf>
    <xf numFmtId="43" fontId="23" fillId="0" borderId="0" xfId="146" applyFont="1" applyFill="1" applyBorder="1" applyAlignment="1">
      <alignment horizontal="right" vertical="top"/>
    </xf>
    <xf numFmtId="0" fontId="23" fillId="0" borderId="3" xfId="148" applyFont="1" applyFill="1" applyBorder="1" applyAlignment="1">
      <alignment horizontal="center" vertical="top"/>
    </xf>
    <xf numFmtId="0" fontId="23" fillId="0" borderId="2" xfId="148" applyFont="1" applyFill="1" applyBorder="1" applyAlignment="1">
      <alignment horizontal="center" vertical="top"/>
    </xf>
    <xf numFmtId="0" fontId="53" fillId="0" borderId="2" xfId="148" applyFont="1" applyFill="1" applyBorder="1" applyAlignment="1">
      <alignment horizontal="center" vertical="top"/>
    </xf>
    <xf numFmtId="0" fontId="23" fillId="0" borderId="0" xfId="148" applyFont="1" applyFill="1" applyAlignment="1">
      <alignment horizontal="center" vertical="center"/>
    </xf>
    <xf numFmtId="0" fontId="23" fillId="0" borderId="8" xfId="148" applyFont="1" applyFill="1" applyBorder="1" applyAlignment="1">
      <alignment horizontal="left" vertical="center" wrapText="1"/>
    </xf>
    <xf numFmtId="1" fontId="23" fillId="0" borderId="0" xfId="148" applyNumberFormat="1" applyFont="1" applyFill="1" applyAlignment="1">
      <alignment horizontal="center" vertical="center"/>
    </xf>
    <xf numFmtId="41" fontId="84" fillId="0" borderId="11" xfId="149" applyFont="1" applyFill="1" applyBorder="1" applyAlignment="1">
      <alignment horizontal="left" vertical="top" wrapText="1"/>
    </xf>
    <xf numFmtId="0" fontId="23" fillId="0" borderId="5" xfId="148" quotePrefix="1" applyFont="1" applyFill="1" applyBorder="1" applyAlignment="1">
      <alignment vertical="top" wrapText="1"/>
    </xf>
    <xf numFmtId="0" fontId="23" fillId="0" borderId="1" xfId="148" applyFont="1" applyFill="1" applyBorder="1" applyAlignment="1">
      <alignment vertical="center" wrapText="1"/>
    </xf>
    <xf numFmtId="0" fontId="23" fillId="0" borderId="2" xfId="148" applyFont="1" applyFill="1" applyBorder="1" applyAlignment="1">
      <alignment vertical="center"/>
    </xf>
    <xf numFmtId="0" fontId="23" fillId="0" borderId="10" xfId="148" applyFont="1" applyFill="1" applyBorder="1" applyAlignment="1">
      <alignment horizontal="center" vertical="center"/>
    </xf>
    <xf numFmtId="0" fontId="23" fillId="0" borderId="9" xfId="148" applyFont="1" applyFill="1" applyBorder="1" applyAlignment="1">
      <alignment horizontal="center"/>
    </xf>
    <xf numFmtId="0" fontId="23" fillId="0" borderId="9" xfId="148" applyFont="1" applyFill="1" applyBorder="1" applyAlignment="1">
      <alignment vertical="center"/>
    </xf>
    <xf numFmtId="0" fontId="23" fillId="0" borderId="6" xfId="148" applyFont="1" applyFill="1" applyBorder="1" applyAlignment="1">
      <alignment horizontal="center"/>
    </xf>
    <xf numFmtId="0" fontId="23" fillId="0" borderId="1" xfId="148" applyFont="1" applyFill="1" applyBorder="1" applyAlignment="1">
      <alignment horizontal="center" vertical="center"/>
    </xf>
    <xf numFmtId="0" fontId="23" fillId="0" borderId="11" xfId="148" applyFont="1" applyFill="1" applyBorder="1" applyAlignment="1">
      <alignment horizontal="center" vertical="center"/>
    </xf>
    <xf numFmtId="0" fontId="23" fillId="0" borderId="9" xfId="148" quotePrefix="1" applyFont="1" applyFill="1" applyBorder="1" applyAlignment="1">
      <alignment horizontal="center" vertical="top"/>
    </xf>
    <xf numFmtId="165" fontId="23" fillId="0" borderId="10" xfId="148" applyNumberFormat="1" applyFont="1" applyFill="1" applyBorder="1" applyAlignment="1">
      <alignment horizontal="center" vertical="center"/>
    </xf>
    <xf numFmtId="0" fontId="23" fillId="0" borderId="11" xfId="148" applyFont="1" applyFill="1" applyBorder="1" applyAlignment="1">
      <alignment vertical="center"/>
    </xf>
    <xf numFmtId="0" fontId="23" fillId="0" borderId="8" xfId="148" applyFont="1" applyFill="1" applyBorder="1" applyAlignment="1">
      <alignment vertical="top" wrapText="1"/>
    </xf>
    <xf numFmtId="41" fontId="53" fillId="0" borderId="6" xfId="148" applyNumberFormat="1" applyFont="1" applyFill="1" applyBorder="1" applyAlignment="1">
      <alignment vertical="top"/>
    </xf>
    <xf numFmtId="0" fontId="23" fillId="0" borderId="7" xfId="148" applyFont="1" applyFill="1" applyBorder="1" applyAlignment="1">
      <alignment horizontal="center" vertical="center"/>
    </xf>
    <xf numFmtId="41" fontId="84" fillId="0" borderId="0" xfId="149" applyFont="1" applyFill="1" applyBorder="1" applyAlignment="1">
      <alignment horizontal="left" vertical="top" wrapText="1"/>
    </xf>
    <xf numFmtId="165" fontId="23" fillId="0" borderId="0" xfId="148" applyNumberFormat="1" applyFont="1" applyFill="1" applyBorder="1" applyAlignment="1">
      <alignment horizontal="center" vertical="center"/>
    </xf>
    <xf numFmtId="0" fontId="23" fillId="0" borderId="7" xfId="148" applyFont="1" applyFill="1" applyBorder="1" applyAlignment="1">
      <alignment horizontal="left" vertical="top"/>
    </xf>
    <xf numFmtId="0" fontId="23" fillId="0" borderId="6" xfId="148" quotePrefix="1" applyFont="1" applyFill="1" applyBorder="1" applyAlignment="1">
      <alignment horizontal="center" vertical="top"/>
    </xf>
    <xf numFmtId="0" fontId="23" fillId="0" borderId="4" xfId="148" applyFont="1" applyFill="1" applyBorder="1" applyAlignment="1">
      <alignment horizontal="center" vertical="center"/>
    </xf>
    <xf numFmtId="0" fontId="23" fillId="0" borderId="2" xfId="148" quotePrefix="1" applyFont="1" applyFill="1" applyBorder="1" applyAlignment="1">
      <alignment horizontal="center" vertical="top"/>
    </xf>
    <xf numFmtId="0" fontId="23" fillId="0" borderId="3" xfId="148" applyFont="1" applyFill="1" applyBorder="1" applyAlignment="1">
      <alignment horizontal="left" vertical="top"/>
    </xf>
    <xf numFmtId="165" fontId="23" fillId="0" borderId="3" xfId="148" applyNumberFormat="1" applyFont="1" applyFill="1" applyBorder="1" applyAlignment="1">
      <alignment horizontal="center" vertical="center"/>
    </xf>
    <xf numFmtId="0" fontId="23" fillId="0" borderId="1" xfId="148" applyFont="1" applyFill="1" applyBorder="1" applyAlignment="1">
      <alignment vertical="top" wrapText="1"/>
    </xf>
    <xf numFmtId="41" fontId="84" fillId="0" borderId="9" xfId="149" applyFont="1" applyFill="1" applyBorder="1" applyAlignment="1">
      <alignment horizontal="left" vertical="top" wrapText="1"/>
    </xf>
    <xf numFmtId="165" fontId="23" fillId="0" borderId="8" xfId="148" applyNumberFormat="1" applyFont="1" applyFill="1" applyBorder="1" applyAlignment="1">
      <alignment horizontal="center" vertical="center"/>
    </xf>
    <xf numFmtId="1" fontId="23" fillId="0" borderId="0" xfId="148" applyNumberFormat="1" applyFont="1" applyFill="1" applyBorder="1" applyAlignment="1">
      <alignment horizontal="center" vertical="center"/>
    </xf>
    <xf numFmtId="0" fontId="23" fillId="0" borderId="5" xfId="148" applyFont="1" applyFill="1" applyBorder="1" applyAlignment="1">
      <alignment vertical="top"/>
    </xf>
    <xf numFmtId="0" fontId="23" fillId="0" borderId="10" xfId="148" quotePrefix="1" applyFont="1" applyFill="1" applyBorder="1" applyAlignment="1">
      <alignment vertical="top" wrapText="1"/>
    </xf>
    <xf numFmtId="0" fontId="23" fillId="0" borderId="10" xfId="148" applyFont="1" applyFill="1" applyBorder="1" applyAlignment="1">
      <alignment vertical="top"/>
    </xf>
    <xf numFmtId="165" fontId="23" fillId="0" borderId="9" xfId="148" quotePrefix="1" applyNumberFormat="1" applyFont="1" applyFill="1" applyBorder="1" applyAlignment="1">
      <alignment horizontal="center" vertical="center"/>
    </xf>
    <xf numFmtId="41" fontId="53" fillId="0" borderId="9" xfId="148" applyNumberFormat="1" applyFont="1" applyFill="1" applyBorder="1" applyAlignment="1">
      <alignment horizontal="center" vertical="top"/>
    </xf>
    <xf numFmtId="0" fontId="23" fillId="0" borderId="9" xfId="148" applyFont="1" applyFill="1" applyBorder="1" applyAlignment="1">
      <alignment horizontal="center" vertical="center" wrapText="1"/>
    </xf>
    <xf numFmtId="0" fontId="23" fillId="0" borderId="0" xfId="148" quotePrefix="1" applyFont="1" applyFill="1" applyBorder="1" applyAlignment="1">
      <alignment vertical="top" wrapText="1"/>
    </xf>
    <xf numFmtId="0" fontId="23" fillId="0" borderId="6" xfId="148" applyFont="1" applyFill="1" applyBorder="1" applyAlignment="1">
      <alignment horizontal="center" vertical="center" wrapText="1"/>
    </xf>
    <xf numFmtId="0" fontId="23" fillId="0" borderId="3" xfId="148" quotePrefix="1" applyFont="1" applyFill="1" applyBorder="1" applyAlignment="1">
      <alignment vertical="top" wrapText="1"/>
    </xf>
    <xf numFmtId="165" fontId="23" fillId="0" borderId="6" xfId="148" quotePrefix="1" applyNumberFormat="1" applyFont="1" applyFill="1" applyBorder="1" applyAlignment="1">
      <alignment horizontal="center" vertical="center"/>
    </xf>
    <xf numFmtId="41" fontId="23" fillId="0" borderId="8" xfId="148" applyNumberFormat="1" applyFont="1" applyFill="1" applyBorder="1" applyAlignment="1">
      <alignment horizontal="center" vertical="center"/>
    </xf>
    <xf numFmtId="0" fontId="23" fillId="0" borderId="4" xfId="148" applyFont="1" applyFill="1" applyBorder="1" applyAlignment="1">
      <alignment vertical="top"/>
    </xf>
    <xf numFmtId="0" fontId="23" fillId="0" borderId="1" xfId="148" quotePrefix="1" applyFont="1" applyFill="1" applyBorder="1" applyAlignment="1">
      <alignment vertical="center"/>
    </xf>
    <xf numFmtId="0" fontId="23" fillId="0" borderId="2" xfId="148" applyFont="1" applyFill="1" applyBorder="1" applyAlignment="1">
      <alignment horizontal="center" vertical="center" wrapText="1"/>
    </xf>
    <xf numFmtId="0" fontId="23" fillId="0" borderId="11" xfId="148" applyFont="1" applyFill="1" applyBorder="1" applyAlignment="1">
      <alignment horizontal="center" vertical="top"/>
    </xf>
    <xf numFmtId="0" fontId="84" fillId="0" borderId="20" xfId="148" applyFont="1" applyFill="1" applyBorder="1" applyAlignment="1">
      <alignment vertical="top"/>
    </xf>
    <xf numFmtId="0" fontId="84" fillId="0" borderId="20" xfId="148" applyFont="1" applyFill="1" applyBorder="1" applyAlignment="1">
      <alignment horizontal="right" vertical="top"/>
    </xf>
    <xf numFmtId="0" fontId="84" fillId="0" borderId="19" xfId="148" applyFont="1" applyFill="1" applyBorder="1" applyAlignment="1"/>
    <xf numFmtId="0" fontId="84" fillId="0" borderId="16" xfId="148" applyFont="1" applyFill="1" applyBorder="1" applyAlignment="1">
      <alignment vertical="top"/>
    </xf>
    <xf numFmtId="0" fontId="84" fillId="0" borderId="16" xfId="148" applyFont="1" applyFill="1" applyBorder="1" applyAlignment="1">
      <alignment horizontal="right" vertical="top"/>
    </xf>
    <xf numFmtId="0" fontId="84" fillId="0" borderId="18" xfId="148" applyFont="1" applyFill="1" applyBorder="1" applyAlignment="1"/>
    <xf numFmtId="0" fontId="23" fillId="0" borderId="4" xfId="148" applyFont="1" applyFill="1" applyBorder="1" applyAlignment="1">
      <alignment horizontal="center" vertical="top"/>
    </xf>
    <xf numFmtId="0" fontId="53" fillId="4" borderId="9" xfId="148" quotePrefix="1" applyFont="1" applyFill="1" applyBorder="1" applyAlignment="1">
      <alignment horizontal="center" vertical="center"/>
    </xf>
    <xf numFmtId="0" fontId="23" fillId="4" borderId="11" xfId="148" applyFont="1" applyFill="1" applyBorder="1" applyAlignment="1">
      <alignment horizontal="left" vertical="center"/>
    </xf>
    <xf numFmtId="0" fontId="23" fillId="4" borderId="8" xfId="148" applyFont="1" applyFill="1" applyBorder="1" applyAlignment="1">
      <alignment vertical="center"/>
    </xf>
    <xf numFmtId="0" fontId="23" fillId="4" borderId="0" xfId="148" applyFont="1" applyFill="1" applyBorder="1" applyAlignment="1">
      <alignment horizontal="left" vertical="center"/>
    </xf>
    <xf numFmtId="0" fontId="23" fillId="4" borderId="0" xfId="148" applyFont="1" applyFill="1" applyBorder="1" applyAlignment="1">
      <alignment vertical="center"/>
    </xf>
    <xf numFmtId="49" fontId="23" fillId="4" borderId="9" xfId="148" applyNumberFormat="1" applyFont="1" applyFill="1" applyBorder="1" applyAlignment="1">
      <alignment horizontal="center" vertical="center"/>
    </xf>
    <xf numFmtId="0" fontId="23" fillId="4" borderId="10" xfId="148" applyFont="1" applyFill="1" applyBorder="1" applyAlignment="1">
      <alignment horizontal="left" vertical="top"/>
    </xf>
    <xf numFmtId="0" fontId="23" fillId="4" borderId="10" xfId="148" applyFont="1" applyFill="1" applyBorder="1" applyAlignment="1">
      <alignment vertical="top" wrapText="1"/>
    </xf>
    <xf numFmtId="165" fontId="23" fillId="4" borderId="9" xfId="148" quotePrefix="1" applyNumberFormat="1" applyFont="1" applyFill="1" applyBorder="1" applyAlignment="1">
      <alignment horizontal="center" vertical="center"/>
    </xf>
    <xf numFmtId="0" fontId="23" fillId="4" borderId="0" xfId="148" applyFont="1" applyFill="1" applyBorder="1" applyAlignment="1">
      <alignment horizontal="center" vertical="center"/>
    </xf>
    <xf numFmtId="0" fontId="23" fillId="4" borderId="9" xfId="148" applyFont="1" applyFill="1" applyBorder="1" applyAlignment="1">
      <alignment horizontal="center" vertical="center" wrapText="1"/>
    </xf>
    <xf numFmtId="0" fontId="23" fillId="4" borderId="11" xfId="1" applyFont="1" applyFill="1" applyBorder="1"/>
    <xf numFmtId="0" fontId="23" fillId="4" borderId="9" xfId="1" applyFont="1" applyFill="1" applyBorder="1"/>
    <xf numFmtId="0" fontId="23" fillId="4" borderId="10" xfId="148" applyFont="1" applyFill="1" applyBorder="1" applyAlignment="1">
      <alignment horizontal="center" vertical="center"/>
    </xf>
    <xf numFmtId="0" fontId="23" fillId="4" borderId="8" xfId="148" applyFont="1" applyFill="1" applyBorder="1" applyAlignment="1">
      <alignment horizontal="left" vertical="center"/>
    </xf>
    <xf numFmtId="0" fontId="23" fillId="4" borderId="9" xfId="148" applyFont="1" applyFill="1" applyBorder="1" applyAlignment="1">
      <alignment horizontal="center" vertical="center"/>
    </xf>
    <xf numFmtId="0" fontId="23" fillId="4" borderId="10" xfId="148" applyFont="1" applyFill="1" applyBorder="1" applyAlignment="1">
      <alignment vertical="center"/>
    </xf>
    <xf numFmtId="0" fontId="23" fillId="4" borderId="10" xfId="148" applyFont="1" applyFill="1" applyBorder="1" applyAlignment="1">
      <alignment horizontal="center" vertical="top"/>
    </xf>
    <xf numFmtId="0" fontId="23" fillId="4" borderId="9" xfId="148" applyFont="1" applyFill="1" applyBorder="1" applyAlignment="1">
      <alignment horizontal="left" vertical="top"/>
    </xf>
    <xf numFmtId="0" fontId="23" fillId="4" borderId="10" xfId="148" applyFont="1" applyFill="1" applyBorder="1" applyAlignment="1">
      <alignment horizontal="right" vertical="top"/>
    </xf>
    <xf numFmtId="0" fontId="23" fillId="4" borderId="9" xfId="148" applyFont="1" applyFill="1" applyBorder="1" applyAlignment="1">
      <alignment horizontal="right" vertical="top"/>
    </xf>
    <xf numFmtId="0" fontId="23" fillId="4" borderId="8" xfId="148" applyFont="1" applyFill="1" applyBorder="1" applyAlignment="1">
      <alignment horizontal="center" vertical="center"/>
    </xf>
    <xf numFmtId="0" fontId="23" fillId="4" borderId="10" xfId="148" applyFont="1" applyFill="1" applyBorder="1" applyAlignment="1">
      <alignment vertical="top"/>
    </xf>
    <xf numFmtId="0" fontId="23" fillId="4" borderId="9" xfId="148" applyFont="1" applyFill="1" applyBorder="1" applyAlignment="1">
      <alignment vertical="top"/>
    </xf>
    <xf numFmtId="0" fontId="23" fillId="4" borderId="9" xfId="148" applyFont="1" applyFill="1" applyBorder="1" applyAlignment="1">
      <alignment horizontal="center" vertical="top"/>
    </xf>
    <xf numFmtId="41" fontId="23" fillId="4" borderId="9" xfId="154" applyFont="1" applyFill="1" applyBorder="1" applyAlignment="1">
      <alignment horizontal="center" vertical="center"/>
    </xf>
    <xf numFmtId="41" fontId="23" fillId="4" borderId="9" xfId="154" applyFont="1" applyFill="1" applyBorder="1" applyAlignment="1">
      <alignment horizontal="center" vertical="top"/>
    </xf>
    <xf numFmtId="0" fontId="53" fillId="4" borderId="9" xfId="148" applyFont="1" applyFill="1" applyBorder="1" applyAlignment="1">
      <alignment horizontal="center" vertical="top"/>
    </xf>
    <xf numFmtId="41" fontId="23" fillId="4" borderId="6" xfId="154" applyNumberFormat="1" applyFont="1" applyFill="1" applyBorder="1" applyAlignment="1">
      <alignment vertical="top"/>
    </xf>
    <xf numFmtId="41" fontId="53" fillId="4" borderId="9" xfId="154" applyFont="1" applyFill="1" applyBorder="1" applyAlignment="1">
      <alignment horizontal="center" vertical="top"/>
    </xf>
    <xf numFmtId="0" fontId="23" fillId="4" borderId="9" xfId="148" applyFont="1" applyFill="1" applyBorder="1" applyAlignment="1">
      <alignment horizontal="center" vertical="center" wrapText="1"/>
    </xf>
    <xf numFmtId="0" fontId="23" fillId="4" borderId="6" xfId="148" applyFont="1" applyFill="1" applyBorder="1" applyAlignment="1">
      <alignment vertical="top"/>
    </xf>
    <xf numFmtId="0" fontId="23" fillId="4" borderId="7" xfId="148" applyFont="1" applyFill="1" applyBorder="1" applyAlignment="1">
      <alignment vertical="center"/>
    </xf>
    <xf numFmtId="0" fontId="23" fillId="4" borderId="5" xfId="148" applyFont="1" applyFill="1" applyBorder="1" applyAlignment="1">
      <alignment vertical="center" wrapText="1"/>
    </xf>
    <xf numFmtId="0" fontId="23" fillId="4" borderId="0" xfId="148" applyFont="1" applyFill="1" applyBorder="1" applyAlignment="1">
      <alignment vertical="center" wrapText="1"/>
    </xf>
    <xf numFmtId="49" fontId="23" fillId="4" borderId="6" xfId="148" applyNumberFormat="1" applyFont="1" applyFill="1" applyBorder="1" applyAlignment="1">
      <alignment horizontal="center" vertical="center"/>
    </xf>
    <xf numFmtId="165" fontId="23" fillId="4" borderId="6" xfId="148" applyNumberFormat="1" applyFont="1" applyFill="1" applyBorder="1" applyAlignment="1">
      <alignment horizontal="center" vertical="center"/>
    </xf>
    <xf numFmtId="0" fontId="23" fillId="4" borderId="6" xfId="148" applyFont="1" applyFill="1" applyBorder="1" applyAlignment="1">
      <alignment horizontal="center" vertical="center" wrapText="1"/>
    </xf>
    <xf numFmtId="0" fontId="23" fillId="4" borderId="7" xfId="1" applyFont="1" applyFill="1" applyBorder="1"/>
    <xf numFmtId="0" fontId="23" fillId="4" borderId="6" xfId="1" applyFont="1" applyFill="1" applyBorder="1"/>
    <xf numFmtId="0" fontId="23" fillId="4" borderId="0" xfId="148" applyFont="1" applyFill="1" applyBorder="1" applyAlignment="1">
      <alignment horizontal="center" vertical="center"/>
    </xf>
    <xf numFmtId="0" fontId="23" fillId="4" borderId="5" xfId="148" applyFont="1" applyFill="1" applyBorder="1" applyAlignment="1">
      <alignment horizontal="left" vertical="center" wrapText="1"/>
    </xf>
    <xf numFmtId="0" fontId="23" fillId="4" borderId="6" xfId="148" applyFont="1" applyFill="1" applyBorder="1" applyAlignment="1">
      <alignment horizontal="center" vertical="center"/>
    </xf>
    <xf numFmtId="0" fontId="23" fillId="4" borderId="0" xfId="148" applyFont="1" applyFill="1" applyBorder="1" applyAlignment="1">
      <alignment horizontal="center" vertical="top"/>
    </xf>
    <xf numFmtId="0" fontId="23" fillId="4" borderId="6" xfId="148" applyFont="1" applyFill="1" applyBorder="1" applyAlignment="1">
      <alignment horizontal="left" vertical="top"/>
    </xf>
    <xf numFmtId="0" fontId="23" fillId="4" borderId="0" xfId="148" applyFont="1" applyFill="1" applyBorder="1" applyAlignment="1">
      <alignment horizontal="right" vertical="top"/>
    </xf>
    <xf numFmtId="0" fontId="23" fillId="4" borderId="6" xfId="148" applyFont="1" applyFill="1" applyBorder="1" applyAlignment="1">
      <alignment horizontal="right" vertical="top"/>
    </xf>
    <xf numFmtId="0" fontId="23" fillId="4" borderId="5" xfId="148" applyFont="1" applyFill="1" applyBorder="1" applyAlignment="1">
      <alignment vertical="center"/>
    </xf>
    <xf numFmtId="0" fontId="23" fillId="4" borderId="5" xfId="148" applyFont="1" applyFill="1" applyBorder="1" applyAlignment="1">
      <alignment horizontal="center" vertical="center"/>
    </xf>
    <xf numFmtId="0" fontId="23" fillId="4" borderId="0" xfId="148" applyFont="1" applyFill="1" applyBorder="1" applyAlignment="1">
      <alignment vertical="top"/>
    </xf>
    <xf numFmtId="0" fontId="23" fillId="4" borderId="6" xfId="148" applyFont="1" applyFill="1" applyBorder="1" applyAlignment="1">
      <alignment horizontal="center" vertical="top"/>
    </xf>
    <xf numFmtId="41" fontId="23" fillId="4" borderId="6" xfId="154" applyFont="1" applyFill="1" applyBorder="1" applyAlignment="1">
      <alignment horizontal="center" vertical="center"/>
    </xf>
    <xf numFmtId="0" fontId="53" fillId="4" borderId="6" xfId="148" applyFont="1" applyFill="1" applyBorder="1" applyAlignment="1">
      <alignment horizontal="center" vertical="top"/>
    </xf>
    <xf numFmtId="0" fontId="23" fillId="4" borderId="6" xfId="148" applyFont="1" applyFill="1" applyBorder="1" applyAlignment="1">
      <alignment horizontal="center" vertical="center" wrapText="1"/>
    </xf>
    <xf numFmtId="0" fontId="23" fillId="4" borderId="5" xfId="148" applyFont="1" applyFill="1" applyBorder="1" applyAlignment="1">
      <alignment horizontal="left" vertical="center"/>
    </xf>
    <xf numFmtId="0" fontId="23" fillId="4" borderId="7" xfId="148" applyFont="1" applyFill="1" applyBorder="1" applyAlignment="1">
      <alignment vertical="top"/>
    </xf>
    <xf numFmtId="0" fontId="23" fillId="4" borderId="5" xfId="148" applyFont="1" applyFill="1" applyBorder="1" applyAlignment="1">
      <alignment vertical="top" wrapText="1"/>
    </xf>
    <xf numFmtId="0" fontId="23" fillId="4" borderId="5" xfId="148" quotePrefix="1" applyFont="1" applyFill="1" applyBorder="1" applyAlignment="1">
      <alignment vertical="center"/>
    </xf>
    <xf numFmtId="0" fontId="23" fillId="4" borderId="7" xfId="148" applyFont="1" applyFill="1" applyBorder="1"/>
    <xf numFmtId="0" fontId="23" fillId="4" borderId="5" xfId="148" applyFont="1" applyFill="1" applyBorder="1"/>
    <xf numFmtId="0" fontId="23" fillId="4" borderId="0" xfId="148" applyFont="1" applyFill="1" applyBorder="1" applyAlignment="1">
      <alignment vertical="top" wrapText="1"/>
    </xf>
    <xf numFmtId="0" fontId="23" fillId="4" borderId="7" xfId="148" applyFont="1" applyFill="1" applyBorder="1" applyAlignment="1">
      <alignment horizontal="left" vertical="center"/>
    </xf>
    <xf numFmtId="0" fontId="23" fillId="4" borderId="0" xfId="148" applyFont="1" applyFill="1" applyBorder="1"/>
    <xf numFmtId="0" fontId="23" fillId="4" borderId="2" xfId="148" applyFont="1" applyFill="1" applyBorder="1" applyAlignment="1">
      <alignment vertical="top"/>
    </xf>
    <xf numFmtId="0" fontId="23" fillId="4" borderId="0" xfId="148" applyFont="1" applyFill="1"/>
    <xf numFmtId="0" fontId="23" fillId="4" borderId="1" xfId="148" applyFont="1" applyFill="1" applyBorder="1"/>
    <xf numFmtId="0" fontId="23" fillId="4" borderId="3" xfId="148" applyFont="1" applyFill="1" applyBorder="1" applyAlignment="1">
      <alignment vertical="center"/>
    </xf>
    <xf numFmtId="0" fontId="23" fillId="4" borderId="3" xfId="148" quotePrefix="1" applyFont="1" applyFill="1" applyBorder="1" applyAlignment="1">
      <alignment vertical="center"/>
    </xf>
    <xf numFmtId="49" fontId="23" fillId="4" borderId="2" xfId="148" applyNumberFormat="1" applyFont="1" applyFill="1" applyBorder="1" applyAlignment="1">
      <alignment horizontal="center" vertical="center"/>
    </xf>
    <xf numFmtId="0" fontId="23" fillId="4" borderId="3" xfId="148" applyFont="1" applyFill="1" applyBorder="1" applyAlignment="1">
      <alignment vertical="top"/>
    </xf>
    <xf numFmtId="165" fontId="23" fillId="4" borderId="2" xfId="148" applyNumberFormat="1" applyFont="1" applyFill="1" applyBorder="1" applyAlignment="1">
      <alignment horizontal="center" vertical="center"/>
    </xf>
    <xf numFmtId="0" fontId="23" fillId="4" borderId="3" xfId="148" applyFont="1" applyFill="1" applyBorder="1" applyAlignment="1">
      <alignment horizontal="center" vertical="center"/>
    </xf>
    <xf numFmtId="0" fontId="23" fillId="4" borderId="2" xfId="148" applyFont="1" applyFill="1" applyBorder="1" applyAlignment="1">
      <alignment horizontal="center" vertical="center" wrapText="1"/>
    </xf>
    <xf numFmtId="0" fontId="23" fillId="4" borderId="4" xfId="1" applyFont="1" applyFill="1" applyBorder="1"/>
    <xf numFmtId="0" fontId="23" fillId="4" borderId="2" xfId="1" applyFont="1" applyFill="1" applyBorder="1"/>
    <xf numFmtId="0" fontId="23" fillId="4" borderId="3" xfId="148" applyFont="1" applyFill="1" applyBorder="1"/>
    <xf numFmtId="0" fontId="23" fillId="4" borderId="1" xfId="148" applyFont="1" applyFill="1" applyBorder="1" applyAlignment="1">
      <alignment horizontal="left" vertical="center"/>
    </xf>
    <xf numFmtId="0" fontId="23" fillId="4" borderId="2" xfId="148" applyFont="1" applyFill="1" applyBorder="1" applyAlignment="1">
      <alignment horizontal="center" vertical="center"/>
    </xf>
    <xf numFmtId="0" fontId="23" fillId="4" borderId="1" xfId="148" applyFont="1" applyFill="1" applyBorder="1" applyAlignment="1">
      <alignment horizontal="center" vertical="center"/>
    </xf>
    <xf numFmtId="0" fontId="23" fillId="4" borderId="4" xfId="148" applyFont="1" applyFill="1" applyBorder="1" applyAlignment="1">
      <alignment vertical="center"/>
    </xf>
    <xf numFmtId="0" fontId="23" fillId="4" borderId="3" xfId="148" applyFont="1" applyFill="1" applyBorder="1" applyAlignment="1">
      <alignment horizontal="center" vertical="top"/>
    </xf>
    <xf numFmtId="0" fontId="23" fillId="4" borderId="2" xfId="148" applyFont="1" applyFill="1" applyBorder="1" applyAlignment="1">
      <alignment horizontal="left" vertical="top"/>
    </xf>
    <xf numFmtId="0" fontId="23" fillId="4" borderId="3" xfId="148" applyFont="1" applyFill="1" applyBorder="1" applyAlignment="1">
      <alignment horizontal="right" vertical="top"/>
    </xf>
    <xf numFmtId="0" fontId="23" fillId="4" borderId="2" xfId="148" applyFont="1" applyFill="1" applyBorder="1" applyAlignment="1">
      <alignment horizontal="right" vertical="top"/>
    </xf>
    <xf numFmtId="0" fontId="23" fillId="4" borderId="1" xfId="148" applyFont="1" applyFill="1" applyBorder="1" applyAlignment="1">
      <alignment vertical="center"/>
    </xf>
    <xf numFmtId="0" fontId="23" fillId="4" borderId="2" xfId="148" applyFont="1" applyFill="1" applyBorder="1" applyAlignment="1">
      <alignment horizontal="center" vertical="top"/>
    </xf>
    <xf numFmtId="41" fontId="23" fillId="4" borderId="2" xfId="154" applyFont="1" applyFill="1" applyBorder="1" applyAlignment="1">
      <alignment horizontal="center" vertical="center"/>
    </xf>
    <xf numFmtId="41" fontId="53" fillId="4" borderId="2" xfId="154" applyFont="1" applyFill="1" applyBorder="1" applyAlignment="1">
      <alignment horizontal="center" vertical="top"/>
    </xf>
    <xf numFmtId="0" fontId="53" fillId="4" borderId="2" xfId="148" applyFont="1" applyFill="1" applyBorder="1" applyAlignment="1">
      <alignment horizontal="center" vertical="top"/>
    </xf>
    <xf numFmtId="41" fontId="23" fillId="4" borderId="2" xfId="154" applyNumberFormat="1" applyFont="1" applyFill="1" applyBorder="1" applyAlignment="1">
      <alignment horizontal="center" vertical="top"/>
    </xf>
    <xf numFmtId="0" fontId="23" fillId="4" borderId="2" xfId="148" applyFont="1" applyFill="1" applyBorder="1" applyAlignment="1">
      <alignment horizontal="center" vertical="center" wrapText="1"/>
    </xf>
    <xf numFmtId="0" fontId="23" fillId="0" borderId="8" xfId="148" applyFont="1" applyFill="1" applyBorder="1" applyAlignment="1">
      <alignment vertical="center" wrapText="1"/>
    </xf>
    <xf numFmtId="0" fontId="23" fillId="0" borderId="8" xfId="148" applyFont="1" applyFill="1" applyBorder="1" applyAlignment="1">
      <alignment horizontal="left" vertical="center"/>
    </xf>
    <xf numFmtId="0" fontId="84" fillId="0" borderId="17" xfId="148" applyFont="1" applyFill="1" applyBorder="1" applyAlignment="1">
      <alignment horizontal="center" vertical="top"/>
    </xf>
    <xf numFmtId="0" fontId="84" fillId="0" borderId="21" xfId="148" applyFont="1" applyFill="1" applyBorder="1" applyAlignment="1">
      <alignment horizontal="center"/>
    </xf>
    <xf numFmtId="0" fontId="23" fillId="0" borderId="1" xfId="148" applyFont="1" applyFill="1" applyBorder="1" applyAlignment="1">
      <alignment horizontal="left" vertical="center"/>
    </xf>
    <xf numFmtId="0" fontId="53" fillId="0" borderId="11" xfId="148" quotePrefix="1" applyFont="1" applyFill="1" applyBorder="1" applyAlignment="1">
      <alignment horizontal="center" vertical="center"/>
    </xf>
    <xf numFmtId="0" fontId="23" fillId="0" borderId="11" xfId="148" applyFont="1" applyFill="1" applyBorder="1" applyAlignment="1">
      <alignment horizontal="left" vertical="top"/>
    </xf>
    <xf numFmtId="0" fontId="23" fillId="0" borderId="1" xfId="148" applyFont="1" applyFill="1" applyBorder="1" applyAlignment="1">
      <alignment vertical="top"/>
    </xf>
    <xf numFmtId="0" fontId="23" fillId="0" borderId="8" xfId="148" quotePrefix="1" applyFont="1" applyFill="1" applyBorder="1" applyAlignment="1">
      <alignment vertical="center"/>
    </xf>
    <xf numFmtId="165" fontId="23" fillId="0" borderId="10" xfId="148" quotePrefix="1" applyNumberFormat="1" applyFont="1" applyFill="1" applyBorder="1" applyAlignment="1">
      <alignment horizontal="center" vertical="center"/>
    </xf>
    <xf numFmtId="0" fontId="23" fillId="0" borderId="12" xfId="148" applyFont="1" applyFill="1" applyBorder="1" applyAlignment="1">
      <alignment horizontal="center" vertical="center"/>
    </xf>
    <xf numFmtId="165" fontId="23" fillId="0" borderId="0" xfId="148" applyNumberFormat="1" applyFont="1" applyFill="1" applyBorder="1" applyAlignment="1">
      <alignment horizontal="center" vertical="center"/>
    </xf>
    <xf numFmtId="165" fontId="23" fillId="0" borderId="3" xfId="148" applyNumberFormat="1" applyFont="1" applyFill="1" applyBorder="1" applyAlignment="1">
      <alignment horizontal="center" vertical="center"/>
    </xf>
    <xf numFmtId="165" fontId="23" fillId="0" borderId="10" xfId="148" applyNumberFormat="1" applyFont="1" applyFill="1" applyBorder="1" applyAlignment="1">
      <alignment horizontal="center" vertical="center"/>
    </xf>
    <xf numFmtId="0" fontId="23" fillId="0" borderId="1" xfId="148" quotePrefix="1" applyFont="1" applyFill="1" applyBorder="1" applyAlignment="1">
      <alignment vertical="top"/>
    </xf>
    <xf numFmtId="0" fontId="53" fillId="0" borderId="7" xfId="148" quotePrefix="1" applyFont="1" applyFill="1" applyBorder="1" applyAlignment="1">
      <alignment horizontal="center" vertical="center"/>
    </xf>
    <xf numFmtId="0" fontId="53" fillId="0" borderId="7" xfId="148" applyFont="1" applyFill="1" applyBorder="1" applyAlignment="1">
      <alignment horizontal="center" vertical="center"/>
    </xf>
    <xf numFmtId="0" fontId="53" fillId="0" borderId="4" xfId="148" quotePrefix="1" applyFont="1" applyFill="1" applyBorder="1" applyAlignment="1">
      <alignment horizontal="center" vertical="center"/>
    </xf>
    <xf numFmtId="0" fontId="23" fillId="0" borderId="4" xfId="148" applyFont="1" applyFill="1" applyBorder="1" applyAlignment="1">
      <alignment horizontal="left" vertical="top"/>
    </xf>
    <xf numFmtId="0" fontId="23" fillId="0" borderId="4" xfId="148" applyFont="1" applyFill="1" applyBorder="1" applyAlignment="1">
      <alignment horizontal="left" vertical="center"/>
    </xf>
    <xf numFmtId="165" fontId="23" fillId="0" borderId="0" xfId="148" quotePrefix="1" applyNumberFormat="1" applyFont="1" applyFill="1" applyBorder="1" applyAlignment="1">
      <alignment horizontal="center" vertical="center"/>
    </xf>
    <xf numFmtId="0" fontId="53" fillId="4" borderId="11" xfId="148" quotePrefix="1" applyFont="1" applyFill="1" applyBorder="1" applyAlignment="1">
      <alignment horizontal="center" vertical="center"/>
    </xf>
    <xf numFmtId="0" fontId="23" fillId="4" borderId="11" xfId="148" applyFont="1" applyFill="1" applyBorder="1" applyAlignment="1">
      <alignment horizontal="left" vertical="top"/>
    </xf>
    <xf numFmtId="0" fontId="23" fillId="4" borderId="8" xfId="148" applyFont="1" applyFill="1" applyBorder="1" applyAlignment="1">
      <alignment vertical="top" wrapText="1"/>
    </xf>
    <xf numFmtId="165" fontId="23" fillId="4" borderId="10" xfId="148" quotePrefix="1" applyNumberFormat="1" applyFont="1" applyFill="1" applyBorder="1" applyAlignment="1">
      <alignment horizontal="center" vertical="center"/>
    </xf>
    <xf numFmtId="0" fontId="23" fillId="4" borderId="12" xfId="148" applyFont="1" applyFill="1" applyBorder="1" applyAlignment="1">
      <alignment horizontal="center" vertical="center"/>
    </xf>
    <xf numFmtId="41" fontId="23" fillId="4" borderId="9" xfId="154" applyNumberFormat="1" applyFont="1" applyFill="1" applyBorder="1" applyAlignment="1">
      <alignment horizontal="center" vertical="top"/>
    </xf>
    <xf numFmtId="165" fontId="23" fillId="4" borderId="0" xfId="148" applyNumberFormat="1" applyFont="1" applyFill="1" applyBorder="1" applyAlignment="1">
      <alignment horizontal="center" vertical="center"/>
    </xf>
    <xf numFmtId="0" fontId="23" fillId="4" borderId="5" xfId="148" applyFont="1" applyFill="1" applyBorder="1" applyAlignment="1">
      <alignment vertical="top"/>
    </xf>
    <xf numFmtId="0" fontId="23" fillId="4" borderId="4" xfId="148" applyFont="1" applyFill="1" applyBorder="1" applyAlignment="1">
      <alignment vertical="top"/>
    </xf>
    <xf numFmtId="0" fontId="23" fillId="4" borderId="4" xfId="148" applyFont="1" applyFill="1" applyBorder="1"/>
    <xf numFmtId="0" fontId="23" fillId="4" borderId="1" xfId="148" quotePrefix="1" applyFont="1" applyFill="1" applyBorder="1" applyAlignment="1">
      <alignment vertical="center"/>
    </xf>
    <xf numFmtId="0" fontId="23" fillId="4" borderId="1" xfId="148" applyFont="1" applyFill="1" applyBorder="1" applyAlignment="1">
      <alignment vertical="top"/>
    </xf>
    <xf numFmtId="165" fontId="23" fillId="4" borderId="3" xfId="148" applyNumberFormat="1" applyFont="1" applyFill="1" applyBorder="1" applyAlignment="1">
      <alignment horizontal="center" vertical="center"/>
    </xf>
    <xf numFmtId="0" fontId="23" fillId="0" borderId="0" xfId="148" applyFont="1" applyFill="1" applyAlignment="1">
      <alignment wrapText="1"/>
    </xf>
    <xf numFmtId="0" fontId="53" fillId="0" borderId="11" xfId="148" applyFont="1" applyFill="1" applyBorder="1"/>
    <xf numFmtId="0" fontId="23" fillId="0" borderId="11" xfId="148" applyFont="1" applyFill="1" applyBorder="1"/>
    <xf numFmtId="0" fontId="23" fillId="0" borderId="8" xfId="148" applyFont="1" applyFill="1" applyBorder="1"/>
    <xf numFmtId="3" fontId="23" fillId="0" borderId="10" xfId="148" applyNumberFormat="1" applyFont="1" applyFill="1" applyBorder="1" applyAlignment="1">
      <alignment horizontal="center" vertical="center"/>
    </xf>
    <xf numFmtId="0" fontId="85" fillId="0" borderId="12" xfId="1" applyFont="1" applyFill="1" applyBorder="1" applyAlignment="1">
      <alignment vertical="center"/>
    </xf>
    <xf numFmtId="49" fontId="85" fillId="0" borderId="12" xfId="1" applyNumberFormat="1" applyFont="1" applyFill="1" applyBorder="1" applyAlignment="1">
      <alignment vertical="center"/>
    </xf>
    <xf numFmtId="41" fontId="85" fillId="0" borderId="12" xfId="154" applyFont="1" applyFill="1" applyBorder="1" applyAlignment="1">
      <alignment vertical="center"/>
    </xf>
    <xf numFmtId="0" fontId="85" fillId="0" borderId="12" xfId="1" applyFont="1" applyFill="1" applyBorder="1" applyAlignment="1">
      <alignment horizontal="right" vertical="center"/>
    </xf>
    <xf numFmtId="41" fontId="85" fillId="0" borderId="12" xfId="154" applyFont="1" applyFill="1" applyBorder="1" applyAlignment="1">
      <alignment horizontal="center" vertical="center"/>
    </xf>
    <xf numFmtId="41" fontId="85" fillId="0" borderId="12" xfId="1" applyNumberFormat="1" applyFont="1" applyFill="1" applyBorder="1" applyAlignment="1">
      <alignment vertical="center"/>
    </xf>
    <xf numFmtId="41" fontId="85" fillId="0" borderId="12" xfId="154" applyNumberFormat="1" applyFont="1" applyFill="1" applyBorder="1" applyAlignment="1">
      <alignment vertical="center"/>
    </xf>
    <xf numFmtId="41" fontId="85" fillId="0" borderId="12" xfId="154" applyFont="1" applyFill="1" applyBorder="1" applyAlignment="1">
      <alignment horizontal="left" vertical="center"/>
    </xf>
    <xf numFmtId="42" fontId="85" fillId="0" borderId="12" xfId="1" applyNumberFormat="1" applyFont="1" applyFill="1" applyBorder="1" applyAlignment="1">
      <alignment vertical="center"/>
    </xf>
    <xf numFmtId="0" fontId="85" fillId="0" borderId="0" xfId="1" applyFont="1" applyFill="1" applyAlignment="1">
      <alignment vertical="center"/>
    </xf>
    <xf numFmtId="0" fontId="23" fillId="0" borderId="0" xfId="148" applyFont="1" applyFill="1" applyAlignment="1">
      <alignment vertical="top"/>
    </xf>
    <xf numFmtId="0" fontId="23" fillId="0" borderId="0" xfId="148" applyFont="1" applyFill="1" applyAlignment="1">
      <alignment horizontal="right" vertical="top"/>
    </xf>
    <xf numFmtId="0" fontId="23" fillId="0" borderId="0" xfId="148" applyFont="1" applyFill="1" applyAlignment="1"/>
    <xf numFmtId="41" fontId="53" fillId="0" borderId="0" xfId="154" applyFont="1" applyFill="1" applyAlignment="1"/>
    <xf numFmtId="41" fontId="23" fillId="0" borderId="0" xfId="154" applyFont="1" applyFill="1" applyAlignment="1"/>
    <xf numFmtId="0" fontId="53" fillId="0" borderId="0" xfId="148" applyFont="1" applyFill="1" applyAlignment="1"/>
    <xf numFmtId="0" fontId="53" fillId="0" borderId="0" xfId="148" applyFont="1" applyFill="1"/>
    <xf numFmtId="0" fontId="23" fillId="0" borderId="0" xfId="148" applyFont="1" applyFill="1" applyAlignment="1">
      <alignment horizontal="center"/>
    </xf>
    <xf numFmtId="0" fontId="23" fillId="0" borderId="0" xfId="148" applyFont="1" applyFill="1" applyAlignment="1">
      <alignment horizontal="center"/>
    </xf>
    <xf numFmtId="0" fontId="86" fillId="0" borderId="0" xfId="148" applyFont="1" applyFill="1" applyAlignment="1">
      <alignment horizontal="center"/>
    </xf>
    <xf numFmtId="0" fontId="88" fillId="0" borderId="0" xfId="1" applyFont="1" applyFill="1" applyAlignment="1">
      <alignment horizontal="center" vertical="center"/>
    </xf>
    <xf numFmtId="0" fontId="87" fillId="0" borderId="0" xfId="148" applyFont="1" applyFill="1" applyAlignment="1">
      <alignment horizontal="center" vertical="center"/>
    </xf>
    <xf numFmtId="0" fontId="20" fillId="26" borderId="12" xfId="1" applyFont="1" applyFill="1" applyBorder="1" applyAlignment="1">
      <alignment horizontal="center" vertical="center" wrapText="1"/>
    </xf>
    <xf numFmtId="0" fontId="20" fillId="26" borderId="14" xfId="1" applyFont="1" applyFill="1" applyBorder="1" applyAlignment="1">
      <alignment horizontal="center" vertical="center" wrapText="1"/>
    </xf>
    <xf numFmtId="0" fontId="20" fillId="26" borderId="13" xfId="1" applyFont="1" applyFill="1" applyBorder="1" applyAlignment="1">
      <alignment horizontal="center" vertical="center" wrapText="1"/>
    </xf>
    <xf numFmtId="0" fontId="20" fillId="26" borderId="15" xfId="1" applyFont="1" applyFill="1" applyBorder="1" applyAlignment="1">
      <alignment horizontal="center" vertical="center" wrapText="1"/>
    </xf>
    <xf numFmtId="0" fontId="20" fillId="26" borderId="9" xfId="1" applyFont="1" applyFill="1" applyBorder="1" applyAlignment="1">
      <alignment horizontal="center" vertical="center" wrapText="1"/>
    </xf>
    <xf numFmtId="0" fontId="20" fillId="0" borderId="12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 wrapText="1"/>
    </xf>
    <xf numFmtId="49" fontId="20" fillId="26" borderId="12" xfId="1" applyNumberFormat="1" applyFont="1" applyFill="1" applyBorder="1" applyAlignment="1">
      <alignment horizontal="center" vertical="center" wrapText="1"/>
    </xf>
    <xf numFmtId="1" fontId="20" fillId="26" borderId="12" xfId="1" applyNumberFormat="1" applyFont="1" applyFill="1" applyBorder="1" applyAlignment="1">
      <alignment horizontal="center" vertical="center" wrapText="1"/>
    </xf>
    <xf numFmtId="0" fontId="20" fillId="26" borderId="11" xfId="1" applyFont="1" applyFill="1" applyBorder="1" applyAlignment="1">
      <alignment horizontal="center" vertical="center" wrapText="1"/>
    </xf>
    <xf numFmtId="0" fontId="20" fillId="26" borderId="8" xfId="1" applyFont="1" applyFill="1" applyBorder="1" applyAlignment="1">
      <alignment horizontal="center" vertical="center" wrapText="1"/>
    </xf>
    <xf numFmtId="0" fontId="16" fillId="0" borderId="15" xfId="0" applyFont="1" applyBorder="1"/>
    <xf numFmtId="0" fontId="16" fillId="0" borderId="13" xfId="0" applyFont="1" applyBorder="1"/>
    <xf numFmtId="41" fontId="20" fillId="26" borderId="12" xfId="154" applyFont="1" applyFill="1" applyBorder="1" applyAlignment="1">
      <alignment horizontal="center" vertical="center" wrapText="1"/>
    </xf>
    <xf numFmtId="0" fontId="20" fillId="26" borderId="6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wrapText="1"/>
    </xf>
    <xf numFmtId="0" fontId="20" fillId="26" borderId="2" xfId="1" applyFont="1" applyFill="1" applyBorder="1" applyAlignment="1">
      <alignment horizontal="center" vertical="center" wrapText="1"/>
    </xf>
    <xf numFmtId="0" fontId="20" fillId="26" borderId="4" xfId="1" applyFont="1" applyFill="1" applyBorder="1" applyAlignment="1">
      <alignment horizontal="center" vertical="center" wrapText="1"/>
    </xf>
    <xf numFmtId="0" fontId="20" fillId="26" borderId="1" xfId="1" applyFont="1" applyFill="1" applyBorder="1" applyAlignment="1">
      <alignment horizontal="center" vertical="center" wrapText="1"/>
    </xf>
    <xf numFmtId="0" fontId="20" fillId="26" borderId="12" xfId="1" applyFont="1" applyFill="1" applyBorder="1" applyAlignment="1">
      <alignment horizontal="center" vertical="top" wrapText="1"/>
    </xf>
    <xf numFmtId="0" fontId="20" fillId="26" borderId="12" xfId="1" applyFont="1" applyFill="1" applyBorder="1" applyAlignment="1">
      <alignment horizontal="right" vertical="top" wrapText="1"/>
    </xf>
    <xf numFmtId="0" fontId="20" fillId="26" borderId="12" xfId="1" applyFont="1" applyFill="1" applyBorder="1" applyAlignment="1">
      <alignment vertical="center" wrapText="1"/>
    </xf>
    <xf numFmtId="41" fontId="20" fillId="26" borderId="9" xfId="154" applyFont="1" applyFill="1" applyBorder="1" applyAlignment="1">
      <alignment horizontal="center" vertical="center" wrapText="1"/>
    </xf>
    <xf numFmtId="41" fontId="20" fillId="26" borderId="2" xfId="154" applyFont="1" applyFill="1" applyBorder="1" applyAlignment="1">
      <alignment horizontal="center" vertical="center" wrapText="1"/>
    </xf>
    <xf numFmtId="0" fontId="20" fillId="26" borderId="12" xfId="1" applyFont="1" applyFill="1" applyBorder="1" applyAlignment="1">
      <alignment horizontal="center" vertical="center" wrapText="1"/>
    </xf>
    <xf numFmtId="0" fontId="20" fillId="26" borderId="14" xfId="1" applyFont="1" applyFill="1" applyBorder="1" applyAlignment="1">
      <alignment horizontal="center" vertical="center" wrapText="1"/>
    </xf>
    <xf numFmtId="0" fontId="20" fillId="26" borderId="13" xfId="1" applyFont="1" applyFill="1" applyBorder="1" applyAlignment="1">
      <alignment horizontal="center" vertical="center" wrapText="1"/>
    </xf>
    <xf numFmtId="49" fontId="20" fillId="26" borderId="12" xfId="1" applyNumberFormat="1" applyFont="1" applyFill="1" applyBorder="1" applyAlignment="1">
      <alignment horizontal="center" vertical="center" wrapText="1"/>
    </xf>
    <xf numFmtId="1" fontId="20" fillId="26" borderId="13" xfId="1" applyNumberFormat="1" applyFont="1" applyFill="1" applyBorder="1" applyAlignment="1">
      <alignment horizontal="center" vertical="center" wrapText="1"/>
    </xf>
    <xf numFmtId="0" fontId="20" fillId="0" borderId="12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center" vertical="center" wrapText="1"/>
    </xf>
    <xf numFmtId="0" fontId="20" fillId="26" borderId="12" xfId="1" applyFont="1" applyFill="1" applyBorder="1" applyAlignment="1">
      <alignment horizontal="right" vertical="center" wrapText="1"/>
    </xf>
    <xf numFmtId="41" fontId="20" fillId="26" borderId="12" xfId="154" applyNumberFormat="1" applyFont="1" applyFill="1" applyBorder="1" applyAlignment="1">
      <alignment horizontal="center" vertical="center" wrapText="1"/>
    </xf>
    <xf numFmtId="0" fontId="89" fillId="0" borderId="0" xfId="1" applyFont="1" applyFill="1" applyAlignment="1">
      <alignment horizontal="center" vertical="center"/>
    </xf>
    <xf numFmtId="42" fontId="53" fillId="0" borderId="9" xfId="1" applyNumberFormat="1" applyFont="1" applyFill="1" applyBorder="1" applyAlignment="1">
      <alignment horizontal="center" vertical="top"/>
    </xf>
    <xf numFmtId="0" fontId="23" fillId="0" borderId="4" xfId="1" applyFont="1" applyFill="1" applyBorder="1" applyAlignment="1">
      <alignment horizontal="left" vertical="top"/>
    </xf>
    <xf numFmtId="0" fontId="23" fillId="0" borderId="3" xfId="1" applyFont="1" applyFill="1" applyBorder="1" applyAlignment="1">
      <alignment horizontal="left" vertical="center"/>
    </xf>
    <xf numFmtId="167" fontId="23" fillId="0" borderId="10" xfId="1" applyNumberFormat="1" applyFont="1" applyFill="1" applyBorder="1" applyAlignment="1">
      <alignment horizontal="center" vertical="center"/>
    </xf>
    <xf numFmtId="0" fontId="23" fillId="0" borderId="1" xfId="1" quotePrefix="1" applyFont="1" applyFill="1" applyBorder="1" applyAlignment="1">
      <alignment horizontal="center" vertical="center"/>
    </xf>
    <xf numFmtId="0" fontId="53" fillId="4" borderId="7" xfId="1" quotePrefix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left" vertical="center"/>
    </xf>
    <xf numFmtId="0" fontId="23" fillId="4" borderId="7" xfId="1" applyFont="1" applyFill="1" applyBorder="1" applyAlignment="1">
      <alignment horizontal="left" vertical="top"/>
    </xf>
    <xf numFmtId="1" fontId="23" fillId="4" borderId="6" xfId="1" quotePrefix="1" applyNumberFormat="1" applyFont="1" applyFill="1" applyBorder="1" applyAlignment="1">
      <alignment horizontal="center" vertical="center"/>
    </xf>
    <xf numFmtId="0" fontId="23" fillId="4" borderId="0" xfId="1" quotePrefix="1" applyFont="1" applyFill="1" applyBorder="1" applyAlignment="1">
      <alignment horizontal="center" vertical="center"/>
    </xf>
    <xf numFmtId="0" fontId="23" fillId="0" borderId="2" xfId="154" applyNumberFormat="1" applyFont="1" applyFill="1" applyBorder="1" applyAlignment="1">
      <alignment horizontal="center" vertical="top"/>
    </xf>
    <xf numFmtId="1" fontId="23" fillId="0" borderId="10" xfId="148" applyNumberFormat="1" applyFont="1" applyFill="1" applyBorder="1" applyAlignment="1">
      <alignment horizontal="center" vertical="center"/>
    </xf>
    <xf numFmtId="41" fontId="84" fillId="0" borderId="2" xfId="149" applyFont="1" applyFill="1" applyBorder="1" applyAlignment="1">
      <alignment horizontal="left" vertical="top" wrapText="1"/>
    </xf>
    <xf numFmtId="41" fontId="53" fillId="0" borderId="6" xfId="148" applyNumberFormat="1" applyFont="1" applyFill="1" applyBorder="1" applyAlignment="1">
      <alignment horizontal="center" vertical="top"/>
    </xf>
    <xf numFmtId="49" fontId="23" fillId="0" borderId="2" xfId="148" quotePrefix="1" applyNumberFormat="1" applyFont="1" applyFill="1" applyBorder="1" applyAlignment="1">
      <alignment horizontal="center" vertical="center"/>
    </xf>
    <xf numFmtId="165" fontId="23" fillId="0" borderId="2" xfId="148" quotePrefix="1" applyNumberFormat="1" applyFont="1" applyFill="1" applyBorder="1" applyAlignment="1">
      <alignment horizontal="center" vertical="center"/>
    </xf>
    <xf numFmtId="0" fontId="85" fillId="0" borderId="14" xfId="1" applyFont="1" applyFill="1" applyBorder="1" applyAlignment="1">
      <alignment horizontal="center" vertical="center"/>
    </xf>
    <xf numFmtId="0" fontId="85" fillId="0" borderId="13" xfId="1" applyFont="1" applyFill="1" applyBorder="1" applyAlignment="1">
      <alignment horizontal="center" vertical="center"/>
    </xf>
    <xf numFmtId="0" fontId="23" fillId="4" borderId="10" xfId="1" applyFont="1" applyFill="1" applyBorder="1" applyAlignment="1">
      <alignment horizontal="left" vertical="top"/>
    </xf>
    <xf numFmtId="0" fontId="23" fillId="4" borderId="9" xfId="1" quotePrefix="1" applyFont="1" applyFill="1" applyBorder="1" applyAlignment="1">
      <alignment horizontal="center" vertical="center"/>
    </xf>
    <xf numFmtId="0" fontId="53" fillId="4" borderId="0" xfId="1" applyFont="1" applyFill="1" applyBorder="1" applyAlignment="1">
      <alignment vertical="center"/>
    </xf>
    <xf numFmtId="0" fontId="23" fillId="4" borderId="9" xfId="1" applyFont="1" applyFill="1" applyBorder="1" applyAlignment="1">
      <alignment vertical="center"/>
    </xf>
    <xf numFmtId="0" fontId="23" fillId="4" borderId="10" xfId="1" applyFont="1" applyFill="1" applyBorder="1" applyAlignment="1">
      <alignment horizontal="right" vertical="top"/>
    </xf>
    <xf numFmtId="0" fontId="23" fillId="4" borderId="9" xfId="1" applyFont="1" applyFill="1" applyBorder="1" applyAlignment="1">
      <alignment horizontal="right" vertical="top"/>
    </xf>
    <xf numFmtId="165" fontId="23" fillId="4" borderId="8" xfId="1" applyNumberFormat="1" applyFont="1" applyFill="1" applyBorder="1" applyAlignment="1">
      <alignment vertical="center"/>
    </xf>
    <xf numFmtId="0" fontId="53" fillId="4" borderId="9" xfId="1" applyFont="1" applyFill="1" applyBorder="1" applyAlignment="1">
      <alignment horizontal="center" vertical="top"/>
    </xf>
    <xf numFmtId="165" fontId="23" fillId="4" borderId="5" xfId="1" applyNumberFormat="1" applyFont="1" applyFill="1" applyBorder="1" applyAlignment="1">
      <alignment vertical="center"/>
    </xf>
    <xf numFmtId="0" fontId="53" fillId="4" borderId="6" xfId="1" applyFont="1" applyFill="1" applyBorder="1" applyAlignment="1">
      <alignment horizontal="center" vertical="top"/>
    </xf>
    <xf numFmtId="0" fontId="23" fillId="4" borderId="0" xfId="1" applyFont="1" applyFill="1" applyBorder="1" applyAlignment="1">
      <alignment horizontal="left" vertical="center" wrapText="1"/>
    </xf>
    <xf numFmtId="0" fontId="23" fillId="4" borderId="0" xfId="1" applyFont="1" applyFill="1" applyBorder="1" applyAlignment="1">
      <alignment wrapText="1"/>
    </xf>
    <xf numFmtId="0" fontId="23" fillId="4" borderId="0" xfId="1" quotePrefix="1" applyFont="1" applyFill="1" applyBorder="1" applyAlignment="1">
      <alignment vertical="top"/>
    </xf>
    <xf numFmtId="0" fontId="53" fillId="4" borderId="2" xfId="1" applyFont="1" applyFill="1" applyBorder="1" applyAlignment="1">
      <alignment horizontal="center" vertical="top"/>
    </xf>
  </cellXfs>
  <cellStyles count="1612">
    <cellStyle name="‡" xfId="164"/>
    <cellStyle name="‡_102_HM Harris_Surapati Core F-23" xfId="165"/>
    <cellStyle name="‡_RDP III-18_2" xfId="166"/>
    <cellStyle name="‡_RDP III-18_2_102_HM Harris_Surapati Core F-23" xfId="167"/>
    <cellStyle name="‡_STA-DRP" xfId="168"/>
    <cellStyle name="‡_STA-DRP_RDP III-18_2" xfId="169"/>
    <cellStyle name="‡_STA-DRP_Studi kasus pendekatan perbandingan data pasara" xfId="170"/>
    <cellStyle name="‡_STA-DRP_WP- cikarang" xfId="171"/>
    <cellStyle name="‡_Studi kasus pendekatan perbandingan data pasara" xfId="172"/>
    <cellStyle name="‡_Studi kasus pendekatan perbandingan data pasara_102_HM Harris_Surapati Core F-23" xfId="173"/>
    <cellStyle name="‡_WP- cikarang" xfId="174"/>
    <cellStyle name="‡_WP- cikarang_102_HM Harris_Surapati Core F-23" xfId="175"/>
    <cellStyle name="W_²ÝÀ°È¯Ä" xfId="176"/>
    <cellStyle name="a" xfId="177"/>
    <cellStyle name="a_@@@ Master BCA Baru ( Tanah dan Bangunan )" xfId="178"/>
    <cellStyle name="a_000 Bapak Risanggeni Jl. Raya Ciputat - Parung Rt.001, Rw.04 Serua Bojongsari Depok" xfId="179"/>
    <cellStyle name="a_000 pt buaran batavia jaya" xfId="180"/>
    <cellStyle name="a_000 PT HANA GUBAH LARAS" xfId="181"/>
    <cellStyle name="a_000 PT sinar pamukan permai" xfId="182"/>
    <cellStyle name="a_000 PT sinar pamukan permai_Kawasan Industri Pulo Gadung, Jl. Pulo Lentut, Blok II F, No. 3" xfId="183"/>
    <cellStyle name="a_000 PT. LATEXIA INDONESIA" xfId="184"/>
    <cellStyle name="a_000 PT. LATEXIA INDONESIA_Kawasan Industri Pulo Gadung, Jl. Pulo Lentut, Blok II F, No. 3" xfId="185"/>
    <cellStyle name="a_004_PT. Inti Daya Mandiri Pratama" xfId="186"/>
    <cellStyle name="a_015_RUSTANDI_Jl. Cihanjuang Rt001 Rw. 008 Cimahi" xfId="187"/>
    <cellStyle name="a_016_RUSTANDI(2)_Jl. Cihanjuang Rt001 Rw. 008 Cimahi" xfId="188"/>
    <cellStyle name="a_017_NUNING YUNINGSIH_Jl. Mekarsari Rt. 8 Rw. 7 Cimahi" xfId="189"/>
    <cellStyle name="a_1.Pabrik Tambun ok ( Cid Yang ini yang di print )" xfId="190"/>
    <cellStyle name="a_1.Pabrik Tambun ok ( Cid Yang ini yang di print )_00 PT. ANGGADITA RUMAH TINGGAL  Komplek BPPT,Jalan teknologi 10, Rt 001 Rw 003, Meruya Utara, Kembangan, Jakarta Barat " xfId="191"/>
    <cellStyle name="a_1.Pabrik Tambun ok ( Cid Yang ini yang di print )_Data Base Kandang Ayam 2013" xfId="192"/>
    <cellStyle name="a_1.Pabrik Tambun ok ( Cid Yang ini yang di print )_Mesin- Mesin dan Alat Berat" xfId="193"/>
    <cellStyle name="a_102_HM Harris_Surapati Core F-23" xfId="194"/>
    <cellStyle name="a_1106_BAMBANG TRI WINAMO_Ko. Bumi Harapan Blok CC11 No. 21_Final" xfId="195"/>
    <cellStyle name="a_2. PT. KENCANA RAYA MEGA PERKASA Menara Imperium Jakarta Selatan" xfId="196"/>
    <cellStyle name="a_216_PT. BCA Batununggal .tbk" xfId="197"/>
    <cellStyle name="a_216_PT. BCA Batununggal .tbk_Ir. Salim_Pasar Induk Caringin Blok Ruko C No. 13" xfId="198"/>
    <cellStyle name="a_239_GANDIE AJIE_TKI II C3 NO.2-3" xfId="199"/>
    <cellStyle name="a_239_GANDIE AJIE_TKI II C3 NO.2-3_Ir. Salim_Pasar Induk Caringin Blok Ruko C No. 13" xfId="200"/>
    <cellStyle name="a_31. GRAHA KENCANA SAKTI - Jl. Hanjawar Pacet - Cibadak - Pacet - Cianjur" xfId="201"/>
    <cellStyle name="a_4-WP-Jl. martadinata" xfId="202"/>
    <cellStyle name="a_5-WP-Jl. raya pemda" xfId="203"/>
    <cellStyle name="a_Analisa Tanah(dIPRINT)" xfId="204"/>
    <cellStyle name="a_Andry Tejasukmana" xfId="205"/>
    <cellStyle name="a_Andry Tejasukmana_Jl. Cijagra No. 180" xfId="206"/>
    <cellStyle name="a_Andry Tejasukmana_Jl. Cijagra No. 180 ok erik" xfId="207"/>
    <cellStyle name="a_Andry Tejasukmana_Kawasan Industri Pulo Gadung, Jl. Pulo Lentut, Blok II F, No. 3" xfId="208"/>
    <cellStyle name="a_BCA_RIJANDO SOLICHIN_LOSARANG INDRAMAYU" xfId="209"/>
    <cellStyle name="a_BCA_RIJANDO SOLICHIN_LOSARANG INDRAMAYU_1106_BAMBANG TRI WINAMO_Ko. Bumi Harapan Blok CC11 No. 21_Final" xfId="210"/>
    <cellStyle name="a_BCA_RIJANDO SOLICHIN_LOSARANG INDRAMAYU_DRAFT ANALISA BANGUNAN (BTB MAPPI 2013)" xfId="211"/>
    <cellStyle name="a_BCA_RIJANDO SOLICHIN_LOSARANG INDRAMAYU_FORMAT BCA SKH TK 1 SHM" xfId="212"/>
    <cellStyle name="a_BCA_RIJANDO SOLICHIN_LOSARANG INDRAMAYU_Format TB BJB 2 Sertifikat 1 Bangunan" xfId="213"/>
    <cellStyle name="a_BCA_RIJANDO SOLICHIN_LOSARANG INDRAMAYU_Format TB BJB 2 Sertifikat 2 Bangunan" xfId="214"/>
    <cellStyle name="a_BCA_RIJANDO SOLICHIN_LOSARANG INDRAMAYU_Format TK BJB 1 Sertifikat" xfId="215"/>
    <cellStyle name="a_BCA_RIJANDO SOLICHIN_LOSARANG INDRAMAYU_Format TK BJB 2 Sertifikat" xfId="216"/>
    <cellStyle name="a_BCA_RIJANDO SOLICHIN_LOSARANG INDRAMAYU_IMAS HALIMAH_Jl. Pramuka RT03 RW01 Karang Tengah - Kab. Cianjur" xfId="217"/>
    <cellStyle name="a_BCA_RIJANDO SOLICHIN_LOSARANG INDRAMAYU_JADID SURPRIANTO_Blok Ciputri RT.03 RW.05 Cigugur Tengah, Kota Cimahi" xfId="218"/>
    <cellStyle name="a_BCA_RIJANDO SOLICHIN_LOSARANG INDRAMAYU_MUHARRAM_Jl. Soreang Banjaran No. 99, Kab. Bandung" xfId="219"/>
    <cellStyle name="a_BCA_RIJANDO SOLICHIN_LOSARANG INDRAMAYU_SUMANTO_Ko. Griya Antariksa Asri No. 25 - Kab. Bandung" xfId="220"/>
    <cellStyle name="a_BCA_YUYUN YUNINGSIH" xfId="221"/>
    <cellStyle name="a_BCT-kertas kerja" xfId="222"/>
    <cellStyle name="a_BCT-kertas kerja banten bakti" xfId="223"/>
    <cellStyle name="a_BCT-kertas kerja banten bakti_00 PT. ANGGADITA RUMAH TINGGAL  Komplek BPPT,Jalan teknologi 10, Rt 001 Rw 003, Meruya Utara, Kembangan, Jakarta Barat " xfId="224"/>
    <cellStyle name="a_BCT-kertas kerja banten bakti_Data Base Kandang Ayam 2013" xfId="225"/>
    <cellStyle name="a_BCT-kertas kerja budiman" xfId="226"/>
    <cellStyle name="a_BCT-kertas kerja budiman_Kawasan Industri Pulo Gadung, Jl. Pulo Lentut, Blok II F, No. 3" xfId="227"/>
    <cellStyle name="a_BCT-kertas kerja gragejogja" xfId="228"/>
    <cellStyle name="a_BCT-kertas kerja grageramayana" xfId="229"/>
    <cellStyle name="a_BCT-kertas kerja grageramayana_000 Bapak Risanggeni Jl. Raya Ciputat - Parung Rt.001, Rw.04 Serua Bojongsari Depok" xfId="230"/>
    <cellStyle name="a_BCT-kertas kerja grageramayana_000 PT sinar pamukan permai" xfId="231"/>
    <cellStyle name="a_BCT-kertas kerja grageramayana_000 PT sinar pamukan permai_Kawasan Industri Pulo Gadung, Jl. Pulo Lentut, Blok II F, No. 3" xfId="232"/>
    <cellStyle name="a_BCT-kertas kerja grageramayana_000 PT. LATEXIA INDONESIA" xfId="233"/>
    <cellStyle name="a_BCT-kertas kerja grageramayana_000 PT. LATEXIA INDONESIA_Kawasan Industri Pulo Gadung, Jl. Pulo Lentut, Blok II F, No. 3" xfId="234"/>
    <cellStyle name="a_BCT-kertas kerja grageramayana_anj binanga-09" xfId="235"/>
    <cellStyle name="a_BCT-kertas kerja grageramayana_anj binanga-09_000 PT sinar pamukan permai" xfId="236"/>
    <cellStyle name="a_BCT-kertas kerja grageramayana_anj binanga-09_000 PT sinar pamukan permai_Kawasan Industri Pulo Gadung, Jl. Pulo Lentut, Blok II F, No. 3" xfId="237"/>
    <cellStyle name="a_BCT-kertas kerja grageramayana_anj binanga-09_000 PT. LATEXIA INDONESIA" xfId="238"/>
    <cellStyle name="a_BCT-kertas kerja grageramayana_anj binanga-09_000 PT. LATEXIA INDONESIA_Kawasan Industri Pulo Gadung, Jl. Pulo Lentut, Blok II F, No. 3" xfId="239"/>
    <cellStyle name="a_BCT-kertas kerja grageramayana_anj binanga-09_BCT-kertas kerja budiman" xfId="240"/>
    <cellStyle name="a_BCT-kertas kerja grageramayana_anj binanga-09_BCT-kertas kerja budiman_Kawasan Industri Pulo Gadung, Jl. Pulo Lentut, Blok II F, No. 3" xfId="241"/>
    <cellStyle name="a_BCT-kertas kerja grageramayana_anj binanga-09_BCT-kertas kerja kertas padalarang" xfId="242"/>
    <cellStyle name="a_BCT-kertas kerja grageramayana_anj binanga-09_BCT-kertas kerja kertas padalarang_Kawasan Industri Pulo Gadung, Jl. Pulo Lentut, Blok II F, No. 3" xfId="243"/>
    <cellStyle name="a_BCT-kertas kerja grageramayana_anj binanga-09_BCT-kertas kerja kopindosat" xfId="244"/>
    <cellStyle name="a_BCT-kertas kerja grageramayana_anj binanga-09_BCT-kertas kerja kopindosat_Kawasan Industri Pulo Gadung, Jl. Pulo Lentut, Blok II F, No. 3" xfId="245"/>
    <cellStyle name="a_BCT-kertas kerja grageramayana_anj binanga-09_BCT-kertas kerja pd kertas padalarang ok" xfId="246"/>
    <cellStyle name="a_BCT-kertas kerja grageramayana_anj binanga-09_BCT-kertas kerja said (rest area 147)" xfId="247"/>
    <cellStyle name="a_BCT-kertas kerja grageramayana_anj binanga-09_BCT-kertas kerja said (rest area 147)_Kawasan Industri Pulo Gadung, Jl. Pulo Lentut, Blok II F, No. 3" xfId="248"/>
    <cellStyle name="a_BCT-kertas kerja grageramayana_anj binanga-09_cover  perikanan" xfId="249"/>
    <cellStyle name="a_BCT-kertas kerja grageramayana_anj binanga-09_cover  perikanan_Kawasan Industri Pulo Gadung, Jl. Pulo Lentut, Blok II F, No. 3" xfId="250"/>
    <cellStyle name="a_BCT-kertas kerja grageramayana_anj binanga-09_Kawasan Industri Pulo Gadung, Jl. Pulo Lentut, Blok II F, No. 3" xfId="251"/>
    <cellStyle name="a_BCT-kertas kerja grageramayana_anj binanga-09_PT. Kalsindo Karyatama final...2" xfId="252"/>
    <cellStyle name="a_BCT-kertas kerja grageramayana_anj binanga-09_PT. Kalsindo Karyatama final...2_Kawasan Industri Pulo Gadung, Jl. Pulo Lentut, Blok II F, No. 3" xfId="253"/>
    <cellStyle name="a_BCT-kertas kerja grageramayana_anj sidempuan-09" xfId="254"/>
    <cellStyle name="a_BCT-kertas kerja grageramayana_anj sidempuan-09_000 PT sinar pamukan permai" xfId="255"/>
    <cellStyle name="a_BCT-kertas kerja grageramayana_anj sidempuan-09_000 PT sinar pamukan permai_Kawasan Industri Pulo Gadung, Jl. Pulo Lentut, Blok II F, No. 3" xfId="256"/>
    <cellStyle name="a_BCT-kertas kerja grageramayana_anj sidempuan-09_000 PT. LATEXIA INDONESIA" xfId="257"/>
    <cellStyle name="a_BCT-kertas kerja grageramayana_anj sidempuan-09_000 PT. LATEXIA INDONESIA_Kawasan Industri Pulo Gadung, Jl. Pulo Lentut, Blok II F, No. 3" xfId="258"/>
    <cellStyle name="a_BCT-kertas kerja grageramayana_anj sidempuan-09_BCT-kertas kerja budiman" xfId="259"/>
    <cellStyle name="a_BCT-kertas kerja grageramayana_anj sidempuan-09_BCT-kertas kerja budiman_Kawasan Industri Pulo Gadung, Jl. Pulo Lentut, Blok II F, No. 3" xfId="260"/>
    <cellStyle name="a_BCT-kertas kerja grageramayana_anj sidempuan-09_BCT-kertas kerja kertas padalarang" xfId="261"/>
    <cellStyle name="a_BCT-kertas kerja grageramayana_anj sidempuan-09_BCT-kertas kerja kertas padalarang_Kawasan Industri Pulo Gadung, Jl. Pulo Lentut, Blok II F, No. 3" xfId="262"/>
    <cellStyle name="a_BCT-kertas kerja grageramayana_anj sidempuan-09_BCT-kertas kerja kopindosat" xfId="263"/>
    <cellStyle name="a_BCT-kertas kerja grageramayana_anj sidempuan-09_BCT-kertas kerja kopindosat_Kawasan Industri Pulo Gadung, Jl. Pulo Lentut, Blok II F, No. 3" xfId="264"/>
    <cellStyle name="a_BCT-kertas kerja grageramayana_anj sidempuan-09_BCT-kertas kerja pd kertas padalarang ok" xfId="265"/>
    <cellStyle name="a_BCT-kertas kerja grageramayana_anj sidempuan-09_BCT-kertas kerja said (rest area 147)" xfId="266"/>
    <cellStyle name="a_BCT-kertas kerja grageramayana_anj sidempuan-09_BCT-kertas kerja said (rest area 147)_Kawasan Industri Pulo Gadung, Jl. Pulo Lentut, Blok II F, No. 3" xfId="267"/>
    <cellStyle name="a_BCT-kertas kerja grageramayana_anj sidempuan-09_cover  perikanan" xfId="268"/>
    <cellStyle name="a_BCT-kertas kerja grageramayana_anj sidempuan-09_cover  perikanan_Kawasan Industri Pulo Gadung, Jl. Pulo Lentut, Blok II F, No. 3" xfId="269"/>
    <cellStyle name="a_BCT-kertas kerja grageramayana_anj sidempuan-09_Kawasan Industri Pulo Gadung, Jl. Pulo Lentut, Blok II F, No. 3" xfId="270"/>
    <cellStyle name="a_BCT-kertas kerja grageramayana_anj sidempuan-09_PT. Kalsindo Karyatama final...2" xfId="271"/>
    <cellStyle name="a_BCT-kertas kerja grageramayana_anj sidempuan-09_PT. Kalsindo Karyatama final...2_Kawasan Industri Pulo Gadung, Jl. Pulo Lentut, Blok II F, No. 3" xfId="272"/>
    <cellStyle name="a_BCT-kertas kerja grageramayana_babbeland pabrik" xfId="273"/>
    <cellStyle name="a_BCT-kertas kerja grageramayana_babbeland pabrik_Jl. Cijagra No. 180" xfId="274"/>
    <cellStyle name="a_BCT-kertas kerja grageramayana_babbeland pabrik_Jl. Cijagra No. 180 ok erik" xfId="275"/>
    <cellStyle name="a_BCT-kertas kerja grageramayana_babbeland pabrik_Kawasan Industri Pulo Gadung, Jl. Pulo Lentut, Blok II F, No. 3" xfId="276"/>
    <cellStyle name="a_BCT-kertas kerja grageramayana_BARU" xfId="277"/>
    <cellStyle name="a_BCT-kertas kerja grageramayana_BARU_Jl. Cijagra No. 180" xfId="278"/>
    <cellStyle name="a_BCT-kertas kerja grageramayana_BARU_Jl. Cijagra No. 180 ok erik" xfId="279"/>
    <cellStyle name="a_BCT-kertas kerja grageramayana_BARU_Kawasan Industri Pulo Gadung, Jl. Pulo Lentut, Blok II F, No. 3" xfId="280"/>
    <cellStyle name="a_BCT-kertas kerja grageramayana_BCT-kertas kerja budiman" xfId="281"/>
    <cellStyle name="a_BCT-kertas kerja grageramayana_BCT-kertas kerja budiman_Kawasan Industri Pulo Gadung, Jl. Pulo Lentut, Blok II F, No. 3" xfId="282"/>
    <cellStyle name="a_BCT-kertas kerja grageramayana_BCT-kertas kerja kertas padalarang" xfId="283"/>
    <cellStyle name="a_BCT-kertas kerja grageramayana_BCT-kertas kerja kertas padalarang_Kawasan Industri Pulo Gadung, Jl. Pulo Lentut, Blok II F, No. 3" xfId="284"/>
    <cellStyle name="a_BCT-kertas kerja grageramayana_BCT-kertas kerja kopindosat" xfId="285"/>
    <cellStyle name="a_BCT-kertas kerja grageramayana_BCT-kertas kerja kopindosat_Kawasan Industri Pulo Gadung, Jl. Pulo Lentut, Blok II F, No. 3" xfId="286"/>
    <cellStyle name="a_BCT-kertas kerja grageramayana_BCT-kertas kerja pd kertas padalarang ok" xfId="287"/>
    <cellStyle name="a_BCT-kertas kerja grageramayana_BCT-kertas kerja said (rest area 147)" xfId="288"/>
    <cellStyle name="a_BCT-kertas kerja grageramayana_BCT-kertas kerja said (rest area 147)_Kawasan Industri Pulo Gadung, Jl. Pulo Lentut, Blok II F, No. 3" xfId="289"/>
    <cellStyle name="a_BCT-kertas kerja grageramayana_Copy of PT. Cheil Jedang Superfeed_Farm Yangyang_Review deni 2 Email_20 Juli" xfId="290"/>
    <cellStyle name="a_BCT-kertas kerja grageramayana_Copy of PT. Cheil Jedang Superfeed_Farm Yangyang_Review deni 2 Email_20 Juli_Jl. Cijagra No. 180" xfId="291"/>
    <cellStyle name="a_BCT-kertas kerja grageramayana_Copy of PT. Cheil Jedang Superfeed_Farm Yangyang_Review deni 2 Email_20 Juli_Jl. Cijagra No. 180 ok erik" xfId="292"/>
    <cellStyle name="a_BCT-kertas kerja grageramayana_cover  perikanan" xfId="293"/>
    <cellStyle name="a_BCT-kertas kerja grageramayana_cover  perikanan_Kawasan Industri Pulo Gadung, Jl. Pulo Lentut, Blok II F, No. 3" xfId="294"/>
    <cellStyle name="a_BCT-kertas kerja grageramayana_CV Intan Jaya Abadi Kertajaya_Farm Sukabumi_Peralatan" xfId="295"/>
    <cellStyle name="a_BCT-kertas kerja grageramayana_CV Intan Jaya Abadi Kertajaya_Farm Sukabumi_Peralatan_Jl. Cijagra No. 180" xfId="296"/>
    <cellStyle name="a_BCT-kertas kerja grageramayana_CV Intan Jaya Abadi Kertajaya_Farm Sukabumi_Peralatan_Jl. Cijagra No. 180 ok erik" xfId="297"/>
    <cellStyle name="a_BCT-kertas kerja grageramayana_CV Intan Jaya Abadi Kertajaya_Farm Sukabumi_rev" xfId="298"/>
    <cellStyle name="a_BCT-kertas kerja grageramayana_CV Intan Jaya Abadi Kertajaya_Farm Sukabumi_rev_Jl. Cijagra No. 180" xfId="299"/>
    <cellStyle name="a_BCT-kertas kerja grageramayana_CV Intan Jaya Abadi Kertajaya_Farm Sukabumi_rev_Jl. Cijagra No. 180 ok erik" xfId="300"/>
    <cellStyle name="a_BCT-kertas kerja grageramayana_CV. Intan Abadi Jaya_Farm Yangyang" xfId="301"/>
    <cellStyle name="a_BCT-kertas kerja grageramayana_CV. Intan Abadi Jaya_Farm Yangyang_Jl. Cijagra No. 180" xfId="302"/>
    <cellStyle name="a_BCT-kertas kerja grageramayana_CV. Intan Abadi Jaya_Farm Yangyang_Jl. Cijagra No. 180 ok erik" xfId="303"/>
    <cellStyle name="a_BCT-kertas kerja grageramayana_CV. Intan Jaya Abadi_Kertajaya, Sukabumi" xfId="304"/>
    <cellStyle name="a_BCT-kertas kerja grageramayana_CV. Intan Jaya Abadi_Kertajaya, Sukabumi.21.2 M " xfId="305"/>
    <cellStyle name="a_BCT-kertas kerja grageramayana_CV. Intan Jaya Abadi_Kertajaya, Sukabumi.21.2 M _Jl. Cijagra No. 180" xfId="306"/>
    <cellStyle name="a_BCT-kertas kerja grageramayana_CV. Intan Jaya Abadi_Kertajaya, Sukabumi.21.2 M _Jl. Cijagra No. 180 ok erik" xfId="307"/>
    <cellStyle name="a_BCT-kertas kerja grageramayana_CV. Intan Jaya Abadi_Kertajaya, Sukabumi_Jl. Cijagra No. 180" xfId="308"/>
    <cellStyle name="a_BCT-kertas kerja grageramayana_CV. Intan Jaya Abadi_Kertajaya, Sukabumi_Jl. Cijagra No. 180 ok erik" xfId="309"/>
    <cellStyle name="a_BCT-kertas kerja grageramayana_H. DEDE HERMAWAN. JLN RANCAMANYAR NO. 119. BANDUNG" xfId="310"/>
    <cellStyle name="a_BCT-kertas kerja grageramayana_H. DEDE HERMAWAN. JLN RANCAMANYAR NO. 119. BANDUNG_Kawasan Industri Pulo Gadung, Jl. Pulo Lentut, Blok II F, No. 3" xfId="311"/>
    <cellStyle name="a_BCT-kertas kerja grageramayana_HARYANTO_LEUWI GAJAH NO. 97" xfId="312"/>
    <cellStyle name="a_BCT-kertas kerja grageramayana_Jl. Cijagra No. 180" xfId="313"/>
    <cellStyle name="a_BCT-kertas kerja grageramayana_Jl. Cijagra No. 180 ok erik" xfId="314"/>
    <cellStyle name="a_BCT-kertas kerja grageramayana_Jl. Rawa Domba" xfId="315"/>
    <cellStyle name="a_BCT-kertas kerja grageramayana_Jl. Rawa Domba_000 Bapak Risanggeni Jl. Raya Ciputat - Parung Rt.001, Rw.04 Serua Bojongsari Depok" xfId="316"/>
    <cellStyle name="a_BCT-kertas kerja grageramayana_Jl. Rawa Domba_Jl. Cijagra No. 180" xfId="317"/>
    <cellStyle name="a_BCT-kertas kerja grageramayana_Jl. Rawa Domba_Jl. Cijagra No. 180 ok erik" xfId="318"/>
    <cellStyle name="a_BCT-kertas kerja grageramayana_Jl. Rawa Domba_Kawasan Industri Pulo Gadung, Jl. Pulo Lentut, Blok II F, No. 3" xfId="319"/>
    <cellStyle name="a_BCT-kertas kerja grageramayana_Kawasan Industri Pulo Gadung, Jl. Pulo Lentut, Blok II F, No. 3" xfId="320"/>
    <cellStyle name="a_BCT-kertas kerja grageramayana_Lap-PT. Alumindo Berkat Sejahtera" xfId="321"/>
    <cellStyle name="a_BCT-kertas kerja grageramayana_MEMED IDAR" xfId="322"/>
    <cellStyle name="a_BCT-kertas kerja grageramayana_MEMED IDAR_Jl. Cijagra No. 180" xfId="323"/>
    <cellStyle name="a_BCT-kertas kerja grageramayana_MEMED IDAR_Jl. Cijagra No. 180 ok erik" xfId="324"/>
    <cellStyle name="a_BCT-kertas kerja grageramayana_Nilai Pabrik Paiton 21-06-10" xfId="325"/>
    <cellStyle name="a_BCT-kertas kerja grageramayana_NOTARIS YOKO VERRA MOKOAG ( TANAH KOSONG indramayu)" xfId="326"/>
    <cellStyle name="a_BCT-kertas kerja grageramayana_NOTARIS YOKO VERRA MOKOAG ( TANAH KOSONG indramayu)_000 Bapak Risanggeni Jl. Raya Ciputat - Parung Rt.001, Rw.04 Serua Bojongsari Depok" xfId="327"/>
    <cellStyle name="a_BCT-kertas kerja grageramayana_NOTARIS YOKO VERRA MOKOAG ( TANAH KOSONG indramayu)_Jl. Cijagra No. 180" xfId="328"/>
    <cellStyle name="a_BCT-kertas kerja grageramayana_NOTARIS YOKO VERRA MOKOAG ( TANAH KOSONG indramayu)_Jl. Cijagra No. 180 ok erik" xfId="329"/>
    <cellStyle name="a_BCT-kertas kerja grageramayana_NOTARIS YOKO VERRA MOKOAG ( TANAH KOSONG indramayu)_Kawasan Industri Pulo Gadung, Jl. Pulo Lentut, Blok II F, No. 3" xfId="330"/>
    <cellStyle name="a_BCT-kertas kerja grageramayana_perikanan jl lodan" xfId="331"/>
    <cellStyle name="a_BCT-kertas kerja grageramayana_perikanan jl lodan_Kawasan Industri Pulo Gadung, Jl. Pulo Lentut, Blok II F, No. 3" xfId="332"/>
    <cellStyle name="a_BCT-kertas kerja grageramayana_PT. Kalsindo Karyatama final...2" xfId="333"/>
    <cellStyle name="a_BCT-kertas kerja grageramayana_PT. Kalsindo Karyatama final...2_Kawasan Industri Pulo Gadung, Jl. Pulo Lentut, Blok II F, No. 3" xfId="334"/>
    <cellStyle name="a_BCT-kertas kerja grageramayana_PT. Kharisma Buana Jaya" xfId="335"/>
    <cellStyle name="a_BCT-kertas kerja grageramayana_PT. Kharisma Buana Jaya_Jl. Cijagra No. 180" xfId="336"/>
    <cellStyle name="a_BCT-kertas kerja grageramayana_PT. Kharisma Buana Jaya_Jl. Cijagra No. 180 ok erik" xfId="337"/>
    <cellStyle name="a_BCT-kertas kerja grageramayana_PT. Kharisma Buana Jaya_Kawasan Industri Pulo Gadung, Jl. Pulo Lentut, Blok II F, No. 3" xfId="338"/>
    <cellStyle name="a_BCT-kertas kerja grageramayana_YANA PRINA" xfId="339"/>
    <cellStyle name="a_BCT-kertas kerja kertas padalarang" xfId="340"/>
    <cellStyle name="a_BCT-kertas kerja kertas padalarang_Kawasan Industri Pulo Gadung, Jl. Pulo Lentut, Blok II F, No. 3" xfId="341"/>
    <cellStyle name="a_BCT-kertas kerja kopindosat" xfId="342"/>
    <cellStyle name="a_BCT-kertas kerja kopindosat_Kawasan Industri Pulo Gadung, Jl. Pulo Lentut, Blok II F, No. 3" xfId="343"/>
    <cellStyle name="a_BCT-kertas kerja pd kertas padalarang ok" xfId="344"/>
    <cellStyle name="a_BCT-kertas kerja said (rest area 147)" xfId="345"/>
    <cellStyle name="a_BCT-kertas kerja said (rest area 147)_Kawasan Industri Pulo Gadung, Jl. Pulo Lentut, Blok II F, No. 3" xfId="346"/>
    <cellStyle name="a_BCT-kertas kerja_Cv. Central Presindo Utama_Siloa No. 17" xfId="347"/>
    <cellStyle name="a_BCT-kertas kerja_Ir. Salim_Pasar Induk Caringin Blok Ruko C No. 13" xfId="348"/>
    <cellStyle name="a_Beni Wiyanto - Jl. Mayor Abdurahman No. 129" xfId="349"/>
    <cellStyle name="a_Beni Wiyanto - Jl. Mayor Abdurahman No. 129_Jl. Cijagra No. 180" xfId="350"/>
    <cellStyle name="a_Beni Wiyanto - Jl. Mayor Abdurahman No. 129_Jl. Cijagra No. 180 ok erik" xfId="351"/>
    <cellStyle name="a_Beni Wiyanto - Jl. Mayor Abdurahman No. 129_Kawasan Industri Pulo Gadung, Jl. Pulo Lentut, Blok II F, No. 3" xfId="352"/>
    <cellStyle name="a_BRI. 003 Drs. Cecep Junaidi Jl. Sersan Surip No. 38" xfId="353"/>
    <cellStyle name="a_BRI. 003 Drs. Cecep Junaidi Jl. Sersan Surip No. 38_Jl. Cijagra No. 180" xfId="354"/>
    <cellStyle name="a_BRI. 003 Drs. Cecep Junaidi Jl. Sersan Surip No. 38_Jl. Cijagra No. 180 ok erik" xfId="355"/>
    <cellStyle name="a_BRI. 003 Drs. Cecep Junaidi Jl. Sersan Surip No. 38_Kawasan Industri Pulo Gadung, Jl. Pulo Lentut, Blok II F, No. 3" xfId="356"/>
    <cellStyle name="a_Copy of Lokasi 1 Komplek Dock Tegal, Jl. Jawa No. 5, Mintrangen, Tegal Timur, Tegal, Jawa Tengah ....2" xfId="357"/>
    <cellStyle name="a_Copy of Lokasi 1 Komplek Dock Tegal, Jl. Jawa No. 5, Mintrangen, Tegal Timur, Tegal, Jawa Tengah ....2_00 PT. ANGGADITA RUMAH TINGGAL  Komplek BPPT,Jalan teknologi 10, Rt 001 Rw 003, Meruya Utara, Kembangan, Jakarta Barat " xfId="358"/>
    <cellStyle name="a_Copy of Lokasi 1 Komplek Dock Tegal, Jl. Jawa No. 5, Mintrangen, Tegal Timur, Tegal, Jawa Tengah ....2_Data Base Kandang Ayam 2013" xfId="359"/>
    <cellStyle name="a_Copy of Lokasi 1 Komplek Dock Tegal, Jl. Jawa No. 5, Mintrangen, Tegal Timur, Tegal, Jawa Tengah ....2_Mesin- Mesin dan Alat Berat" xfId="360"/>
    <cellStyle name="a_COVER" xfId="361"/>
    <cellStyle name="a_cover  perikanan" xfId="362"/>
    <cellStyle name="a_cover  perikanan_Kawasan Industri Pulo Gadung, Jl. Pulo Lentut, Blok II F, No. 3" xfId="363"/>
    <cellStyle name="a_COVER_00 PT. ANGGADITA RUMAH TINGGAL  Komplek BPPT,Jalan teknologi 10, Rt 001 Rw 003, Meruya Utara, Kembangan, Jakarta Barat " xfId="364"/>
    <cellStyle name="a_COVER_Data Base Kandang Ayam 2013" xfId="365"/>
    <cellStyle name="a_CV Intan Jaya Abadi Kertajaya_Farm Sukabumi_Peralatan" xfId="366"/>
    <cellStyle name="a_CV Intan Jaya Abadi Kertajaya_Farm Sukabumi_rev" xfId="367"/>
    <cellStyle name="a_CV. Suryalaya_Komplek Banceuy Permai" xfId="368"/>
    <cellStyle name="a_Djaja Gunawan_Jalan Sarikaso III No. 9" xfId="369"/>
    <cellStyle name="a_Djaja Gunawan_Jalan Sarikaso III No. 9_Cv. Central Presindo Utama_Siloa No. 17" xfId="370"/>
    <cellStyle name="a_Djaja Gunawan_Jalan Sarikaso III No. 9_Ir. Salim_Pasar Induk Caringin Blok Ruko C No. 13" xfId="371"/>
    <cellStyle name="a_DJANG WAHYUDIN_KO. Kopo Permai III Blok 45A No. 10 - Kab. Bandung" xfId="372"/>
    <cellStyle name="a_Djong Sin Tjoy" xfId="373"/>
    <cellStyle name="a_Djong Sin Tjoy_DRAFT ANALISA BANGUNAN (BTB MAPPI 2013)" xfId="374"/>
    <cellStyle name="a_Djong Sin Tjoy_OHIM SUNARYA_Jl. Moch. Sahri No. 144 Mandalajati, Bandung" xfId="375"/>
    <cellStyle name="a_DRAFT ANALISA BANGUNAN (BTB MAPPI 2013)" xfId="376"/>
    <cellStyle name="a_EMAIL MESIN BUAT IBU ITA 31-08- 2009" xfId="377"/>
    <cellStyle name="a_EMAIL MESIN BUAT IBU ITA 31-08- 2009_016_RUSTANDI(2)_Jl. Cihanjuang Rt001 Rw. 008 Cimahi" xfId="378"/>
    <cellStyle name="a_EMAIL MESIN BUAT IBU ITA 31-08- 2009_0XX_Dede Nurhadi" xfId="379"/>
    <cellStyle name="a_EMAIL MESIN BUAT IBU ITA 31-08- 2009_0XX_Dede Nurhadi_DRAFT ANALISA BANGUNAN (BTB MAPPI 2013)" xfId="380"/>
    <cellStyle name="a_EMAIL MESIN BUAT IBU ITA 31-08- 2009_0XX_Dede Nurhadi_OHIM SUNARYA_Jl. Moch. Sahri No. 144 Mandalajati, Bandung" xfId="381"/>
    <cellStyle name="a_EMAIL MESIN BUAT IBU ITA 31-08- 2009_1106_BAMBANG TRI WINAMO_Ko. Bumi Harapan Blok CC11 No. 21_Final" xfId="382"/>
    <cellStyle name="a_EMAIL MESIN BUAT IBU ITA 31-08- 2009_BARU" xfId="383"/>
    <cellStyle name="a_EMAIL MESIN BUAT IBU ITA 31-08- 2009_BARU_Jl. Cijagra No. 180" xfId="384"/>
    <cellStyle name="a_EMAIL MESIN BUAT IBU ITA 31-08- 2009_BARU_Jl. Cijagra No. 180 ok erik" xfId="385"/>
    <cellStyle name="a_EMAIL MESIN BUAT IBU ITA 31-08- 2009_BARU_Kawasan Industri Pulo Gadung, Jl. Pulo Lentut, Blok II F, No. 3" xfId="386"/>
    <cellStyle name="a_EMAIL MESIN BUAT IBU ITA 31-08- 2009_Copy of PT. Cheil Jedang Superfeed_Farm Yangyang_Review deni 2 Email_20 Juli" xfId="387"/>
    <cellStyle name="a_EMAIL MESIN BUAT IBU ITA 31-08- 2009_Copy of PT. Cheil Jedang Superfeed_Farm Yangyang_Review deni 2 Email_20 Juli_Jl. Cijagra No. 180" xfId="388"/>
    <cellStyle name="a_EMAIL MESIN BUAT IBU ITA 31-08- 2009_Copy of PT. Cheil Jedang Superfeed_Farm Yangyang_Review deni 2 Email_20 Juli_Jl. Cijagra No. 180 ok erik" xfId="389"/>
    <cellStyle name="a_EMAIL MESIN BUAT IBU ITA 31-08- 2009_CV Intan Jaya Abadi Kertajaya_Farm Sukabumi_Peralatan" xfId="390"/>
    <cellStyle name="a_EMAIL MESIN BUAT IBU ITA 31-08- 2009_CV Intan Jaya Abadi Kertajaya_Farm Sukabumi_Peralatan_Jl. Cijagra No. 180" xfId="391"/>
    <cellStyle name="a_EMAIL MESIN BUAT IBU ITA 31-08- 2009_CV Intan Jaya Abadi Kertajaya_Farm Sukabumi_Peralatan_Jl. Cijagra No. 180 ok erik" xfId="392"/>
    <cellStyle name="a_EMAIL MESIN BUAT IBU ITA 31-08- 2009_CV Intan Jaya Abadi Kertajaya_Farm Sukabumi_rev" xfId="393"/>
    <cellStyle name="a_EMAIL MESIN BUAT IBU ITA 31-08- 2009_CV Intan Jaya Abadi Kertajaya_Farm Sukabumi_rev_Jl. Cijagra No. 180" xfId="394"/>
    <cellStyle name="a_EMAIL MESIN BUAT IBU ITA 31-08- 2009_CV Intan Jaya Abadi Kertajaya_Farm Sukabumi_rev_Jl. Cijagra No. 180 ok erik" xfId="395"/>
    <cellStyle name="a_EMAIL MESIN BUAT IBU ITA 31-08- 2009_CV. Intan Abadi Jaya_Farm Yangyang" xfId="396"/>
    <cellStyle name="a_EMAIL MESIN BUAT IBU ITA 31-08- 2009_CV. Intan Abadi Jaya_Farm Yangyang_Jl. Cijagra No. 180" xfId="397"/>
    <cellStyle name="a_EMAIL MESIN BUAT IBU ITA 31-08- 2009_CV. Intan Abadi Jaya_Farm Yangyang_Jl. Cijagra No. 180 ok erik" xfId="398"/>
    <cellStyle name="a_EMAIL MESIN BUAT IBU ITA 31-08- 2009_CV. Intan Jaya Abadi_Kertajaya, Sukabumi" xfId="399"/>
    <cellStyle name="a_EMAIL MESIN BUAT IBU ITA 31-08- 2009_CV. Intan Jaya Abadi_Kertajaya, Sukabumi.21.2 M " xfId="400"/>
    <cellStyle name="a_EMAIL MESIN BUAT IBU ITA 31-08- 2009_CV. Intan Jaya Abadi_Kertajaya, Sukabumi.21.2 M _Jl. Cijagra No. 180" xfId="401"/>
    <cellStyle name="a_EMAIL MESIN BUAT IBU ITA 31-08- 2009_CV. Intan Jaya Abadi_Kertajaya, Sukabumi.21.2 M _Jl. Cijagra No. 180 ok erik" xfId="402"/>
    <cellStyle name="a_EMAIL MESIN BUAT IBU ITA 31-08- 2009_CV. Intan Jaya Abadi_Kertajaya, Sukabumi_Jl. Cijagra No. 180" xfId="403"/>
    <cellStyle name="a_EMAIL MESIN BUAT IBU ITA 31-08- 2009_CV. Intan Jaya Abadi_Kertajaya, Sukabumi_Jl. Cijagra No. 180 ok erik" xfId="404"/>
    <cellStyle name="a_EMAIL MESIN BUAT IBU ITA 31-08- 2009_DJANG WAHYUDIN_KO. Kopo Permai III Blok 45A No. 10 - Kab. Bandung" xfId="405"/>
    <cellStyle name="a_EMAIL MESIN BUAT IBU ITA 31-08- 2009_DRAFT ANALISA BANGUNAN (BTB MAPPI 2013)" xfId="406"/>
    <cellStyle name="a_EMAIL MESIN BUAT IBU ITA 31-08- 2009_FORMAT BCA SKH TK 1 SHM" xfId="407"/>
    <cellStyle name="a_EMAIL MESIN BUAT IBU ITA 31-08- 2009_Format bjb syariah" xfId="408"/>
    <cellStyle name="a_EMAIL MESIN BUAT IBU ITA 31-08- 2009_Format BJBS" xfId="409"/>
    <cellStyle name="a_EMAIL MESIN BUAT IBU ITA 31-08- 2009_Format TB BJB 2 Sertifikat 1 Bangunan" xfId="410"/>
    <cellStyle name="a_EMAIL MESIN BUAT IBU ITA 31-08- 2009_Format TB BJB 2 Sertifikat 2 Bangunan" xfId="411"/>
    <cellStyle name="a_EMAIL MESIN BUAT IBU ITA 31-08- 2009_Format TK BJB 1 Sertifikat" xfId="412"/>
    <cellStyle name="a_EMAIL MESIN BUAT IBU ITA 31-08- 2009_Format TK BJB 2 Sertifikat" xfId="413"/>
    <cellStyle name="a_EMAIL MESIN BUAT IBU ITA 31-08- 2009_H. DEDE HERMAWAN. JLN RANCAMANYAR NO. 119. BANDUNG" xfId="414"/>
    <cellStyle name="a_EMAIL MESIN BUAT IBU ITA 31-08- 2009_H. DEDE HERMAWAN. JLN RANCAMANYAR NO. 119. BANDUNG_Kawasan Industri Pulo Gadung, Jl. Pulo Lentut, Blok II F, No. 3" xfId="415"/>
    <cellStyle name="a_EMAIL MESIN BUAT IBU ITA 31-08- 2009_HARYANTO_LEUWI GAJAH NO. 97" xfId="416"/>
    <cellStyle name="a_EMAIL MESIN BUAT IBU ITA 31-08- 2009_Heryanto" xfId="417"/>
    <cellStyle name="a_EMAIL MESIN BUAT IBU ITA 31-08- 2009_IMAS HALIMAH_Jl. Pramuka RT03 RW01 Karang Tengah - Kab. Cianjur" xfId="418"/>
    <cellStyle name="a_EMAIL MESIN BUAT IBU ITA 31-08- 2009_JADID SURPRIANTO_Blok Ciputri RT.03 RW.05 Cigugur Tengah, Kota Cimahi" xfId="419"/>
    <cellStyle name="a_EMAIL MESIN BUAT IBU ITA 31-08- 2009_Jl. Cijagra No. 180" xfId="420"/>
    <cellStyle name="a_EMAIL MESIN BUAT IBU ITA 31-08- 2009_Jl. Cijagra No. 180 ok erik" xfId="421"/>
    <cellStyle name="a_EMAIL MESIN BUAT IBU ITA 31-08- 2009_Kawasan Industri Pulo Gadung, Jl. Pulo Lentut, Blok II F, No. 3" xfId="422"/>
    <cellStyle name="a_EMAIL MESIN BUAT IBU ITA 31-08- 2009_MEMED IDAR" xfId="423"/>
    <cellStyle name="a_EMAIL MESIN BUAT IBU ITA 31-08- 2009_MEMED IDAR_Jl. Cijagra No. 180" xfId="424"/>
    <cellStyle name="a_EMAIL MESIN BUAT IBU ITA 31-08- 2009_MEMED IDAR_Jl. Cijagra No. 180 ok erik" xfId="425"/>
    <cellStyle name="a_EMAIL MESIN BUAT IBU ITA 31-08- 2009_MUHARRAM_Jl. Soreang Banjaran No. 99, Kab. Bandung" xfId="426"/>
    <cellStyle name="a_EMAIL MESIN BUAT IBU ITA 31-08- 2009_SUMANTO_Ko. Griya Antariksa Asri No. 25 - Kab. Bandung" xfId="427"/>
    <cellStyle name="a_EMAIL MESIN BUAT IBU ITA 31-08- 2009_YANA PRINA" xfId="428"/>
    <cellStyle name="a_FORMAT BCA SKH TK 1 SHM" xfId="429"/>
    <cellStyle name="a_Format bjb syariah" xfId="430"/>
    <cellStyle name="a_Format BJBS" xfId="431"/>
    <cellStyle name="a_Format Mesin NR" xfId="432"/>
    <cellStyle name="a_Format Retail BRI" xfId="433"/>
    <cellStyle name="a_Format Tanah, Bangunan dan Mesin Corporate" xfId="434"/>
    <cellStyle name="a_Format Tanah, Bangunan dan Mesin Corporate_016_RUSTANDI(2)_Jl. Cihanjuang Rt001 Rw. 008 Cimahi" xfId="435"/>
    <cellStyle name="a_Format Tanah, Bangunan dan Mesin Corporate_0XX_Dede Nurhadi" xfId="436"/>
    <cellStyle name="a_Format Tanah, Bangunan dan Mesin Corporate_0XX_Dede Nurhadi_DRAFT ANALISA BANGUNAN (BTB MAPPI 2013)" xfId="437"/>
    <cellStyle name="a_Format Tanah, Bangunan dan Mesin Corporate_0XX_Dede Nurhadi_OHIM SUNARYA_Jl. Moch. Sahri No. 144 Mandalajati, Bandung" xfId="438"/>
    <cellStyle name="a_Format Tanah, Bangunan dan Mesin Corporate_1106_BAMBANG TRI WINAMO_Ko. Bumi Harapan Blok CC11 No. 21_Final" xfId="439"/>
    <cellStyle name="a_Format Tanah, Bangunan dan Mesin Corporate_BARU" xfId="440"/>
    <cellStyle name="a_Format Tanah, Bangunan dan Mesin Corporate_BARU_Jl. Cijagra No. 180" xfId="441"/>
    <cellStyle name="a_Format Tanah, Bangunan dan Mesin Corporate_BARU_Jl. Cijagra No. 180 ok erik" xfId="442"/>
    <cellStyle name="a_Format Tanah, Bangunan dan Mesin Corporate_BARU_Kawasan Industri Pulo Gadung, Jl. Pulo Lentut, Blok II F, No. 3" xfId="443"/>
    <cellStyle name="a_Format Tanah, Bangunan dan Mesin Corporate_Copy of PT. Cheil Jedang Superfeed_Farm Yangyang_Review deni 2 Email_20 Juli" xfId="444"/>
    <cellStyle name="a_Format Tanah, Bangunan dan Mesin Corporate_Copy of PT. Cheil Jedang Superfeed_Farm Yangyang_Review deni 2 Email_20 Juli_Jl. Cijagra No. 180" xfId="445"/>
    <cellStyle name="a_Format Tanah, Bangunan dan Mesin Corporate_Copy of PT. Cheil Jedang Superfeed_Farm Yangyang_Review deni 2 Email_20 Juli_Jl. Cijagra No. 180 ok erik" xfId="446"/>
    <cellStyle name="a_Format Tanah, Bangunan dan Mesin Corporate_CV Intan Jaya Abadi Kertajaya_Farm Sukabumi_Peralatan" xfId="447"/>
    <cellStyle name="a_Format Tanah, Bangunan dan Mesin Corporate_CV Intan Jaya Abadi Kertajaya_Farm Sukabumi_Peralatan_Jl. Cijagra No. 180" xfId="448"/>
    <cellStyle name="a_Format Tanah, Bangunan dan Mesin Corporate_CV Intan Jaya Abadi Kertajaya_Farm Sukabumi_Peralatan_Jl. Cijagra No. 180 ok erik" xfId="449"/>
    <cellStyle name="a_Format Tanah, Bangunan dan Mesin Corporate_CV Intan Jaya Abadi Kertajaya_Farm Sukabumi_rev" xfId="450"/>
    <cellStyle name="a_Format Tanah, Bangunan dan Mesin Corporate_CV Intan Jaya Abadi Kertajaya_Farm Sukabumi_rev_Jl. Cijagra No. 180" xfId="451"/>
    <cellStyle name="a_Format Tanah, Bangunan dan Mesin Corporate_CV Intan Jaya Abadi Kertajaya_Farm Sukabumi_rev_Jl. Cijagra No. 180 ok erik" xfId="452"/>
    <cellStyle name="a_Format Tanah, Bangunan dan Mesin Corporate_CV. Intan Abadi Jaya_Farm Yangyang" xfId="453"/>
    <cellStyle name="a_Format Tanah, Bangunan dan Mesin Corporate_CV. Intan Abadi Jaya_Farm Yangyang_Jl. Cijagra No. 180" xfId="454"/>
    <cellStyle name="a_Format Tanah, Bangunan dan Mesin Corporate_CV. Intan Abadi Jaya_Farm Yangyang_Jl. Cijagra No. 180 ok erik" xfId="455"/>
    <cellStyle name="a_Format Tanah, Bangunan dan Mesin Corporate_CV. Intan Jaya Abadi_Kertajaya, Sukabumi" xfId="456"/>
    <cellStyle name="a_Format Tanah, Bangunan dan Mesin Corporate_CV. Intan Jaya Abadi_Kertajaya, Sukabumi.21.2 M " xfId="457"/>
    <cellStyle name="a_Format Tanah, Bangunan dan Mesin Corporate_CV. Intan Jaya Abadi_Kertajaya, Sukabumi.21.2 M _Jl. Cijagra No. 180" xfId="458"/>
    <cellStyle name="a_Format Tanah, Bangunan dan Mesin Corporate_CV. Intan Jaya Abadi_Kertajaya, Sukabumi.21.2 M _Jl. Cijagra No. 180 ok erik" xfId="459"/>
    <cellStyle name="a_Format Tanah, Bangunan dan Mesin Corporate_CV. Intan Jaya Abadi_Kertajaya, Sukabumi_Jl. Cijagra No. 180" xfId="460"/>
    <cellStyle name="a_Format Tanah, Bangunan dan Mesin Corporate_CV. Intan Jaya Abadi_Kertajaya, Sukabumi_Jl. Cijagra No. 180 ok erik" xfId="461"/>
    <cellStyle name="a_Format Tanah, Bangunan dan Mesin Corporate_DJANG WAHYUDIN_KO. Kopo Permai III Blok 45A No. 10 - Kab. Bandung" xfId="462"/>
    <cellStyle name="a_Format Tanah, Bangunan dan Mesin Corporate_DRAFT ANALISA BANGUNAN (BTB MAPPI 2013)" xfId="463"/>
    <cellStyle name="a_Format Tanah, Bangunan dan Mesin Corporate_FORMAT BCA SKH TK 1 SHM" xfId="464"/>
    <cellStyle name="a_Format Tanah, Bangunan dan Mesin Corporate_Format bjb syariah" xfId="465"/>
    <cellStyle name="a_Format Tanah, Bangunan dan Mesin Corporate_Format BJBS" xfId="466"/>
    <cellStyle name="a_Format Tanah, Bangunan dan Mesin Corporate_Format TB BJB 2 Sertifikat 1 Bangunan" xfId="467"/>
    <cellStyle name="a_Format Tanah, Bangunan dan Mesin Corporate_Format TB BJB 2 Sertifikat 2 Bangunan" xfId="468"/>
    <cellStyle name="a_Format Tanah, Bangunan dan Mesin Corporate_Format TK BJB 1 Sertifikat" xfId="469"/>
    <cellStyle name="a_Format Tanah, Bangunan dan Mesin Corporate_Format TK BJB 2 Sertifikat" xfId="470"/>
    <cellStyle name="a_Format Tanah, Bangunan dan Mesin Corporate_H. DEDE HERMAWAN. JLN RANCAMANYAR NO. 119. BANDUNG" xfId="471"/>
    <cellStyle name="a_Format Tanah, Bangunan dan Mesin Corporate_H. DEDE HERMAWAN. JLN RANCAMANYAR NO. 119. BANDUNG_Kawasan Industri Pulo Gadung, Jl. Pulo Lentut, Blok II F, No. 3" xfId="472"/>
    <cellStyle name="a_Format Tanah, Bangunan dan Mesin Corporate_HARYANTO_LEUWI GAJAH NO. 97" xfId="473"/>
    <cellStyle name="a_Format Tanah, Bangunan dan Mesin Corporate_Heryanto" xfId="474"/>
    <cellStyle name="a_Format Tanah, Bangunan dan Mesin Corporate_IMAS HALIMAH_Jl. Pramuka RT03 RW01 Karang Tengah - Kab. Cianjur" xfId="475"/>
    <cellStyle name="a_Format Tanah, Bangunan dan Mesin Corporate_JADID SURPRIANTO_Blok Ciputri RT.03 RW.05 Cigugur Tengah, Kota Cimahi" xfId="476"/>
    <cellStyle name="a_Format Tanah, Bangunan dan Mesin Corporate_Jl. Cijagra No. 180" xfId="477"/>
    <cellStyle name="a_Format Tanah, Bangunan dan Mesin Corporate_Jl. Cijagra No. 180 ok erik" xfId="478"/>
    <cellStyle name="a_Format Tanah, Bangunan dan Mesin Corporate_Kawasan Industri Pulo Gadung, Jl. Pulo Lentut, Blok II F, No. 3" xfId="479"/>
    <cellStyle name="a_Format Tanah, Bangunan dan Mesin Corporate_MEMED IDAR" xfId="480"/>
    <cellStyle name="a_Format Tanah, Bangunan dan Mesin Corporate_MEMED IDAR_Jl. Cijagra No. 180" xfId="481"/>
    <cellStyle name="a_Format Tanah, Bangunan dan Mesin Corporate_MEMED IDAR_Jl. Cijagra No. 180 ok erik" xfId="482"/>
    <cellStyle name="a_Format Tanah, Bangunan dan Mesin Corporate_MUHARRAM_Jl. Soreang Banjaran No. 99, Kab. Bandung" xfId="483"/>
    <cellStyle name="a_Format Tanah, Bangunan dan Mesin Corporate_SUMANTO_Ko. Griya Antariksa Asri No. 25 - Kab. Bandung" xfId="484"/>
    <cellStyle name="a_Format Tanah, Bangunan dan Mesin Corporate_YANA PRINA" xfId="485"/>
    <cellStyle name="a_Format TB BJB 2 Sertifikat 1 Bangunan" xfId="486"/>
    <cellStyle name="a_Format TB BJB 2 Sertifikat 2 Bangunan" xfId="487"/>
    <cellStyle name="a_Format TK BJB 1 Sertifikat" xfId="488"/>
    <cellStyle name="a_Format TK BJB 2 Sertifikat" xfId="489"/>
    <cellStyle name="a_Fotonya PT.PRIMA MUSTIKA PETROLINDO" xfId="490"/>
    <cellStyle name="a_Fotonya PT.PRIMA MUSTIKA PETROLINDO_000 Bapak Risanggeni Jl. Raya Ciputat - Parung Rt.001, Rw.04 Serua Bojongsari Depok" xfId="491"/>
    <cellStyle name="a_Fotonya PT.PRIMA MUSTIKA PETROLINDO_Jl. Cijagra No. 180" xfId="492"/>
    <cellStyle name="a_Fotonya PT.PRIMA MUSTIKA PETROLINDO_Jl. Cijagra No. 180 ok erik" xfId="493"/>
    <cellStyle name="a_Fotonya PT.PRIMA MUSTIKA PETROLINDO_Kawasan Industri Pulo Gadung, Jl. Pulo Lentut, Blok II F, No. 3" xfId="494"/>
    <cellStyle name="a_Gabungan  - Uraian PT. Garuda Jaya" xfId="495"/>
    <cellStyle name="a_Gabungan  - Uraian PT. Garuda Jaya (version 1)" xfId="496"/>
    <cellStyle name="a_Gabungan  - Uraian PT. Garuda Jaya (version 1)_Jl. Cijagra No. 180" xfId="497"/>
    <cellStyle name="a_Gabungan  - Uraian PT. Garuda Jaya (version 1)_Jl. Cijagra No. 180 ok erik" xfId="498"/>
    <cellStyle name="a_Gabungan  - Uraian PT. Garuda Jaya (version 1)_Kawasan Industri Pulo Gadung, Jl. Pulo Lentut, Blok II F, No. 3" xfId="499"/>
    <cellStyle name="a_Gabungan  - Uraian PT. Garuda Jaya_Jl. Cijagra No. 180" xfId="500"/>
    <cellStyle name="a_Gabungan  - Uraian PT. Garuda Jaya_Jl. Cijagra No. 180 ok erik" xfId="501"/>
    <cellStyle name="a_Gabungan  - Uraian PT. Garuda Jaya_Kawasan Industri Pulo Gadung, Jl. Pulo Lentut, Blok II F, No. 3" xfId="502"/>
    <cellStyle name="a_H. ASEP MANSYUR_PABRIK" xfId="503"/>
    <cellStyle name="a_Hal 5" xfId="504"/>
    <cellStyle name="a_Heryanto" xfId="505"/>
    <cellStyle name="a_Hit Tnh &amp; Bang-2" xfId="506"/>
    <cellStyle name="a_Hit Tnh &amp; Bang-2_000 Bapak Risanggeni Jl. Raya Ciputat - Parung Rt.001, Rw.04 Serua Bojongsari Depok" xfId="507"/>
    <cellStyle name="a_Hit Tnh &amp; Bang-2_000 PT sinar pamukan permai" xfId="508"/>
    <cellStyle name="a_Hit Tnh &amp; Bang-2_000 PT sinar pamukan permai_Kawasan Industri Pulo Gadung, Jl. Pulo Lentut, Blok II F, No. 3" xfId="509"/>
    <cellStyle name="a_Hit Tnh &amp; Bang-2_000 PT. LATEXIA INDONESIA" xfId="510"/>
    <cellStyle name="a_Hit Tnh &amp; Bang-2_000 PT. LATEXIA INDONESIA_Kawasan Industri Pulo Gadung, Jl. Pulo Lentut, Blok II F, No. 3" xfId="511"/>
    <cellStyle name="a_Hit Tnh &amp; Bang-2_BCT-kertas kerja banten bakti" xfId="512"/>
    <cellStyle name="a_Hit Tnh &amp; Bang-2_BCT-kertas kerja banten bakti_00 PT. ANGGADITA RUMAH TINGGAL  Komplek BPPT,Jalan teknologi 10, Rt 001 Rw 003, Meruya Utara, Kembangan, Jakarta Barat " xfId="513"/>
    <cellStyle name="a_Hit Tnh &amp; Bang-2_BCT-kertas kerja banten bakti_Data Base Kandang Ayam 2013" xfId="514"/>
    <cellStyle name="a_Hit Tnh &amp; Bang-2_BCT-kertas kerja budiman" xfId="515"/>
    <cellStyle name="a_Hit Tnh &amp; Bang-2_BCT-kertas kerja budiman_Kawasan Industri Pulo Gadung, Jl. Pulo Lentut, Blok II F, No. 3" xfId="516"/>
    <cellStyle name="a_Hit Tnh &amp; Bang-2_BCT-kertas kerja kertas padalarang" xfId="517"/>
    <cellStyle name="a_Hit Tnh &amp; Bang-2_BCT-kertas kerja kertas padalarang_Kawasan Industri Pulo Gadung, Jl. Pulo Lentut, Blok II F, No. 3" xfId="518"/>
    <cellStyle name="a_Hit Tnh &amp; Bang-2_BCT-kertas kerja kopindosat" xfId="519"/>
    <cellStyle name="a_Hit Tnh &amp; Bang-2_BCT-kertas kerja kopindosat_Kawasan Industri Pulo Gadung, Jl. Pulo Lentut, Blok II F, No. 3" xfId="520"/>
    <cellStyle name="a_Hit Tnh &amp; Bang-2_BCT-kertas kerja pd kertas padalarang ok" xfId="521"/>
    <cellStyle name="a_Hit Tnh &amp; Bang-2_BCT-kertas kerja said (rest area 147)" xfId="522"/>
    <cellStyle name="a_Hit Tnh &amp; Bang-2_BCT-kertas kerja said (rest area 147)_Kawasan Industri Pulo Gadung, Jl. Pulo Lentut, Blok II F, No. 3" xfId="523"/>
    <cellStyle name="a_Hit Tnh &amp; Bang-2_Book2" xfId="524"/>
    <cellStyle name="a_Hit Tnh &amp; Bang-2_Book2_00 PT. ANGGADITA RUMAH TINGGAL  Komplek BPPT,Jalan teknologi 10, Rt 001 Rw 003, Meruya Utara, Kembangan, Jakarta Barat " xfId="525"/>
    <cellStyle name="a_Hit Tnh &amp; Bang-2_Book2_000 Bapak Risanggeni Jl. Raya Ciputat - Parung Rt.001, Rw.04 Serua Bojongsari Depok" xfId="526"/>
    <cellStyle name="a_Hit Tnh &amp; Bang-2_Book2_016_RUSTANDI(2)_Jl. Cihanjuang Rt001 Rw. 008 Cimahi" xfId="527"/>
    <cellStyle name="a_Hit Tnh &amp; Bang-2_Book2_Cv. Central Presindo Utama_Siloa No. 17" xfId="528"/>
    <cellStyle name="a_Hit Tnh &amp; Bang-2_Book2_Data Base Kandang Ayam 2013" xfId="529"/>
    <cellStyle name="a_Hit Tnh &amp; Bang-2_Book2_DRAFT ANALISA BANGUNAN (BTB MAPPI 2013)" xfId="530"/>
    <cellStyle name="a_Hit Tnh &amp; Bang-2_Book2_Format BCA 2011" xfId="531"/>
    <cellStyle name="a_Hit Tnh &amp; Bang-2_Book2_FORMAT BCA SKH TK 1 SHM" xfId="532"/>
    <cellStyle name="a_Hit Tnh &amp; Bang-2_Book2_JADID SURPRIANTO_Blok Ciputri RT.03 RW.05 Cigugur Tengah, Kota Cimahi" xfId="533"/>
    <cellStyle name="a_Hit Tnh &amp; Bang-2_Book2_Jony Saragi Komp. Ruko Vila Taman Bandara Blok N No.32,33,35  Tangerang-JO Mandiri Palembang-review" xfId="534"/>
    <cellStyle name="a_Hit Tnh &amp; Bang-2_Book2_Mesin- Mesin dan Alat Berat" xfId="535"/>
    <cellStyle name="a_Hit Tnh &amp; Bang-2_Book2_Nilai Asuransi" xfId="536"/>
    <cellStyle name="a_Hit Tnh &amp; Bang-2_Book2_OHIM SUNARYA_Jl. Moch. Sahri No. 144 Mandalajati, Bandung" xfId="537"/>
    <cellStyle name="a_Hit Tnh &amp; Bang-2_Book2_Sofitel" xfId="538"/>
    <cellStyle name="a_Hit Tnh &amp; Bang-2_Book2_XXX. Jony Saragi Komp. Ruko Vila Taman Bandara Blok N No.32,33,35  Tangerang" xfId="539"/>
    <cellStyle name="a_Hit Tnh &amp; Bang-2_cover  perikanan" xfId="540"/>
    <cellStyle name="a_Hit Tnh &amp; Bang-2_cover  perikanan_Kawasan Industri Pulo Gadung, Jl. Pulo Lentut, Blok II F, No. 3" xfId="541"/>
    <cellStyle name="a_Hit Tnh &amp; Bang-2_Jl. Cijagra No. 180" xfId="542"/>
    <cellStyle name="a_Hit Tnh &amp; Bang-2_Jl. Cijagra No. 180 ok erik" xfId="543"/>
    <cellStyle name="a_Hit Tnh &amp; Bang-2_Kawasan Industri Pulo Gadung, Jl. Pulo Lentut, Blok II F, No. 3" xfId="544"/>
    <cellStyle name="a_Hit Tnh &amp; Bang-2_ME-kalsindo karyatama" xfId="545"/>
    <cellStyle name="a_Hit Tnh &amp; Bang-2_ME-kalsindo karyatama_Kawasan Industri Pulo Gadung, Jl. Pulo Lentut, Blok II F, No. 3" xfId="546"/>
    <cellStyle name="a_Hit Tnh &amp; Bang-2_Nilai Pabrik Paiton 21-06-10" xfId="547"/>
    <cellStyle name="a_Hit Tnh &amp; Bang-2_PT. Kalsindo Karyatama final...2" xfId="548"/>
    <cellStyle name="a_Hit Tnh &amp; Bang-2_PT. Kalsindo Karyatama final...2_00 PT. ANGGADITA RUMAH TINGGAL  Komplek BPPT,Jalan teknologi 10, Rt 001 Rw 003, Meruya Utara, Kembangan, Jakarta Barat " xfId="549"/>
    <cellStyle name="a_Hit Tnh &amp; Bang-2_PT. Kalsindo Karyatama final...2_Data Base Kandang Ayam 2013" xfId="550"/>
    <cellStyle name="a_Hit Tnh &amp; Bang-2_PT. Kalsindo Karyatama final...2_Mesin- Mesin dan Alat Berat" xfId="551"/>
    <cellStyle name="a_Hitungan B,M,P(2)" xfId="552"/>
    <cellStyle name="a_Hitungan B,M,P(2)_000 Bapak Risanggeni Jl. Raya Ciputat - Parung Rt.001, Rw.04 Serua Bojongsari Depok" xfId="553"/>
    <cellStyle name="a_Hitungan B,M,P(2)_000 PT sinar pamukan permai" xfId="554"/>
    <cellStyle name="a_Hitungan B,M,P(2)_000 PT sinar pamukan permai_Kawasan Industri Pulo Gadung, Jl. Pulo Lentut, Blok II F, No. 3" xfId="555"/>
    <cellStyle name="a_Hitungan B,M,P(2)_000 PT. LATEXIA INDONESIA" xfId="556"/>
    <cellStyle name="a_Hitungan B,M,P(2)_000 PT. LATEXIA INDONESIA_Kawasan Industri Pulo Gadung, Jl. Pulo Lentut, Blok II F, No. 3" xfId="557"/>
    <cellStyle name="a_Hitungan B,M,P(2)_BCT-kertas kerja banten bakti" xfId="558"/>
    <cellStyle name="a_Hitungan B,M,P(2)_BCT-kertas kerja banten bakti_00 PT. ANGGADITA RUMAH TINGGAL  Komplek BPPT,Jalan teknologi 10, Rt 001 Rw 003, Meruya Utara, Kembangan, Jakarta Barat " xfId="559"/>
    <cellStyle name="a_Hitungan B,M,P(2)_BCT-kertas kerja banten bakti_Data Base Kandang Ayam 2013" xfId="560"/>
    <cellStyle name="a_Hitungan B,M,P(2)_BCT-kertas kerja budiman" xfId="561"/>
    <cellStyle name="a_Hitungan B,M,P(2)_BCT-kertas kerja budiman_Kawasan Industri Pulo Gadung, Jl. Pulo Lentut, Blok II F, No. 3" xfId="562"/>
    <cellStyle name="a_Hitungan B,M,P(2)_BCT-kertas kerja kertas padalarang" xfId="563"/>
    <cellStyle name="a_Hitungan B,M,P(2)_BCT-kertas kerja kertas padalarang_Kawasan Industri Pulo Gadung, Jl. Pulo Lentut, Blok II F, No. 3" xfId="564"/>
    <cellStyle name="a_Hitungan B,M,P(2)_BCT-kertas kerja kopindosat" xfId="565"/>
    <cellStyle name="a_Hitungan B,M,P(2)_BCT-kertas kerja kopindosat_Kawasan Industri Pulo Gadung, Jl. Pulo Lentut, Blok II F, No. 3" xfId="566"/>
    <cellStyle name="a_Hitungan B,M,P(2)_BCT-kertas kerja pd kertas padalarang ok" xfId="567"/>
    <cellStyle name="a_Hitungan B,M,P(2)_BCT-kertas kerja said (rest area 147)" xfId="568"/>
    <cellStyle name="a_Hitungan B,M,P(2)_BCT-kertas kerja said (rest area 147)_Kawasan Industri Pulo Gadung, Jl. Pulo Lentut, Blok II F, No. 3" xfId="569"/>
    <cellStyle name="a_Hitungan B,M,P(2)_Book2" xfId="570"/>
    <cellStyle name="a_Hitungan B,M,P(2)_Book2_00 PT. ANGGADITA RUMAH TINGGAL  Komplek BPPT,Jalan teknologi 10, Rt 001 Rw 003, Meruya Utara, Kembangan, Jakarta Barat " xfId="571"/>
    <cellStyle name="a_Hitungan B,M,P(2)_Book2_000 Bapak Risanggeni Jl. Raya Ciputat - Parung Rt.001, Rw.04 Serua Bojongsari Depok" xfId="572"/>
    <cellStyle name="a_Hitungan B,M,P(2)_Book2_016_RUSTANDI(2)_Jl. Cihanjuang Rt001 Rw. 008 Cimahi" xfId="573"/>
    <cellStyle name="a_Hitungan B,M,P(2)_Book2_Cv. Central Presindo Utama_Siloa No. 17" xfId="574"/>
    <cellStyle name="a_Hitungan B,M,P(2)_Book2_Data Base Kandang Ayam 2013" xfId="575"/>
    <cellStyle name="a_Hitungan B,M,P(2)_Book2_DRAFT ANALISA BANGUNAN (BTB MAPPI 2013)" xfId="576"/>
    <cellStyle name="a_Hitungan B,M,P(2)_Book2_Format BCA 2011" xfId="577"/>
    <cellStyle name="a_Hitungan B,M,P(2)_Book2_FORMAT BCA SKH TK 1 SHM" xfId="578"/>
    <cellStyle name="a_Hitungan B,M,P(2)_Book2_JADID SURPRIANTO_Blok Ciputri RT.03 RW.05 Cigugur Tengah, Kota Cimahi" xfId="579"/>
    <cellStyle name="a_Hitungan B,M,P(2)_Book2_Jony Saragi Komp. Ruko Vila Taman Bandara Blok N No.32,33,35  Tangerang-JO Mandiri Palembang-review" xfId="580"/>
    <cellStyle name="a_Hitungan B,M,P(2)_Book2_Mesin- Mesin dan Alat Berat" xfId="581"/>
    <cellStyle name="a_Hitungan B,M,P(2)_Book2_Nilai Asuransi" xfId="582"/>
    <cellStyle name="a_Hitungan B,M,P(2)_Book2_OHIM SUNARYA_Jl. Moch. Sahri No. 144 Mandalajati, Bandung" xfId="583"/>
    <cellStyle name="a_Hitungan B,M,P(2)_Book2_Sofitel" xfId="584"/>
    <cellStyle name="a_Hitungan B,M,P(2)_Book2_XXX. Jony Saragi Komp. Ruko Vila Taman Bandara Blok N No.32,33,35  Tangerang" xfId="585"/>
    <cellStyle name="a_Hitungan B,M,P(2)_cover  perikanan" xfId="586"/>
    <cellStyle name="a_Hitungan B,M,P(2)_cover  perikanan_Kawasan Industri Pulo Gadung, Jl. Pulo Lentut, Blok II F, No. 3" xfId="587"/>
    <cellStyle name="a_Hitungan B,M,P(2)_Jl. Cijagra No. 180" xfId="588"/>
    <cellStyle name="a_Hitungan B,M,P(2)_Jl. Cijagra No. 180 ok erik" xfId="589"/>
    <cellStyle name="a_Hitungan B,M,P(2)_Kawasan Industri Pulo Gadung, Jl. Pulo Lentut, Blok II F, No. 3" xfId="590"/>
    <cellStyle name="a_Hitungan B,M,P(2)_ME-kalsindo karyatama" xfId="591"/>
    <cellStyle name="a_Hitungan B,M,P(2)_ME-kalsindo karyatama_Kawasan Industri Pulo Gadung, Jl. Pulo Lentut, Blok II F, No. 3" xfId="592"/>
    <cellStyle name="a_Hitungan B,M,P(2)_Nilai Pabrik Paiton 21-06-10" xfId="593"/>
    <cellStyle name="a_Hitungan B,M,P(2)_PT. Kalsindo Karyatama final...2" xfId="594"/>
    <cellStyle name="a_Hitungan B,M,P(2)_PT. Kalsindo Karyatama final...2_00 PT. ANGGADITA RUMAH TINGGAL  Komplek BPPT,Jalan teknologi 10, Rt 001 Rw 003, Meruya Utara, Kembangan, Jakarta Barat " xfId="595"/>
    <cellStyle name="a_Hitungan B,M,P(2)_PT. Kalsindo Karyatama final...2_Data Base Kandang Ayam 2013" xfId="596"/>
    <cellStyle name="a_Hitungan B,M,P(2)_PT. Kalsindo Karyatama final...2_Mesin- Mesin dan Alat Berat" xfId="597"/>
    <cellStyle name="a_IMAS HALIMAH_Jl. Pramuka RT03 RW01 Karang Tengah - Kab. Cianjur" xfId="598"/>
    <cellStyle name="a_JADID SURPRIANTO_Blok Ciputri RT.03 RW.05 Cigugur Tengah, Kota Cimahi" xfId="599"/>
    <cellStyle name="a_Jl. Cijagra No. 180" xfId="600"/>
    <cellStyle name="a_Jl. Cijagra No. 180 ok erik" xfId="601"/>
    <cellStyle name="a_Kawasan Industri Pulo Gadung, Jl. Pulo Lentut, Blok II F, No. 3" xfId="602"/>
    <cellStyle name="a_lks= 1=-jalan Budi Sari VII. No. 48" xfId="603"/>
    <cellStyle name="a_lks= 1=-jalan Budi Sari VII. No. 48_BARU" xfId="604"/>
    <cellStyle name="a_lks= 1=-jalan Budi Sari VII. No. 48_BARU_Jl. Cijagra No. 180" xfId="605"/>
    <cellStyle name="a_lks= 1=-jalan Budi Sari VII. No. 48_BARU_Jl. Cijagra No. 180 ok erik" xfId="606"/>
    <cellStyle name="a_lks= 1=-jalan Budi Sari VII. No. 48_BARU_Kawasan Industri Pulo Gadung, Jl. Pulo Lentut, Blok II F, No. 3" xfId="607"/>
    <cellStyle name="a_lks= 1=-jalan Budi Sari VII. No. 48_Copy of PT. Cheil Jedang Superfeed_Farm Yangyang_Review deni 2 Email_20 Juli" xfId="608"/>
    <cellStyle name="a_lks= 1=-jalan Budi Sari VII. No. 48_Copy of PT. Cheil Jedang Superfeed_Farm Yangyang_Review deni 2 Email_20 Juli_Jl. Cijagra No. 180" xfId="609"/>
    <cellStyle name="a_lks= 1=-jalan Budi Sari VII. No. 48_Copy of PT. Cheil Jedang Superfeed_Farm Yangyang_Review deni 2 Email_20 Juli_Jl. Cijagra No. 180 ok erik" xfId="610"/>
    <cellStyle name="a_lks= 1=-jalan Budi Sari VII. No. 48_CV Intan Jaya Abadi Kertajaya_Farm Sukabumi_Peralatan" xfId="611"/>
    <cellStyle name="a_lks= 1=-jalan Budi Sari VII. No. 48_CV Intan Jaya Abadi Kertajaya_Farm Sukabumi_Peralatan_Jl. Cijagra No. 180" xfId="612"/>
    <cellStyle name="a_lks= 1=-jalan Budi Sari VII. No. 48_CV Intan Jaya Abadi Kertajaya_Farm Sukabumi_Peralatan_Jl. Cijagra No. 180 ok erik" xfId="613"/>
    <cellStyle name="a_lks= 1=-jalan Budi Sari VII. No. 48_CV Intan Jaya Abadi Kertajaya_Farm Sukabumi_rev" xfId="614"/>
    <cellStyle name="a_lks= 1=-jalan Budi Sari VII. No. 48_CV Intan Jaya Abadi Kertajaya_Farm Sukabumi_rev_Jl. Cijagra No. 180" xfId="615"/>
    <cellStyle name="a_lks= 1=-jalan Budi Sari VII. No. 48_CV Intan Jaya Abadi Kertajaya_Farm Sukabumi_rev_Jl. Cijagra No. 180 ok erik" xfId="616"/>
    <cellStyle name="a_lks= 1=-jalan Budi Sari VII. No. 48_CV. Intan Abadi Jaya_Farm Yangyang" xfId="617"/>
    <cellStyle name="a_lks= 1=-jalan Budi Sari VII. No. 48_CV. Intan Abadi Jaya_Farm Yangyang_Jl. Cijagra No. 180" xfId="618"/>
    <cellStyle name="a_lks= 1=-jalan Budi Sari VII. No. 48_CV. Intan Abadi Jaya_Farm Yangyang_Jl. Cijagra No. 180 ok erik" xfId="619"/>
    <cellStyle name="a_lks= 1=-jalan Budi Sari VII. No. 48_CV. Intan Jaya Abadi_Kertajaya, Sukabumi" xfId="620"/>
    <cellStyle name="a_lks= 1=-jalan Budi Sari VII. No. 48_CV. Intan Jaya Abadi_Kertajaya, Sukabumi.21.2 M " xfId="621"/>
    <cellStyle name="a_lks= 1=-jalan Budi Sari VII. No. 48_CV. Intan Jaya Abadi_Kertajaya, Sukabumi.21.2 M _Jl. Cijagra No. 180" xfId="622"/>
    <cellStyle name="a_lks= 1=-jalan Budi Sari VII. No. 48_CV. Intan Jaya Abadi_Kertajaya, Sukabumi.21.2 M _Jl. Cijagra No. 180 ok erik" xfId="623"/>
    <cellStyle name="a_lks= 1=-jalan Budi Sari VII. No. 48_CV. Intan Jaya Abadi_Kertajaya, Sukabumi_Jl. Cijagra No. 180" xfId="624"/>
    <cellStyle name="a_lks= 1=-jalan Budi Sari VII. No. 48_CV. Intan Jaya Abadi_Kertajaya, Sukabumi_Jl. Cijagra No. 180 ok erik" xfId="625"/>
    <cellStyle name="a_lks= 1=-jalan Budi Sari VII. No. 48_H. DEDE HERMAWAN. JLN RANCAMANYAR NO. 119. BANDUNG" xfId="626"/>
    <cellStyle name="a_lks= 1=-jalan Budi Sari VII. No. 48_H. DEDE HERMAWAN. JLN RANCAMANYAR NO. 119. BANDUNG_Kawasan Industri Pulo Gadung, Jl. Pulo Lentut, Blok II F, No. 3" xfId="627"/>
    <cellStyle name="a_lks= 1=-jalan Budi Sari VII. No. 48_HARYANTO_LEUWI GAJAH NO. 97" xfId="628"/>
    <cellStyle name="a_lks= 1=-jalan Budi Sari VII. No. 48_Jl. Cijagra No. 180" xfId="629"/>
    <cellStyle name="a_lks= 1=-jalan Budi Sari VII. No. 48_Jl. Cijagra No. 180 ok erik" xfId="630"/>
    <cellStyle name="a_lks= 1=-jalan Budi Sari VII. No. 48_Kawasan Industri Pulo Gadung, Jl. Pulo Lentut, Blok II F, No. 3" xfId="631"/>
    <cellStyle name="a_lks= 1=-jalan Budi Sari VII. No. 48_MEMED IDAR" xfId="632"/>
    <cellStyle name="a_lks= 1=-jalan Budi Sari VII. No. 48_MEMED IDAR_Jl. Cijagra No. 180" xfId="633"/>
    <cellStyle name="a_lks= 1=-jalan Budi Sari VII. No. 48_MEMED IDAR_Jl. Cijagra No. 180 ok erik" xfId="634"/>
    <cellStyle name="a_lks= 1=-jalan Budi Sari VII. No. 48_YANA PRINA" xfId="635"/>
    <cellStyle name="a_lks= 2=-jalan manunggal No.25" xfId="636"/>
    <cellStyle name="a_lks= 2=-jalan manunggal No.25_Jl. Cijagra No. 180" xfId="637"/>
    <cellStyle name="a_lks= 2=-jalan manunggal No.25_Jl. Cijagra No. 180 ok erik" xfId="638"/>
    <cellStyle name="a_lks= 2=-jalan manunggal No.25_Kawasan Industri Pulo Gadung, Jl. Pulo Lentut, Blok II F, No. 3" xfId="639"/>
    <cellStyle name="a_Lok 2_Jl. Rancaloa, Cipamongkolan Bandung" xfId="640"/>
    <cellStyle name="a_Lok 2_Jl. Rancaloa, Cipamongkolan Bandung_Jl. Cijagra No. 180" xfId="641"/>
    <cellStyle name="a_Lok 2_Jl. Rancaloa, Cipamongkolan Bandung_Jl. Cijagra No. 180 ok erik" xfId="642"/>
    <cellStyle name="a_Lokasi 1 -Resume Gabungan  - Uraian PT. Inkha Belyan ( Pabrik Parung ) ok" xfId="643"/>
    <cellStyle name="a_Lokasi 1 -Resume Gabungan  - Uraian PT. Inkha Belyan ( Pabrik Parung ) ok_00 PT. ANGGADITA RUMAH TINGGAL  Komplek BPPT,Jalan teknologi 10, Rt 001 Rw 003, Meruya Utara, Kembangan, Jakarta Barat " xfId="644"/>
    <cellStyle name="a_Lokasi 1 -Resume Gabungan  - Uraian PT. Inkha Belyan ( Pabrik Parung ) ok_Data Base Kandang Ayam 2013" xfId="645"/>
    <cellStyle name="a_Lokasi 1 -Resume Gabungan  - Uraian PT. Inkha Belyan ( Pabrik Parung ) ok_Mesin- Mesin dan Alat Berat" xfId="646"/>
    <cellStyle name="a_Lokasi 2 -  CV. Sejahtera Hatchery" xfId="647"/>
    <cellStyle name="a_Lokasi 2_YONGKI HAROEN_Apartemen Dago Butik 14-02-11 rev" xfId="648"/>
    <cellStyle name="a_Lucky Gunawan_Komp. Mekar Sari Jl. Mekar Makmur No. 16" xfId="649"/>
    <cellStyle name="a_Lucky Gunawan_Komp. Mekar Sari Jl. Mekar Makmur No. 16_1106_BAMBANG TRI WINAMO_Ko. Bumi Harapan Blok CC11 No. 21_Final" xfId="650"/>
    <cellStyle name="a_Lucky Gunawan_Komp. Mekar Sari Jl. Mekar Makmur No. 16_DRAFT ANALISA BANGUNAN (BTB MAPPI 2013)" xfId="651"/>
    <cellStyle name="a_Lucky Gunawan_Komp. Mekar Sari Jl. Mekar Makmur No. 16_FORMAT BCA SKH TK 1 SHM" xfId="652"/>
    <cellStyle name="a_Lucky Gunawan_Komp. Mekar Sari Jl. Mekar Makmur No. 16_Format bjb syariah" xfId="653"/>
    <cellStyle name="a_Lucky Gunawan_Komp. Mekar Sari Jl. Mekar Makmur No. 16_Format BJBS" xfId="654"/>
    <cellStyle name="a_Lucky Gunawan_Komp. Mekar Sari Jl. Mekar Makmur No. 16_Format TB BJB 2 Sertifikat 1 Bangunan" xfId="655"/>
    <cellStyle name="a_Lucky Gunawan_Komp. Mekar Sari Jl. Mekar Makmur No. 16_Format TB BJB 2 Sertifikat 2 Bangunan" xfId="656"/>
    <cellStyle name="a_Lucky Gunawan_Komp. Mekar Sari Jl. Mekar Makmur No. 16_Format TK BJB 1 Sertifikat" xfId="657"/>
    <cellStyle name="a_Lucky Gunawan_Komp. Mekar Sari Jl. Mekar Makmur No. 16_Format TK BJB 2 Sertifikat" xfId="658"/>
    <cellStyle name="a_Lucky Gunawan_Komp. Mekar Sari Jl. Mekar Makmur No. 16_IMAS HALIMAH_Jl. Pramuka RT03 RW01 Karang Tengah - Kab. Cianjur" xfId="659"/>
    <cellStyle name="a_Lucky Gunawan_Komp. Mekar Sari Jl. Mekar Makmur No. 16_JADID SURPRIANTO_Blok Ciputri RT.03 RW.05 Cigugur Tengah, Kota Cimahi" xfId="660"/>
    <cellStyle name="a_Lucky Gunawan_Komp. Mekar Sari Jl. Mekar Makmur No. 16_MUHARRAM_Jl. Soreang Banjaran No. 99, Kab. Bandung" xfId="661"/>
    <cellStyle name="a_Lucky Gunawan_Komp. Mekar Sari Jl. Mekar Makmur No. 16_SUMANTO_Ko. Griya Antariksa Asri No. 25 - Kab. Bandung" xfId="662"/>
    <cellStyle name="a_Master Coorporate" xfId="663"/>
    <cellStyle name="a_Master Coorporate_00 PT. ANGGADITA RUMAH TINGGAL  Komplek BPPT,Jalan teknologi 10, Rt 001 Rw 003, Meruya Utara, Kembangan, Jakarta Barat " xfId="664"/>
    <cellStyle name="a_Master Coorporate_000 Bapak Risanggeni Jl. Raya Ciputat - Parung Rt.001, Rw.04 Serua Bojongsari Depok" xfId="665"/>
    <cellStyle name="a_Master Coorporate_016_RUSTANDI(2)_Jl. Cihanjuang Rt001 Rw. 008 Cimahi" xfId="666"/>
    <cellStyle name="a_Master Coorporate_Cv. Central Presindo Utama_Siloa No. 17" xfId="667"/>
    <cellStyle name="a_Master Coorporate_Data Base Kandang Ayam 2013" xfId="668"/>
    <cellStyle name="a_Master Coorporate_DRAFT ANALISA BANGUNAN (BTB MAPPI 2013)" xfId="669"/>
    <cellStyle name="a_Master Coorporate_Format BCA 2011" xfId="670"/>
    <cellStyle name="a_Master Coorporate_FORMAT BCA SKH TK 1 SHM" xfId="671"/>
    <cellStyle name="a_Master Coorporate_JADID SURPRIANTO_Blok Ciputri RT.03 RW.05 Cigugur Tengah, Kota Cimahi" xfId="672"/>
    <cellStyle name="a_Master Coorporate_Jony Saragi Komp. Ruko Vila Taman Bandara Blok N No.32,33,35  Tangerang-JO Mandiri Palembang-review" xfId="673"/>
    <cellStyle name="a_Master Coorporate_Mesin- Mesin dan Alat Berat" xfId="674"/>
    <cellStyle name="a_Master Coorporate_Nilai Asuransi" xfId="675"/>
    <cellStyle name="a_Master Coorporate_OHIM SUNARYA_Jl. Moch. Sahri No. 144 Mandalajati, Bandung" xfId="676"/>
    <cellStyle name="a_Master Coorporate_Sofitel" xfId="677"/>
    <cellStyle name="a_Master Coorporate_XXX. Jony Saragi Komp. Ruko Vila Taman Bandara Blok N No.32,33,35  Tangerang" xfId="678"/>
    <cellStyle name="a_Master Tanah Bangunan Mesin" xfId="679"/>
    <cellStyle name="a_mesin" xfId="680"/>
    <cellStyle name="a_mesin_00 PT. ANGGADITA RUMAH TINGGAL  Komplek BPPT,Jalan teknologi 10, Rt 001 Rw 003, Meruya Utara, Kembangan, Jakarta Barat " xfId="681"/>
    <cellStyle name="a_mesin_Data Base Kandang Ayam 2013" xfId="682"/>
    <cellStyle name="a_mesin_Mesin- Mesin dan Alat Berat" xfId="683"/>
    <cellStyle name="a_mesin_Sofitel" xfId="684"/>
    <cellStyle name="a_MUHARRAM_Jl. Soreang Banjaran No. 99, Kab. Bandung" xfId="685"/>
    <cellStyle name="a_NILAI PABRIK - email to Jkt" xfId="686"/>
    <cellStyle name="a_NILAI PABRIK - email to Jkt_00 PT. ANGGADITA RUMAH TINGGAL  Komplek BPPT,Jalan teknologi 10, Rt 001 Rw 003, Meruya Utara, Kembangan, Jakarta Barat " xfId="687"/>
    <cellStyle name="a_NILAI PABRIK - email to Jkt_000 Bapak Risanggeni Jl. Raya Ciputat - Parung Rt.001, Rw.04 Serua Bojongsari Depok" xfId="688"/>
    <cellStyle name="a_NILAI PABRIK - email to Jkt_016_RUSTANDI(2)_Jl. Cihanjuang Rt001 Rw. 008 Cimahi" xfId="689"/>
    <cellStyle name="a_NILAI PABRIK - email to Jkt_Data Base Kandang Ayam 2013" xfId="690"/>
    <cellStyle name="a_NILAI PABRIK - email to Jkt_DRAFT ANALISA BANGUNAN (BTB MAPPI 2013)" xfId="691"/>
    <cellStyle name="a_NILAI PABRIK - email to Jkt_Format BCA 2011" xfId="692"/>
    <cellStyle name="a_NILAI PABRIK - email to Jkt_FORMAT BCA SKH TK 1 SHM" xfId="693"/>
    <cellStyle name="a_NILAI PABRIK - email to Jkt_JADID SURPRIANTO_Blok Ciputri RT.03 RW.05 Cigugur Tengah, Kota Cimahi" xfId="694"/>
    <cellStyle name="a_NILAI PABRIK - email to Jkt_Mesin- Mesin dan Alat Berat" xfId="695"/>
    <cellStyle name="a_NILAI PABRIK - email to Jkt_Nilai Asuransi" xfId="696"/>
    <cellStyle name="a_NILAI PABRIK - email to Jkt_OHIM SUNARYA_Jl. Moch. Sahri No. 144 Mandalajati, Bandung" xfId="697"/>
    <cellStyle name="a_NILAI PABRIK - email to Jkt_Sofitel" xfId="698"/>
    <cellStyle name="a_Nilai Pabrik Paiton 21-06-10" xfId="699"/>
    <cellStyle name="a_No. A1-2" xfId="700"/>
    <cellStyle name="a_No. A1-2_016_RUSTANDI(2)_Jl. Cihanjuang Rt001 Rw. 008 Cimahi" xfId="701"/>
    <cellStyle name="a_No. A1-2_0XX_Dede Nurhadi" xfId="702"/>
    <cellStyle name="a_No. A1-2_0XX_Dede Nurhadi_DRAFT ANALISA BANGUNAN (BTB MAPPI 2013)" xfId="703"/>
    <cellStyle name="a_No. A1-2_0XX_Dede Nurhadi_OHIM SUNARYA_Jl. Moch. Sahri No. 144 Mandalajati, Bandung" xfId="704"/>
    <cellStyle name="a_No. A1-2_1106_BAMBANG TRI WINAMO_Ko. Bumi Harapan Blok CC11 No. 21_Final" xfId="705"/>
    <cellStyle name="a_No. A1-2_BARU" xfId="706"/>
    <cellStyle name="a_No. A1-2_BARU_Jl. Cijagra No. 180" xfId="707"/>
    <cellStyle name="a_No. A1-2_BARU_Jl. Cijagra No. 180 ok erik" xfId="708"/>
    <cellStyle name="a_No. A1-2_BARU_Kawasan Industri Pulo Gadung, Jl. Pulo Lentut, Blok II F, No. 3" xfId="709"/>
    <cellStyle name="a_No. A1-2_Copy of PT. Cheil Jedang Superfeed_Farm Yangyang_Review deni 2 Email_20 Juli" xfId="710"/>
    <cellStyle name="a_No. A1-2_Copy of PT. Cheil Jedang Superfeed_Farm Yangyang_Review deni 2 Email_20 Juli_Jl. Cijagra No. 180" xfId="711"/>
    <cellStyle name="a_No. A1-2_Copy of PT. Cheil Jedang Superfeed_Farm Yangyang_Review deni 2 Email_20 Juli_Jl. Cijagra No. 180 ok erik" xfId="712"/>
    <cellStyle name="a_No. A1-2_CV Intan Jaya Abadi Kertajaya_Farm Sukabumi_Peralatan" xfId="713"/>
    <cellStyle name="a_No. A1-2_CV Intan Jaya Abadi Kertajaya_Farm Sukabumi_Peralatan_Jl. Cijagra No. 180" xfId="714"/>
    <cellStyle name="a_No. A1-2_CV Intan Jaya Abadi Kertajaya_Farm Sukabumi_Peralatan_Jl. Cijagra No. 180 ok erik" xfId="715"/>
    <cellStyle name="a_No. A1-2_CV Intan Jaya Abadi Kertajaya_Farm Sukabumi_rev" xfId="716"/>
    <cellStyle name="a_No. A1-2_CV Intan Jaya Abadi Kertajaya_Farm Sukabumi_rev_Jl. Cijagra No. 180" xfId="717"/>
    <cellStyle name="a_No. A1-2_CV Intan Jaya Abadi Kertajaya_Farm Sukabumi_rev_Jl. Cijagra No. 180 ok erik" xfId="718"/>
    <cellStyle name="a_No. A1-2_CV. Intan Abadi Jaya_Farm Yangyang" xfId="719"/>
    <cellStyle name="a_No. A1-2_CV. Intan Abadi Jaya_Farm Yangyang_Jl. Cijagra No. 180" xfId="720"/>
    <cellStyle name="a_No. A1-2_CV. Intan Abadi Jaya_Farm Yangyang_Jl. Cijagra No. 180 ok erik" xfId="721"/>
    <cellStyle name="a_No. A1-2_CV. Intan Jaya Abadi_Kertajaya, Sukabumi" xfId="722"/>
    <cellStyle name="a_No. A1-2_CV. Intan Jaya Abadi_Kertajaya, Sukabumi.21.2 M " xfId="723"/>
    <cellStyle name="a_No. A1-2_CV. Intan Jaya Abadi_Kertajaya, Sukabumi.21.2 M _Jl. Cijagra No. 180" xfId="724"/>
    <cellStyle name="a_No. A1-2_CV. Intan Jaya Abadi_Kertajaya, Sukabumi.21.2 M _Jl. Cijagra No. 180 ok erik" xfId="725"/>
    <cellStyle name="a_No. A1-2_CV. Intan Jaya Abadi_Kertajaya, Sukabumi_Jl. Cijagra No. 180" xfId="726"/>
    <cellStyle name="a_No. A1-2_CV. Intan Jaya Abadi_Kertajaya, Sukabumi_Jl. Cijagra No. 180 ok erik" xfId="727"/>
    <cellStyle name="a_No. A1-2_DJANG WAHYUDIN_KO. Kopo Permai III Blok 45A No. 10 - Kab. Bandung" xfId="728"/>
    <cellStyle name="a_No. A1-2_DRAFT ANALISA BANGUNAN (BTB MAPPI 2013)" xfId="729"/>
    <cellStyle name="a_No. A1-2_FORMAT BCA SKH TK 1 SHM" xfId="730"/>
    <cellStyle name="a_No. A1-2_Format bjb syariah" xfId="731"/>
    <cellStyle name="a_No. A1-2_Format BJBS" xfId="732"/>
    <cellStyle name="a_No. A1-2_Format TB BJB 2 Sertifikat 1 Bangunan" xfId="733"/>
    <cellStyle name="a_No. A1-2_Format TB BJB 2 Sertifikat 2 Bangunan" xfId="734"/>
    <cellStyle name="a_No. A1-2_Format TK BJB 1 Sertifikat" xfId="735"/>
    <cellStyle name="a_No. A1-2_Format TK BJB 2 Sertifikat" xfId="736"/>
    <cellStyle name="a_No. A1-2_H. DEDE HERMAWAN. JLN RANCAMANYAR NO. 119. BANDUNG" xfId="737"/>
    <cellStyle name="a_No. A1-2_H. DEDE HERMAWAN. JLN RANCAMANYAR NO. 119. BANDUNG_Kawasan Industri Pulo Gadung, Jl. Pulo Lentut, Blok II F, No. 3" xfId="738"/>
    <cellStyle name="a_No. A1-2_HARYANTO_LEUWI GAJAH NO. 97" xfId="739"/>
    <cellStyle name="a_No. A1-2_Heryanto" xfId="740"/>
    <cellStyle name="a_No. A1-2_IMAS HALIMAH_Jl. Pramuka RT03 RW01 Karang Tengah - Kab. Cianjur" xfId="741"/>
    <cellStyle name="a_No. A1-2_JADID SURPRIANTO_Blok Ciputri RT.03 RW.05 Cigugur Tengah, Kota Cimahi" xfId="742"/>
    <cellStyle name="a_No. A1-2_Jl. Cijagra No. 180" xfId="743"/>
    <cellStyle name="a_No. A1-2_Jl. Cijagra No. 180 ok erik" xfId="744"/>
    <cellStyle name="a_No. A1-2_Kawasan Industri Pulo Gadung, Jl. Pulo Lentut, Blok II F, No. 3" xfId="745"/>
    <cellStyle name="a_No. A1-2_MEMED IDAR" xfId="746"/>
    <cellStyle name="a_No. A1-2_MEMED IDAR_Jl. Cijagra No. 180" xfId="747"/>
    <cellStyle name="a_No. A1-2_MEMED IDAR_Jl. Cijagra No. 180 ok erik" xfId="748"/>
    <cellStyle name="a_No. A1-2_MUHARRAM_Jl. Soreang Banjaran No. 99, Kab. Bandung" xfId="749"/>
    <cellStyle name="a_No. A1-2_SUMANTO_Ko. Griya Antariksa Asri No. 25 - Kab. Bandung" xfId="750"/>
    <cellStyle name="a_No. A1-2_YANA PRINA" xfId="751"/>
    <cellStyle name="a_penilaian jual BNP Cirebon" xfId="752"/>
    <cellStyle name="a_PT. Azka Raja_Jl. Angkrek No. 105 B Sumedang" xfId="753"/>
    <cellStyle name="a_PT. Azka Raja_Jl. Angkrek No. 105 B Sumedang_PT. Asean Motor Internasional_Jl. soekarno Hatta-review" xfId="754"/>
    <cellStyle name="a_PT. HAINA INDONESIA Jl. Jelambar Utama III No.11 Jakbar_akhir bagja" xfId="755"/>
    <cellStyle name="a_PT. Kalsindo Karyatama 2010" xfId="756"/>
    <cellStyle name="a_PT. Kalsindo Karyatama final...2" xfId="757"/>
    <cellStyle name="a_PT. Kalsindo Karyatama final...2_Kawasan Industri Pulo Gadung, Jl. Pulo Lentut, Blok II F, No. 3" xfId="758"/>
    <cellStyle name="a_PT. TRINITAS BUANA UTAMA punya gugun baru " xfId="759"/>
    <cellStyle name="a_PT. TRINITAS BUANA UTAMA punya gugun baru _016_RUSTANDI(2)_Jl. Cihanjuang Rt001 Rw. 008 Cimahi" xfId="760"/>
    <cellStyle name="a_PT. TRINITAS BUANA UTAMA punya gugun baru _0XX_Dede Nurhadi" xfId="761"/>
    <cellStyle name="a_PT. TRINITAS BUANA UTAMA punya gugun baru _0XX_Dede Nurhadi_DRAFT ANALISA BANGUNAN (BTB MAPPI 2013)" xfId="762"/>
    <cellStyle name="a_PT. TRINITAS BUANA UTAMA punya gugun baru _0XX_Dede Nurhadi_OHIM SUNARYA_Jl. Moch. Sahri No. 144 Mandalajati, Bandung" xfId="763"/>
    <cellStyle name="a_PT. TRINITAS BUANA UTAMA punya gugun baru _1106_BAMBANG TRI WINAMO_Ko. Bumi Harapan Blok CC11 No. 21_Final" xfId="764"/>
    <cellStyle name="a_PT. TRINITAS BUANA UTAMA punya gugun baru _BARU" xfId="765"/>
    <cellStyle name="a_PT. TRINITAS BUANA UTAMA punya gugun baru _BARU_Jl. Cijagra No. 180" xfId="766"/>
    <cellStyle name="a_PT. TRINITAS BUANA UTAMA punya gugun baru _BARU_Jl. Cijagra No. 180 ok erik" xfId="767"/>
    <cellStyle name="a_PT. TRINITAS BUANA UTAMA punya gugun baru _BARU_Kawasan Industri Pulo Gadung, Jl. Pulo Lentut, Blok II F, No. 3" xfId="768"/>
    <cellStyle name="a_PT. TRINITAS BUANA UTAMA punya gugun baru _Copy of PT. Cheil Jedang Superfeed_Farm Yangyang_Review deni 2 Email_20 Juli" xfId="769"/>
    <cellStyle name="a_PT. TRINITAS BUANA UTAMA punya gugun baru _Copy of PT. Cheil Jedang Superfeed_Farm Yangyang_Review deni 2 Email_20 Juli_Jl. Cijagra No. 180" xfId="770"/>
    <cellStyle name="a_PT. TRINITAS BUANA UTAMA punya gugun baru _Copy of PT. Cheil Jedang Superfeed_Farm Yangyang_Review deni 2 Email_20 Juli_Jl. Cijagra No. 180 ok erik" xfId="771"/>
    <cellStyle name="a_PT. TRINITAS BUANA UTAMA punya gugun baru _CV Intan Jaya Abadi Kertajaya_Farm Sukabumi_Peralatan" xfId="772"/>
    <cellStyle name="a_PT. TRINITAS BUANA UTAMA punya gugun baru _CV Intan Jaya Abadi Kertajaya_Farm Sukabumi_Peralatan_Jl. Cijagra No. 180" xfId="773"/>
    <cellStyle name="a_PT. TRINITAS BUANA UTAMA punya gugun baru _CV Intan Jaya Abadi Kertajaya_Farm Sukabumi_Peralatan_Jl. Cijagra No. 180 ok erik" xfId="774"/>
    <cellStyle name="a_PT. TRINITAS BUANA UTAMA punya gugun baru _CV Intan Jaya Abadi Kertajaya_Farm Sukabumi_rev" xfId="775"/>
    <cellStyle name="a_PT. TRINITAS BUANA UTAMA punya gugun baru _CV Intan Jaya Abadi Kertajaya_Farm Sukabumi_rev_Jl. Cijagra No. 180" xfId="776"/>
    <cellStyle name="a_PT. TRINITAS BUANA UTAMA punya gugun baru _CV Intan Jaya Abadi Kertajaya_Farm Sukabumi_rev_Jl. Cijagra No. 180 ok erik" xfId="777"/>
    <cellStyle name="a_PT. TRINITAS BUANA UTAMA punya gugun baru _CV. Intan Abadi Jaya_Farm Yangyang" xfId="778"/>
    <cellStyle name="a_PT. TRINITAS BUANA UTAMA punya gugun baru _CV. Intan Abadi Jaya_Farm Yangyang_Jl. Cijagra No. 180" xfId="779"/>
    <cellStyle name="a_PT. TRINITAS BUANA UTAMA punya gugun baru _CV. Intan Abadi Jaya_Farm Yangyang_Jl. Cijagra No. 180 ok erik" xfId="780"/>
    <cellStyle name="a_PT. TRINITAS BUANA UTAMA punya gugun baru _CV. Intan Jaya Abadi_Kertajaya, Sukabumi" xfId="781"/>
    <cellStyle name="a_PT. TRINITAS BUANA UTAMA punya gugun baru _CV. Intan Jaya Abadi_Kertajaya, Sukabumi.21.2 M " xfId="782"/>
    <cellStyle name="a_PT. TRINITAS BUANA UTAMA punya gugun baru _CV. Intan Jaya Abadi_Kertajaya, Sukabumi.21.2 M _Jl. Cijagra No. 180" xfId="783"/>
    <cellStyle name="a_PT. TRINITAS BUANA UTAMA punya gugun baru _CV. Intan Jaya Abadi_Kertajaya, Sukabumi.21.2 M _Jl. Cijagra No. 180 ok erik" xfId="784"/>
    <cellStyle name="a_PT. TRINITAS BUANA UTAMA punya gugun baru _CV. Intan Jaya Abadi_Kertajaya, Sukabumi_Jl. Cijagra No. 180" xfId="785"/>
    <cellStyle name="a_PT. TRINITAS BUANA UTAMA punya gugun baru _CV. Intan Jaya Abadi_Kertajaya, Sukabumi_Jl. Cijagra No. 180 ok erik" xfId="786"/>
    <cellStyle name="a_PT. TRINITAS BUANA UTAMA punya gugun baru _DJANG WAHYUDIN_KO. Kopo Permai III Blok 45A No. 10 - Kab. Bandung" xfId="787"/>
    <cellStyle name="a_PT. TRINITAS BUANA UTAMA punya gugun baru _Djong Sin Tjoy" xfId="788"/>
    <cellStyle name="a_PT. TRINITAS BUANA UTAMA punya gugun baru _DRAFT ANALISA BANGUNAN (BTB MAPPI 2013)" xfId="789"/>
    <cellStyle name="a_PT. TRINITAS BUANA UTAMA punya gugun baru _FORMAT BCA SKH TK 1 SHM" xfId="790"/>
    <cellStyle name="a_PT. TRINITAS BUANA UTAMA punya gugun baru _Format bjb syariah" xfId="791"/>
    <cellStyle name="a_PT. TRINITAS BUANA UTAMA punya gugun baru _Format BJBS" xfId="792"/>
    <cellStyle name="a_PT. TRINITAS BUANA UTAMA punya gugun baru _Format TB BJB 2 Sertifikat 1 Bangunan" xfId="793"/>
    <cellStyle name="a_PT. TRINITAS BUANA UTAMA punya gugun baru _Format TB BJB 2 Sertifikat 2 Bangunan" xfId="794"/>
    <cellStyle name="a_PT. TRINITAS BUANA UTAMA punya gugun baru _Format TK BJB 1 Sertifikat" xfId="795"/>
    <cellStyle name="a_PT. TRINITAS BUANA UTAMA punya gugun baru _Format TK BJB 2 Sertifikat" xfId="796"/>
    <cellStyle name="a_PT. TRINITAS BUANA UTAMA punya gugun baru _H. Apud Saripudin_Jl. Pikiran Rakyat No. 43" xfId="797"/>
    <cellStyle name="a_PT. TRINITAS BUANA UTAMA punya gugun baru _H. Apud Saripudin_Jl. Pikiran Rakyat No. 43_Jl. Cijagra No. 180" xfId="798"/>
    <cellStyle name="a_PT. TRINITAS BUANA UTAMA punya gugun baru _H. Apud Saripudin_Jl. Pikiran Rakyat No. 43_Jl. Cijagra No. 180 ok erik" xfId="799"/>
    <cellStyle name="a_PT. TRINITAS BUANA UTAMA punya gugun baru _H. Apud Saripudin_Jl. Pikiran Rakyat No. 43_Kawasan Industri Pulo Gadung, Jl. Pulo Lentut, Blok II F, No. 3" xfId="800"/>
    <cellStyle name="a_PT. TRINITAS BUANA UTAMA punya gugun baru _H. DEDE HERMAWAN. JLN RANCAMANYAR NO. 119. BANDUNG" xfId="801"/>
    <cellStyle name="a_PT. TRINITAS BUANA UTAMA punya gugun baru _H. DEDE HERMAWAN. JLN RANCAMANYAR NO. 119. BANDUNG_Kawasan Industri Pulo Gadung, Jl. Pulo Lentut, Blok II F, No. 3" xfId="802"/>
    <cellStyle name="a_PT. TRINITAS BUANA UTAMA punya gugun baru _HARYANTO_LEUWI GAJAH NO. 97" xfId="803"/>
    <cellStyle name="a_PT. TRINITAS BUANA UTAMA punya gugun baru _Heryanto" xfId="804"/>
    <cellStyle name="a_PT. TRINITAS BUANA UTAMA punya gugun baru _IMAS HALIMAH_Jl. Pramuka RT03 RW01 Karang Tengah - Kab. Cianjur" xfId="805"/>
    <cellStyle name="a_PT. TRINITAS BUANA UTAMA punya gugun baru _JADID SURPRIANTO_Blok Ciputri RT.03 RW.05 Cigugur Tengah, Kota Cimahi" xfId="806"/>
    <cellStyle name="a_PT. TRINITAS BUANA UTAMA punya gugun baru _Jl. Cijagra No. 180" xfId="807"/>
    <cellStyle name="a_PT. TRINITAS BUANA UTAMA punya gugun baru _Jl. Cijagra No. 180 ok erik" xfId="808"/>
    <cellStyle name="a_PT. TRINITAS BUANA UTAMA punya gugun baru _Kawasan Industri Pulo Gadung, Jl. Pulo Lentut, Blok II F, No. 3" xfId="809"/>
    <cellStyle name="a_PT. TRINITAS BUANA UTAMA punya gugun baru _Lucky Gunawan_Komp. Mekar Sari Jl. Mekar Makmur No. 16" xfId="810"/>
    <cellStyle name="a_PT. TRINITAS BUANA UTAMA punya gugun baru _MEMED IDAR" xfId="811"/>
    <cellStyle name="a_PT. TRINITAS BUANA UTAMA punya gugun baru _MEMED IDAR_Jl. Cijagra No. 180" xfId="812"/>
    <cellStyle name="a_PT. TRINITAS BUANA UTAMA punya gugun baru _MEMED IDAR_Jl. Cijagra No. 180 ok erik" xfId="813"/>
    <cellStyle name="a_PT. TRINITAS BUANA UTAMA punya gugun baru _MUHARRAM_Jl. Soreang Banjaran No. 99, Kab. Bandung" xfId="814"/>
    <cellStyle name="a_PT. TRINITAS BUANA UTAMA punya gugun baru _SUMANTO_Ko. Griya Antariksa Asri No. 25 - Kab. Bandung" xfId="815"/>
    <cellStyle name="a_PT. TRINITAS BUANA UTAMA punya gugun baru _YANA PRINA" xfId="816"/>
    <cellStyle name="a_Resume PT. Kellay Indonesia 14 Mei 2008 ...3" xfId="817"/>
    <cellStyle name="a_Resume PT. Kellay Indonesia 14 Mei 2008 ...3_00 PT. ANGGADITA RUMAH TINGGAL  Komplek BPPT,Jalan teknologi 10, Rt 001 Rw 003, Meruya Utara, Kembangan, Jakarta Barat " xfId="818"/>
    <cellStyle name="a_Resume PT. Kellay Indonesia 14 Mei 2008 ...3_Data Base Kandang Ayam 2013" xfId="819"/>
    <cellStyle name="a_Resume PT. Kellay Indonesia 14 Mei 2008 ...3_Mesin- Mesin dan Alat Berat" xfId="820"/>
    <cellStyle name="a_ReV_Budiman Tanumiharja vila  Istana Bunga J1" xfId="821"/>
    <cellStyle name="a_Sien Liang An Handoko" xfId="822"/>
    <cellStyle name="a_Sien Liang An Handoko_DRAFT ANALISA BANGUNAN (BTB MAPPI 2013)" xfId="823"/>
    <cellStyle name="a_Sien Liang An Handoko_OHIM SUNARYA_Jl. Moch. Sahri No. 144 Mandalajati, Bandung" xfId="824"/>
    <cellStyle name="a_Sofitel" xfId="825"/>
    <cellStyle name="a_SPBU 34-42113 JL. JENDERAL SUDIRMAN SERANG BANTEN" xfId="826"/>
    <cellStyle name="a_SPBU 34-42113 JL. JENDERAL SUDIRMAN SERANG BANTEN_00 PT. ANGGADITA RUMAH TINGGAL  Komplek BPPT,Jalan teknologi 10, Rt 001 Rw 003, Meruya Utara, Kembangan, Jakarta Barat " xfId="827"/>
    <cellStyle name="a_SPBU 34-42113 JL. JENDERAL SUDIRMAN SERANG BANTEN_Data Base Kandang Ayam 2013" xfId="828"/>
    <cellStyle name="a_SPBU 34-42113 JL. JENDERAL SUDIRMAN SERANG BANTEN_Mesin- Mesin dan Alat Berat" xfId="829"/>
    <cellStyle name="a_SPBU 34-42125 Jl. Raya Palka Km. 4,5 Sindangsari, Ciomas,serang ok" xfId="830"/>
    <cellStyle name="a_SPBU 34-42125 Jl. Raya Palka Km. 4,5 Sindangsari, Ciomas,serang ok_00 PT. ANGGADITA RUMAH TINGGAL  Komplek BPPT,Jalan teknologi 10, Rt 001 Rw 003, Meruya Utara, Kembangan, Jakarta Barat " xfId="831"/>
    <cellStyle name="a_SPBU 34-42125 Jl. Raya Palka Km. 4,5 Sindangsari, Ciomas,serang ok_Data Base Kandang Ayam 2013" xfId="832"/>
    <cellStyle name="a_SPBU 34-42125 Jl. Raya Palka Km. 4,5 Sindangsari, Ciomas,serang ok_Mesin- Mesin dan Alat Berat" xfId="833"/>
    <cellStyle name="a_SUMANTO_Ko. Griya Antariksa Asri No. 25 - Kab. Bandung" xfId="834"/>
    <cellStyle name="a_Surat " xfId="835"/>
    <cellStyle name="a_Surat _016_RUSTANDI(2)_Jl. Cihanjuang Rt001 Rw. 008 Cimahi" xfId="836"/>
    <cellStyle name="a_Surat _0XX_Dede Nurhadi" xfId="837"/>
    <cellStyle name="a_Surat _0XX_Dede Nurhadi_DRAFT ANALISA BANGUNAN (BTB MAPPI 2013)" xfId="838"/>
    <cellStyle name="a_Surat _0XX_Dede Nurhadi_OHIM SUNARYA_Jl. Moch. Sahri No. 144 Mandalajati, Bandung" xfId="839"/>
    <cellStyle name="a_Surat _1" xfId="840"/>
    <cellStyle name="a_Surat _1106_BAMBANG TRI WINAMO_Ko. Bumi Harapan Blok CC11 No. 21_Final" xfId="841"/>
    <cellStyle name="a_Surat _DJANG WAHYUDIN_KO. Kopo Permai III Blok 45A No. 10 - Kab. Bandung" xfId="842"/>
    <cellStyle name="a_Surat _DRAFT ANALISA BANGUNAN (BTB MAPPI 2013)" xfId="843"/>
    <cellStyle name="a_Surat _FORMAT BCA SKH TK 1 SHM" xfId="844"/>
    <cellStyle name="a_Surat _Format bjb syariah" xfId="845"/>
    <cellStyle name="a_Surat _Format BJBS" xfId="846"/>
    <cellStyle name="a_Surat _Format TB BJB 2 Sertifikat 1 Bangunan" xfId="847"/>
    <cellStyle name="a_Surat _Format TB BJB 2 Sertifikat 2 Bangunan" xfId="848"/>
    <cellStyle name="a_Surat _Format TK BJB 1 Sertifikat" xfId="849"/>
    <cellStyle name="a_Surat _Format TK BJB 2 Sertifikat" xfId="850"/>
    <cellStyle name="a_Surat _Heryanto" xfId="851"/>
    <cellStyle name="a_Surat _IMAS HALIMAH_Jl. Pramuka RT03 RW01 Karang Tengah - Kab. Cianjur" xfId="852"/>
    <cellStyle name="a_Surat _JADID SURPRIANTO_Blok Ciputri RT.03 RW.05 Cigugur Tengah, Kota Cimahi" xfId="853"/>
    <cellStyle name="a_Surat _MUHARRAM_Jl. Soreang Banjaran No. 99, Kab. Bandung" xfId="854"/>
    <cellStyle name="a_Surat _SUMANTO_Ko. Griya Antariksa Asri No. 25 - Kab. Bandung" xfId="855"/>
    <cellStyle name="a_Uraian PT. Sebarsari Semesta ok" xfId="856"/>
    <cellStyle name="a_Uraian PT. Sebarsari Semesta ok_000 Bapak Risanggeni Jl. Raya Ciputat - Parung Rt.001, Rw.04 Serua Bojongsari Depok" xfId="857"/>
    <cellStyle name="a_Uraian PT. Sebarsari Semesta ok_000 PT sinar pamukan permai" xfId="858"/>
    <cellStyle name="a_Uraian PT. Sebarsari Semesta ok_000 PT sinar pamukan permai_Kawasan Industri Pulo Gadung, Jl. Pulo Lentut, Blok II F, No. 3" xfId="859"/>
    <cellStyle name="a_Uraian PT. Sebarsari Semesta ok_000 PT. LATEXIA INDONESIA" xfId="860"/>
    <cellStyle name="a_Uraian PT. Sebarsari Semesta ok_000 PT. LATEXIA INDONESIA_Kawasan Industri Pulo Gadung, Jl. Pulo Lentut, Blok II F, No. 3" xfId="861"/>
    <cellStyle name="a_Uraian PT. Sebarsari Semesta ok_BCT-kertas kerja budiman" xfId="862"/>
    <cellStyle name="a_Uraian PT. Sebarsari Semesta ok_BCT-kertas kerja budiman_Kawasan Industri Pulo Gadung, Jl. Pulo Lentut, Blok II F, No. 3" xfId="863"/>
    <cellStyle name="a_Uraian PT. Sebarsari Semesta ok_BCT-kertas kerja kertas padalarang" xfId="864"/>
    <cellStyle name="a_Uraian PT. Sebarsari Semesta ok_BCT-kertas kerja kertas padalarang_Kawasan Industri Pulo Gadung, Jl. Pulo Lentut, Blok II F, No. 3" xfId="865"/>
    <cellStyle name="a_Uraian PT. Sebarsari Semesta ok_BCT-kertas kerja kopindosat" xfId="866"/>
    <cellStyle name="a_Uraian PT. Sebarsari Semesta ok_BCT-kertas kerja kopindosat_Kawasan Industri Pulo Gadung, Jl. Pulo Lentut, Blok II F, No. 3" xfId="867"/>
    <cellStyle name="a_Uraian PT. Sebarsari Semesta ok_BCT-kertas kerja pd kertas padalarang ok" xfId="868"/>
    <cellStyle name="a_Uraian PT. Sebarsari Semesta ok_BCT-kertas kerja said (rest area 147)" xfId="869"/>
    <cellStyle name="a_Uraian PT. Sebarsari Semesta ok_BCT-kertas kerja said (rest area 147)_Kawasan Industri Pulo Gadung, Jl. Pulo Lentut, Blok II F, No. 3" xfId="870"/>
    <cellStyle name="a_Uraian PT. Sebarsari Semesta ok_cover  perikanan" xfId="871"/>
    <cellStyle name="a_Uraian PT. Sebarsari Semesta ok_cover  perikanan_Kawasan Industri Pulo Gadung, Jl. Pulo Lentut, Blok II F, No. 3" xfId="872"/>
    <cellStyle name="a_Uraian PT. Sebarsari Semesta ok_Jl. Cijagra No. 180" xfId="873"/>
    <cellStyle name="a_Uraian PT. Sebarsari Semesta ok_Jl. Cijagra No. 180 ok erik" xfId="874"/>
    <cellStyle name="a_Uraian PT. Sebarsari Semesta ok_Kawasan Industri Pulo Gadung, Jl. Pulo Lentut, Blok II F, No. 3" xfId="875"/>
    <cellStyle name="a_Uraian PT. Sebarsari Semesta ok_Nilai Pabrik Paiton 21-06-10" xfId="876"/>
    <cellStyle name="a_Uraian PT. Sebarsari Semesta ok_PT. Kalsindo Karyatama final...2" xfId="877"/>
    <cellStyle name="a_Uraian PT. Sebarsari Semesta ok_PT. Kalsindo Karyatama final...2_Kawasan Industri Pulo Gadung, Jl. Pulo Lentut, Blok II F, No. 3" xfId="878"/>
    <cellStyle name="a_Uraian PT. Wahana Cigudeg Bogor revisi 301009ke-2" xfId="879"/>
    <cellStyle name="a_Uraian PT. Wahana Cigudeg Bogor revisi 301009ke-2_00 PT. ANGGADITA RUMAH TINGGAL  Komplek BPPT,Jalan teknologi 10, Rt 001 Rw 003, Meruya Utara, Kembangan, Jakarta Barat " xfId="880"/>
    <cellStyle name="a_Uraian PT. Wahana Cigudeg Bogor revisi 301009ke-2_000 Bapak Risanggeni Jl. Raya Ciputat - Parung Rt.001, Rw.04 Serua Bojongsari Depok" xfId="881"/>
    <cellStyle name="a_Uraian PT. Wahana Cigudeg Bogor revisi 301009ke-2_016_RUSTANDI(2)_Jl. Cihanjuang Rt001 Rw. 008 Cimahi" xfId="882"/>
    <cellStyle name="a_Uraian PT. Wahana Cigudeg Bogor revisi 301009ke-2_Cv. Central Presindo Utama_Siloa No. 17" xfId="883"/>
    <cellStyle name="a_Uraian PT. Wahana Cigudeg Bogor revisi 301009ke-2_Data Base Kandang Ayam 2013" xfId="884"/>
    <cellStyle name="a_Uraian PT. Wahana Cigudeg Bogor revisi 301009ke-2_DRAFT ANALISA BANGUNAN (BTB MAPPI 2013)" xfId="885"/>
    <cellStyle name="a_Uraian PT. Wahana Cigudeg Bogor revisi 301009ke-2_Format BCA 2011" xfId="886"/>
    <cellStyle name="a_Uraian PT. Wahana Cigudeg Bogor revisi 301009ke-2_FORMAT BCA SKH TK 1 SHM" xfId="887"/>
    <cellStyle name="a_Uraian PT. Wahana Cigudeg Bogor revisi 301009ke-2_JADID SURPRIANTO_Blok Ciputri RT.03 RW.05 Cigugur Tengah, Kota Cimahi" xfId="888"/>
    <cellStyle name="a_Uraian PT. Wahana Cigudeg Bogor revisi 301009ke-2_Jony Saragi Komp. Ruko Vila Taman Bandara Blok N No.32,33,35  Tangerang-JO Mandiri Palembang-review" xfId="889"/>
    <cellStyle name="a_Uraian PT. Wahana Cigudeg Bogor revisi 301009ke-2_Mesin- Mesin dan Alat Berat" xfId="890"/>
    <cellStyle name="a_Uraian PT. Wahana Cigudeg Bogor revisi 301009ke-2_Nilai Asuransi" xfId="891"/>
    <cellStyle name="a_Uraian PT. Wahana Cigudeg Bogor revisi 301009ke-2_OHIM SUNARYA_Jl. Moch. Sahri No. 144 Mandalajati, Bandung" xfId="892"/>
    <cellStyle name="a_Uraian PT. Wahana Cigudeg Bogor revisi 301009ke-2_Sofitel" xfId="893"/>
    <cellStyle name="a_Uraian PT. Wahana Cigudeg Bogor revisi 301009ke-2_XXX. Jony Saragi Komp. Ruko Vila Taman Bandara Blok N No.32,33,35  Tangerang" xfId="894"/>
    <cellStyle name="a_WP-hotel sari ater" xfId="895"/>
    <cellStyle name="a_YANA PRINA" xfId="896"/>
    <cellStyle name="a1" xfId="897"/>
    <cellStyle name="Accent1 - 20%" xfId="898"/>
    <cellStyle name="Accent1 - 40%" xfId="899"/>
    <cellStyle name="Accent1 - 60%" xfId="900"/>
    <cellStyle name="Accent2 - 20%" xfId="901"/>
    <cellStyle name="Accent2 - 40%" xfId="902"/>
    <cellStyle name="Accent2 - 60%" xfId="903"/>
    <cellStyle name="Accent3 - 20%" xfId="904"/>
    <cellStyle name="Accent3 - 40%" xfId="905"/>
    <cellStyle name="Accent3 - 60%" xfId="906"/>
    <cellStyle name="Accent4 - 20%" xfId="907"/>
    <cellStyle name="Accent4 - 40%" xfId="908"/>
    <cellStyle name="Accent4 - 60%" xfId="909"/>
    <cellStyle name="Accent5 - 20%" xfId="910"/>
    <cellStyle name="Accent5 - 40%" xfId="911"/>
    <cellStyle name="Accent5 - 60%" xfId="912"/>
    <cellStyle name="Accent6 - 20%" xfId="913"/>
    <cellStyle name="Accent6 - 40%" xfId="914"/>
    <cellStyle name="Accent6 - 60%" xfId="915"/>
    <cellStyle name="active" xfId="916"/>
    <cellStyle name="ÅëÈ­ [0]_±âÅ¸" xfId="917"/>
    <cellStyle name="ÅëÈ­_±âÅ¸" xfId="918"/>
    <cellStyle name="All Around Borders" xfId="919"/>
    <cellStyle name="Arial10" xfId="920"/>
    <cellStyle name="ÄÞ¸¶ [0]_±âÅ¸" xfId="921"/>
    <cellStyle name="ÄÞ¸¶_±âÅ¸" xfId="922"/>
    <cellStyle name="Border" xfId="923"/>
    <cellStyle name="Bottom Border" xfId="924"/>
    <cellStyle name="Bottom Left Border" xfId="925"/>
    <cellStyle name="Bottom Right Border" xfId="926"/>
    <cellStyle name="Bottom Right Corner" xfId="927"/>
    <cellStyle name="Ç¥ÁØ_¿¬°£´©°è¿¹»ó" xfId="928"/>
    <cellStyle name="Calc Currency (0)" xfId="929"/>
    <cellStyle name="Calc Currency (2)" xfId="930"/>
    <cellStyle name="Calc Percent (0)" xfId="931"/>
    <cellStyle name="Calc Percent (1)" xfId="932"/>
    <cellStyle name="Calc Percent (2)" xfId="933"/>
    <cellStyle name="Calc Units (0)" xfId="934"/>
    <cellStyle name="Calc Units (1)" xfId="935"/>
    <cellStyle name="Calc Units (2)" xfId="936"/>
    <cellStyle name="Centered Heading" xfId="937"/>
    <cellStyle name="Code" xfId="938"/>
    <cellStyle name="Code Section" xfId="939"/>
    <cellStyle name="Column_Title" xfId="940"/>
    <cellStyle name="Comma  - Style1" xfId="941"/>
    <cellStyle name="Comma  - Style2" xfId="942"/>
    <cellStyle name="Comma  - Style3" xfId="943"/>
    <cellStyle name="Comma  - Style4" xfId="944"/>
    <cellStyle name="Comma  - Style5" xfId="945"/>
    <cellStyle name="Comma  - Style6" xfId="946"/>
    <cellStyle name="Comma  - Style7" xfId="947"/>
    <cellStyle name="Comma  - Style8" xfId="948"/>
    <cellStyle name="Comma %" xfId="949"/>
    <cellStyle name="Comma [#.##0]" xfId="950"/>
    <cellStyle name="Comma [0.000]" xfId="951"/>
    <cellStyle name="Comma [0]" xfId="154" builtinId="6"/>
    <cellStyle name="Comma [0] 10" xfId="952"/>
    <cellStyle name="Comma [0] 11" xfId="156"/>
    <cellStyle name="Comma [0] 2" xfId="3"/>
    <cellStyle name="Comma [0] 2 10" xfId="7"/>
    <cellStyle name="Comma [0] 2 11" xfId="8"/>
    <cellStyle name="Comma [0] 2 12" xfId="9"/>
    <cellStyle name="Comma [0] 2 13" xfId="10"/>
    <cellStyle name="Comma [0] 2 14" xfId="11"/>
    <cellStyle name="Comma [0] 2 15" xfId="12"/>
    <cellStyle name="Comma [0] 2 16" xfId="13"/>
    <cellStyle name="Comma [0] 2 17" xfId="14"/>
    <cellStyle name="Comma [0] 2 18" xfId="15"/>
    <cellStyle name="Comma [0] 2 19" xfId="16"/>
    <cellStyle name="Comma [0] 2 2" xfId="17"/>
    <cellStyle name="Comma [0] 2 2 2" xfId="953"/>
    <cellStyle name="Comma [0] 2 20" xfId="18"/>
    <cellStyle name="Comma [0] 2 21" xfId="19"/>
    <cellStyle name="Comma [0] 2 22" xfId="20"/>
    <cellStyle name="Comma [0] 2 23" xfId="21"/>
    <cellStyle name="Comma [0] 2 24" xfId="22"/>
    <cellStyle name="Comma [0] 2 25" xfId="23"/>
    <cellStyle name="Comma [0] 2 26" xfId="24"/>
    <cellStyle name="Comma [0] 2 27" xfId="25"/>
    <cellStyle name="Comma [0] 2 28" xfId="26"/>
    <cellStyle name="Comma [0] 2 29" xfId="27"/>
    <cellStyle name="Comma [0] 2 3" xfId="28"/>
    <cellStyle name="Comma [0] 2 30" xfId="29"/>
    <cellStyle name="Comma [0] 2 31" xfId="30"/>
    <cellStyle name="Comma [0] 2 32" xfId="31"/>
    <cellStyle name="Comma [0] 2 33" xfId="32"/>
    <cellStyle name="Comma [0] 2 34" xfId="33"/>
    <cellStyle name="Comma [0] 2 35" xfId="34"/>
    <cellStyle name="Comma [0] 2 36" xfId="35"/>
    <cellStyle name="Comma [0] 2 37" xfId="36"/>
    <cellStyle name="Comma [0] 2 38" xfId="37"/>
    <cellStyle name="Comma [0] 2 39" xfId="38"/>
    <cellStyle name="Comma [0] 2 4" xfId="39"/>
    <cellStyle name="Comma [0] 2 40" xfId="40"/>
    <cellStyle name="Comma [0] 2 41" xfId="6"/>
    <cellStyle name="Comma [0] 2 41 2" xfId="149"/>
    <cellStyle name="Comma [0] 2 5" xfId="41"/>
    <cellStyle name="Comma [0] 2 5 2" xfId="42"/>
    <cellStyle name="Comma [0] 2 6" xfId="43"/>
    <cellStyle name="Comma [0] 2 6 2" xfId="44"/>
    <cellStyle name="Comma [0] 2 6 3" xfId="45"/>
    <cellStyle name="Comma [0] 2 7" xfId="46"/>
    <cellStyle name="Comma [0] 2 8" xfId="47"/>
    <cellStyle name="Comma [0] 2 9" xfId="48"/>
    <cellStyle name="Comma [0] 2_DRAFT ANALISA BANGUNAN (BTB MAPPI 2013)" xfId="954"/>
    <cellStyle name="Comma [0] 3" xfId="49"/>
    <cellStyle name="Comma [0] 3 2" xfId="955"/>
    <cellStyle name="Comma [0] 4" xfId="50"/>
    <cellStyle name="Comma [0] 4 2" xfId="956"/>
    <cellStyle name="Comma [0] 4 3" xfId="159"/>
    <cellStyle name="Comma [0] 5" xfId="957"/>
    <cellStyle name="Comma [0] 5 2" xfId="958"/>
    <cellStyle name="Comma [0] 5 3" xfId="959"/>
    <cellStyle name="Comma [0] 6" xfId="158"/>
    <cellStyle name="Comma [0] 7" xfId="960"/>
    <cellStyle name="Comma [0] 8" xfId="961"/>
    <cellStyle name="Comma [0] 9" xfId="962"/>
    <cellStyle name="Comma [00]" xfId="963"/>
    <cellStyle name="Comma [000]" xfId="964"/>
    <cellStyle name="Comma 0" xfId="965"/>
    <cellStyle name="Comma 0*" xfId="966"/>
    <cellStyle name="Comma 0.0" xfId="967"/>
    <cellStyle name="Comma 0.0%" xfId="968"/>
    <cellStyle name="Comma 0.00" xfId="969"/>
    <cellStyle name="Comma 0.00%" xfId="970"/>
    <cellStyle name="Comma 0.000" xfId="971"/>
    <cellStyle name="Comma 0.000%" xfId="972"/>
    <cellStyle name="Comma 10" xfId="146"/>
    <cellStyle name="Comma 11" xfId="147"/>
    <cellStyle name="Comma 12" xfId="143"/>
    <cellStyle name="Comma 2" xfId="2"/>
    <cellStyle name="Comma 2 10" xfId="52"/>
    <cellStyle name="Comma 2 11" xfId="53"/>
    <cellStyle name="Comma 2 12" xfId="54"/>
    <cellStyle name="Comma 2 13" xfId="55"/>
    <cellStyle name="Comma 2 14" xfId="56"/>
    <cellStyle name="Comma 2 15" xfId="57"/>
    <cellStyle name="Comma 2 16" xfId="58"/>
    <cellStyle name="Comma 2 17" xfId="59"/>
    <cellStyle name="Comma 2 18" xfId="60"/>
    <cellStyle name="Comma 2 19" xfId="61"/>
    <cellStyle name="Comma 2 2" xfId="62"/>
    <cellStyle name="Comma 2 2 2" xfId="973"/>
    <cellStyle name="Comma 2 20" xfId="63"/>
    <cellStyle name="Comma 2 21" xfId="64"/>
    <cellStyle name="Comma 2 22" xfId="65"/>
    <cellStyle name="Comma 2 23" xfId="66"/>
    <cellStyle name="Comma 2 24" xfId="67"/>
    <cellStyle name="Comma 2 25" xfId="68"/>
    <cellStyle name="Comma 2 26" xfId="69"/>
    <cellStyle name="Comma 2 27" xfId="70"/>
    <cellStyle name="Comma 2 28" xfId="71"/>
    <cellStyle name="Comma 2 29" xfId="72"/>
    <cellStyle name="Comma 2 3" xfId="73"/>
    <cellStyle name="Comma 2 30" xfId="74"/>
    <cellStyle name="Comma 2 31" xfId="75"/>
    <cellStyle name="Comma 2 32" xfId="76"/>
    <cellStyle name="Comma 2 33" xfId="77"/>
    <cellStyle name="Comma 2 34" xfId="78"/>
    <cellStyle name="Comma 2 35" xfId="79"/>
    <cellStyle name="Comma 2 36" xfId="80"/>
    <cellStyle name="Comma 2 37" xfId="81"/>
    <cellStyle name="Comma 2 38" xfId="51"/>
    <cellStyle name="Comma 2 38 2" xfId="150"/>
    <cellStyle name="Comma 2 4" xfId="82"/>
    <cellStyle name="Comma 2 5" xfId="83"/>
    <cellStyle name="Comma 2 6" xfId="84"/>
    <cellStyle name="Comma 2 7" xfId="85"/>
    <cellStyle name="Comma 2 8" xfId="86"/>
    <cellStyle name="Comma 2 9" xfId="87"/>
    <cellStyle name="Comma 2_penilaian jual BNP Cirebon" xfId="974"/>
    <cellStyle name="Comma 3" xfId="88"/>
    <cellStyle name="Comma 3 2" xfId="89"/>
    <cellStyle name="Comma 3 3" xfId="975"/>
    <cellStyle name="Comma 4" xfId="90"/>
    <cellStyle name="Comma 5" xfId="4"/>
    <cellStyle name="Comma 5 2" xfId="151"/>
    <cellStyle name="Comma 5 3" xfId="976"/>
    <cellStyle name="Comma 6" xfId="5"/>
    <cellStyle name="Comma 6 2" xfId="977"/>
    <cellStyle name="Comma 7" xfId="144"/>
    <cellStyle name="Comma 8" xfId="142"/>
    <cellStyle name="Comma 8 2" xfId="162"/>
    <cellStyle name="Comma 9" xfId="145"/>
    <cellStyle name="Comma0" xfId="978"/>
    <cellStyle name="Company Name" xfId="979"/>
    <cellStyle name="CR Comma" xfId="980"/>
    <cellStyle name="CR Currency" xfId="981"/>
    <cellStyle name="Credit" xfId="982"/>
    <cellStyle name="Credit subtotal" xfId="983"/>
    <cellStyle name="Credit Total" xfId="984"/>
    <cellStyle name="Currency %" xfId="985"/>
    <cellStyle name="Currency (0.00)" xfId="986"/>
    <cellStyle name="Currency [0]" xfId="153" builtinId="7"/>
    <cellStyle name="Currency [0] 2" xfId="987"/>
    <cellStyle name="Currency [00]" xfId="988"/>
    <cellStyle name="Currency 0" xfId="989"/>
    <cellStyle name="Currency 0.0" xfId="990"/>
    <cellStyle name="Currency 0.0%" xfId="991"/>
    <cellStyle name="Currency 0.0_TB-PT Kiani 30 September 2005 (updated1)" xfId="992"/>
    <cellStyle name="Currency 0.00" xfId="993"/>
    <cellStyle name="Currency 0.00%" xfId="994"/>
    <cellStyle name="Currency 0.00_TB-PT Kiani 30 September 2005 (updated1)" xfId="995"/>
    <cellStyle name="Currency 0.000" xfId="996"/>
    <cellStyle name="Currency 0.000%" xfId="997"/>
    <cellStyle name="Currency 0.000_TB-PT Kiani 30 September 2005 (updated1)" xfId="998"/>
    <cellStyle name="Currency 2" xfId="999"/>
    <cellStyle name="Currency 2 2" xfId="1000"/>
    <cellStyle name="Currency 2_Analisa Pasar Baru revisi 1" xfId="1001"/>
    <cellStyle name="Currency 3" xfId="1002"/>
    <cellStyle name="Currency0" xfId="1003"/>
    <cellStyle name="custom" xfId="1004"/>
    <cellStyle name="Custom - Style1" xfId="1005"/>
    <cellStyle name="Custom - Style8" xfId="1006"/>
    <cellStyle name="custom_019_ALI AHMAD MUNARDI_JL.GALUMPIT BBK KINIM RT. 02 RW. 15" xfId="1007"/>
    <cellStyle name="Data   - Style2" xfId="1008"/>
    <cellStyle name="DataPilot Category" xfId="1009"/>
    <cellStyle name="DataPilot Result" xfId="1010"/>
    <cellStyle name="DataPilot Value" xfId="1011"/>
    <cellStyle name="Date" xfId="1012"/>
    <cellStyle name="Date Aligned" xfId="1013"/>
    <cellStyle name="Date Short" xfId="1014"/>
    <cellStyle name="Date_019_ALI AHMAD MUNARDI_JL.GALUMPIT BBK KINIM RT. 02 RW. 15" xfId="1015"/>
    <cellStyle name="Debit" xfId="1016"/>
    <cellStyle name="Debit subtotal" xfId="1017"/>
    <cellStyle name="Debit Total" xfId="1018"/>
    <cellStyle name="Dezimal [0]_laroux" xfId="1019"/>
    <cellStyle name="Dezimal_laroux" xfId="1020"/>
    <cellStyle name="Dotted Line" xfId="1021"/>
    <cellStyle name="Emphasis 1" xfId="1022"/>
    <cellStyle name="Emphasis 2" xfId="1023"/>
    <cellStyle name="Emphasis 3" xfId="1024"/>
    <cellStyle name="Enter Currency (0)" xfId="1025"/>
    <cellStyle name="Enter Currency (2)" xfId="1026"/>
    <cellStyle name="Enter Units (0)" xfId="1027"/>
    <cellStyle name="Enter Units (1)" xfId="1028"/>
    <cellStyle name="Enter Units (2)" xfId="1029"/>
    <cellStyle name="Euro" xfId="1030"/>
    <cellStyle name="Excel_BuiltIn_Comma 1" xfId="1031"/>
    <cellStyle name="F2" xfId="1032"/>
    <cellStyle name="F3" xfId="1033"/>
    <cellStyle name="F4" xfId="1034"/>
    <cellStyle name="F5" xfId="1035"/>
    <cellStyle name="F6" xfId="1036"/>
    <cellStyle name="F7" xfId="1037"/>
    <cellStyle name="F8" xfId="1038"/>
    <cellStyle name="Fanny" xfId="1039"/>
    <cellStyle name="ferdi" xfId="1040"/>
    <cellStyle name="Fixed" xfId="1041"/>
    <cellStyle name="Footnote" xfId="1042"/>
    <cellStyle name="Grey" xfId="1043"/>
    <cellStyle name="grs" xfId="1044"/>
    <cellStyle name="Hard Percent" xfId="1045"/>
    <cellStyle name="Header" xfId="1046"/>
    <cellStyle name="Header1" xfId="1047"/>
    <cellStyle name="Header2" xfId="1048"/>
    <cellStyle name="Heading" xfId="1049"/>
    <cellStyle name="Heading 1 2" xfId="1050"/>
    <cellStyle name="Heading 2 2" xfId="1051"/>
    <cellStyle name="Heading No Underline" xfId="1052"/>
    <cellStyle name="Heading With Underline" xfId="1053"/>
    <cellStyle name="Heading1" xfId="1054"/>
    <cellStyle name="Heading1 1" xfId="1055"/>
    <cellStyle name="Heading1 1 1" xfId="1056"/>
    <cellStyle name="Heading1_@@ Master Mandiri Consumer T  B" xfId="1057"/>
    <cellStyle name="Heading2" xfId="1058"/>
    <cellStyle name="Hyperlink 2" xfId="91"/>
    <cellStyle name="Hyperlink 3" xfId="160"/>
    <cellStyle name="Input [yellow]" xfId="1059"/>
    <cellStyle name="Labels - Style3" xfId="1060"/>
    <cellStyle name="Left Side" xfId="1061"/>
    <cellStyle name="Left, Right Borders" xfId="1062"/>
    <cellStyle name="Link Currency (0)" xfId="1063"/>
    <cellStyle name="Link Currency (2)" xfId="1064"/>
    <cellStyle name="Link Units (0)" xfId="1065"/>
    <cellStyle name="Link Units (1)" xfId="1066"/>
    <cellStyle name="Link Units (2)" xfId="1067"/>
    <cellStyle name="Migliaia (0)" xfId="1068"/>
    <cellStyle name="Multiple" xfId="1069"/>
    <cellStyle name="New Times Roman" xfId="1070"/>
    <cellStyle name="no dec" xfId="1071"/>
    <cellStyle name="Normal" xfId="0" builtinId="0"/>
    <cellStyle name="Normal - Style1" xfId="1072"/>
    <cellStyle name="Normal 10" xfId="1073"/>
    <cellStyle name="Normal 11" xfId="1074"/>
    <cellStyle name="Normal 11 2" xfId="1075"/>
    <cellStyle name="Normal 12" xfId="1076"/>
    <cellStyle name="Normal 13" xfId="1077"/>
    <cellStyle name="Normal 14" xfId="1078"/>
    <cellStyle name="Normal 15" xfId="1079"/>
    <cellStyle name="Normal 17" xfId="1080"/>
    <cellStyle name="Normal 18" xfId="1081"/>
    <cellStyle name="Normal 19" xfId="1082"/>
    <cellStyle name="Normal 2" xfId="1"/>
    <cellStyle name="Normal 2 10" xfId="93"/>
    <cellStyle name="Normal 2 11" xfId="94"/>
    <cellStyle name="Normal 2 12" xfId="95"/>
    <cellStyle name="Normal 2 13" xfId="96"/>
    <cellStyle name="Normal 2 14" xfId="97"/>
    <cellStyle name="Normal 2 15" xfId="98"/>
    <cellStyle name="Normal 2 16" xfId="99"/>
    <cellStyle name="Normal 2 17" xfId="100"/>
    <cellStyle name="Normal 2 18" xfId="101"/>
    <cellStyle name="Normal 2 19" xfId="102"/>
    <cellStyle name="Normal 2 2" xfId="103"/>
    <cellStyle name="Normal 2 2 2" xfId="1083"/>
    <cellStyle name="Normal 2 2 2 2" xfId="1084"/>
    <cellStyle name="Normal 2 2 2 3" xfId="1085"/>
    <cellStyle name="Normal 2 2 3" xfId="1086"/>
    <cellStyle name="Normal 2 2 3 2" xfId="1087"/>
    <cellStyle name="Normal 2 2_DRAFT ANALISA BANGUNAN (BTB MAPPI 2013)" xfId="1088"/>
    <cellStyle name="Normal 2 20" xfId="104"/>
    <cellStyle name="Normal 2 21" xfId="105"/>
    <cellStyle name="Normal 2 22" xfId="106"/>
    <cellStyle name="Normal 2 23" xfId="107"/>
    <cellStyle name="Normal 2 24" xfId="108"/>
    <cellStyle name="Normal 2 25" xfId="109"/>
    <cellStyle name="Normal 2 26" xfId="110"/>
    <cellStyle name="Normal 2 27" xfId="111"/>
    <cellStyle name="Normal 2 28" xfId="112"/>
    <cellStyle name="Normal 2 29" xfId="113"/>
    <cellStyle name="Normal 2 3" xfId="114"/>
    <cellStyle name="Normal 2 3 2" xfId="115"/>
    <cellStyle name="Normal 2 3 3" xfId="116"/>
    <cellStyle name="Normal 2 30" xfId="117"/>
    <cellStyle name="Normal 2 31" xfId="118"/>
    <cellStyle name="Normal 2 32" xfId="119"/>
    <cellStyle name="Normal 2 33" xfId="120"/>
    <cellStyle name="Normal 2 34" xfId="121"/>
    <cellStyle name="Normal 2 35" xfId="122"/>
    <cellStyle name="Normal 2 36" xfId="123"/>
    <cellStyle name="Normal 2 37" xfId="124"/>
    <cellStyle name="Normal 2 38" xfId="125"/>
    <cellStyle name="Normal 2 39" xfId="126"/>
    <cellStyle name="Normal 2 4" xfId="127"/>
    <cellStyle name="Normal 2 4 2 2" xfId="1089"/>
    <cellStyle name="Normal 2 40" xfId="128"/>
    <cellStyle name="Normal 2 41" xfId="92"/>
    <cellStyle name="Normal 2 41 2" xfId="148"/>
    <cellStyle name="Normal 2 42" xfId="157"/>
    <cellStyle name="Normal 2 43" xfId="163"/>
    <cellStyle name="Normal 2 5" xfId="129"/>
    <cellStyle name="Normal 2 6" xfId="130"/>
    <cellStyle name="Normal 2 7" xfId="131"/>
    <cellStyle name="Normal 2 8" xfId="132"/>
    <cellStyle name="Normal 2 9" xfId="133"/>
    <cellStyle name="Normal 2_1106_BAMBANG TRI WINAMO_Ko. Bumi Harapan Blok CC11 No. 21_Final" xfId="1090"/>
    <cellStyle name="Normal 20" xfId="1091"/>
    <cellStyle name="Normal 21" xfId="1092"/>
    <cellStyle name="Normal 24" xfId="1093"/>
    <cellStyle name="Normal 25" xfId="1094"/>
    <cellStyle name="Normal 26" xfId="1095"/>
    <cellStyle name="Normal 27" xfId="1096"/>
    <cellStyle name="Normal 28" xfId="1097"/>
    <cellStyle name="Normal 29" xfId="1098"/>
    <cellStyle name="Normal 3" xfId="134"/>
    <cellStyle name="Normal 3 2" xfId="135"/>
    <cellStyle name="Normal 3_Jony Saragi Komp. Ruko Vila Taman Bandara Blok N No.32,33,35  Tangerang-JO Mandiri Palembang-review" xfId="1099"/>
    <cellStyle name="Normal 30" xfId="1100"/>
    <cellStyle name="Normal 32" xfId="1101"/>
    <cellStyle name="Normal 33" xfId="1102"/>
    <cellStyle name="Normal 34" xfId="1103"/>
    <cellStyle name="Normal 36" xfId="1104"/>
    <cellStyle name="Normal 38" xfId="1105"/>
    <cellStyle name="Normal 39" xfId="1106"/>
    <cellStyle name="Normal 4" xfId="136"/>
    <cellStyle name="Normal 40" xfId="1107"/>
    <cellStyle name="Normal 41" xfId="1108"/>
    <cellStyle name="Normal 44" xfId="1109"/>
    <cellStyle name="Normal 45" xfId="1110"/>
    <cellStyle name="Normal 47" xfId="1111"/>
    <cellStyle name="Normal 48" xfId="1112"/>
    <cellStyle name="Normal 49" xfId="1113"/>
    <cellStyle name="Normal 5" xfId="152"/>
    <cellStyle name="Normal 5 2" xfId="1114"/>
    <cellStyle name="Normal 5_Sofitel" xfId="1115"/>
    <cellStyle name="Normal 50" xfId="1116"/>
    <cellStyle name="Normal 54" xfId="1117"/>
    <cellStyle name="Normal 55" xfId="1118"/>
    <cellStyle name="Normal 6" xfId="155"/>
    <cellStyle name="Normal 6 2" xfId="1119"/>
    <cellStyle name="Normal 7" xfId="1120"/>
    <cellStyle name="Normal 8" xfId="1121"/>
    <cellStyle name="Normal 82" xfId="1122"/>
    <cellStyle name="Normal 9" xfId="1123"/>
    <cellStyle name="NormalGB" xfId="1124"/>
    <cellStyle name="Note 2" xfId="1125"/>
    <cellStyle name="Page Number" xfId="1126"/>
    <cellStyle name="Percent %" xfId="1127"/>
    <cellStyle name="Percent % Long Underline" xfId="1128"/>
    <cellStyle name="Percent %_Worksheet in  US Financial Statements Ref. Workbook - Single Co" xfId="1129"/>
    <cellStyle name="Percent (0)" xfId="1130"/>
    <cellStyle name="Percent [0]" xfId="1131"/>
    <cellStyle name="Percent [00]" xfId="1132"/>
    <cellStyle name="Percent [2]" xfId="1133"/>
    <cellStyle name="Percent 0.0%" xfId="1134"/>
    <cellStyle name="Percent 0.0% Long Underline" xfId="1135"/>
    <cellStyle name="Percent 0.00%" xfId="1136"/>
    <cellStyle name="Percent 0.00% Long Underline" xfId="1137"/>
    <cellStyle name="Percent 0.000%" xfId="1138"/>
    <cellStyle name="Percent 0.000% Long Underline" xfId="1139"/>
    <cellStyle name="Percent 2" xfId="137"/>
    <cellStyle name="Percent 2 2" xfId="138"/>
    <cellStyle name="Percent 2 2 2" xfId="1140"/>
    <cellStyle name="Percent 2 3" xfId="139"/>
    <cellStyle name="Percent 2 3 2" xfId="140"/>
    <cellStyle name="Percent 2 4" xfId="141"/>
    <cellStyle name="Percent 3" xfId="161"/>
    <cellStyle name="Percent 3 2" xfId="1141"/>
    <cellStyle name="Percent 4" xfId="1142"/>
    <cellStyle name="Percent 5" xfId="1143"/>
    <cellStyle name="Percent 5 2" xfId="1144"/>
    <cellStyle name="Percent 6" xfId="1145"/>
    <cellStyle name="Percent 7" xfId="1146"/>
    <cellStyle name="PrePop Currency (0)" xfId="1147"/>
    <cellStyle name="PrePop Currency (2)" xfId="1148"/>
    <cellStyle name="PrePop Units (0)" xfId="1149"/>
    <cellStyle name="PrePop Units (1)" xfId="1150"/>
    <cellStyle name="PrePop Units (2)" xfId="1151"/>
    <cellStyle name="Reset  - Style4" xfId="1152"/>
    <cellStyle name="Reset  - Style7" xfId="1153"/>
    <cellStyle name="Result 1" xfId="1154"/>
    <cellStyle name="Right Border" xfId="1155"/>
    <cellStyle name="Right Border Num General" xfId="1156"/>
    <cellStyle name="Right Border_@@...MASTER APARTEMENT or RUKO" xfId="1157"/>
    <cellStyle name="Salomon Logo" xfId="1158"/>
    <cellStyle name="sbt2" xfId="1159"/>
    <cellStyle name="Sheet Title" xfId="1160"/>
    <cellStyle name="Standaard_Hol balans december 1998 in NLG" xfId="1161"/>
    <cellStyle name="Style 1" xfId="1162"/>
    <cellStyle name="subt1" xfId="1163"/>
    <cellStyle name="Table  - Style5" xfId="1164"/>
    <cellStyle name="Table  - Style6" xfId="1165"/>
    <cellStyle name="Table Head" xfId="1166"/>
    <cellStyle name="Table Head Aligned" xfId="1167"/>
    <cellStyle name="Table Head Blue" xfId="1168"/>
    <cellStyle name="Table Head Green" xfId="1169"/>
    <cellStyle name="Table Head_Val_Sum_Graph" xfId="1170"/>
    <cellStyle name="Table Text" xfId="1171"/>
    <cellStyle name="Table Title" xfId="1172"/>
    <cellStyle name="Table Units" xfId="1173"/>
    <cellStyle name="Table_Header" xfId="1174"/>
    <cellStyle name="Text 1" xfId="1175"/>
    <cellStyle name="Text Head 1" xfId="1176"/>
    <cellStyle name="Text Indent A" xfId="1177"/>
    <cellStyle name="Text Indent B" xfId="1178"/>
    <cellStyle name="Text Indent C" xfId="1179"/>
    <cellStyle name="Tickmark" xfId="1180"/>
    <cellStyle name="Title  - Style1" xfId="1181"/>
    <cellStyle name="Title  - Style6" xfId="1182"/>
    <cellStyle name="Título" xfId="1183"/>
    <cellStyle name="Top Border" xfId="1184"/>
    <cellStyle name="Top Left Border" xfId="1185"/>
    <cellStyle name="Top, Bottom Borders" xfId="1186"/>
    <cellStyle name="Total 2" xfId="1187"/>
    <cellStyle name="TotCol - Style5" xfId="1188"/>
    <cellStyle name="TotCol - Style7" xfId="1189"/>
    <cellStyle name="TotRow - Style4" xfId="1190"/>
    <cellStyle name="TotRow - Style8" xfId="1191"/>
    <cellStyle name="Underline_Single" xfId="1192"/>
    <cellStyle name="Upper Left Corner" xfId="1193"/>
    <cellStyle name="Upper Right Corner" xfId="1194"/>
    <cellStyle name="Valuta (0)" xfId="1195"/>
    <cellStyle name="Währung [0]_laroux" xfId="1196"/>
    <cellStyle name="Währung_laroux" xfId="1197"/>
    <cellStyle name="x" xfId="1198"/>
    <cellStyle name="x_@@@ Master BCA Baru ( Tanah dan Bangunan )" xfId="1199"/>
    <cellStyle name="x_000 Bapak Risanggeni Jl. Raya Ciputat - Parung Rt.001, Rw.04 Serua Bojongsari Depok" xfId="1200"/>
    <cellStyle name="x_000 pt buaran batavia jaya" xfId="1201"/>
    <cellStyle name="x_000 PT HANA GUBAH LARAS" xfId="1202"/>
    <cellStyle name="x_000 PT sinar pamukan permai" xfId="1203"/>
    <cellStyle name="x_000 PT. LATEXIA INDONESIA" xfId="1204"/>
    <cellStyle name="x_004_PT. Inti Daya Mandiri Pratama" xfId="1205"/>
    <cellStyle name="x_1.Pabrik Tambun ok ( Cid Yang ini yang di print )" xfId="1206"/>
    <cellStyle name="x_1.Pabrik Tambun ok ( Cid Yang ini yang di print )_00 PT. ANGGADITA RUMAH TINGGAL  Komplek BPPT,Jalan teknologi 10, Rt 001 Rw 003, Meruya Utara, Kembangan, Jakarta Barat " xfId="1207"/>
    <cellStyle name="x_1.Pabrik Tambun ok ( Cid Yang ini yang di print )_4-WP-Jl. martadinata" xfId="1208"/>
    <cellStyle name="x_1.Pabrik Tambun ok ( Cid Yang ini yang di print )_5-WP-Jl. raya pemda" xfId="1209"/>
    <cellStyle name="x_1.Pabrik Tambun ok ( Cid Yang ini yang di print )_Data Base Kandang Ayam 2013" xfId="1210"/>
    <cellStyle name="x_1.Pabrik Tambun ok ( Cid Yang ini yang di print )_Kawasan Industri Pulo Gadung, Jl. Pulo Lentut, Blok II F, No. 3" xfId="1211"/>
    <cellStyle name="x_1.Pabrik Tambun ok ( Cid Yang ini yang di print )_Mesin- Mesin dan Alat Berat" xfId="1212"/>
    <cellStyle name="x_2. PT. KENCANA RAYA MEGA PERKASA Menara Imperium Jakarta Selatan" xfId="1213"/>
    <cellStyle name="x_216_PT. BCA Batununggal .tbk" xfId="1214"/>
    <cellStyle name="x_216_PT. BCA Batununggal .tbk_Ir. Salim_Pasar Induk Caringin Blok Ruko C No. 13" xfId="1215"/>
    <cellStyle name="x_239_GANDIE AJIE_TKI II C3 NO.2-3" xfId="1216"/>
    <cellStyle name="x_239_GANDIE AJIE_TKI II C3 NO.2-3_Ir. Salim_Pasar Induk Caringin Blok Ruko C No. 13" xfId="1217"/>
    <cellStyle name="x_31. GRAHA KENCANA SAKTI - Jl. Hanjawar Pacet - Cibadak - Pacet - Cianjur" xfId="1218"/>
    <cellStyle name="x_Andry Tejasukmana" xfId="1219"/>
    <cellStyle name="x_Andry Tejasukmana_102_HM Harris_Surapati Core F-23" xfId="1220"/>
    <cellStyle name="x_BCA_RIJANDO SOLICHIN_LOSARANG INDRAMAYU" xfId="1221"/>
    <cellStyle name="x_BCA_RIJANDO SOLICHIN_LOSARANG INDRAMAYU_1106_BAMBANG TRI WINAMO_Ko. Bumi Harapan Blok CC11 No. 21_Final" xfId="1222"/>
    <cellStyle name="x_BCA_RIJANDO SOLICHIN_LOSARANG INDRAMAYU_DRAFT ANALISA BANGUNAN (BTB MAPPI 2013)" xfId="1223"/>
    <cellStyle name="x_BCA_RIJANDO SOLICHIN_LOSARANG INDRAMAYU_FORMAT BCA SKH TK 1 SHM" xfId="1224"/>
    <cellStyle name="x_BCA_RIJANDO SOLICHIN_LOSARANG INDRAMAYU_Format TB BJB 2 Sertifikat 1 Bangunan" xfId="1225"/>
    <cellStyle name="x_BCA_RIJANDO SOLICHIN_LOSARANG INDRAMAYU_Format TB BJB 2 Sertifikat 2 Bangunan" xfId="1226"/>
    <cellStyle name="x_BCA_RIJANDO SOLICHIN_LOSARANG INDRAMAYU_Format TK BJB 1 Sertifikat" xfId="1227"/>
    <cellStyle name="x_BCA_RIJANDO SOLICHIN_LOSARANG INDRAMAYU_Format TK BJB 2 Sertifikat" xfId="1228"/>
    <cellStyle name="x_BCA_RIJANDO SOLICHIN_LOSARANG INDRAMAYU_IMAS HALIMAH_Jl. Pramuka RT03 RW01 Karang Tengah - Kab. Cianjur" xfId="1229"/>
    <cellStyle name="x_BCA_RIJANDO SOLICHIN_LOSARANG INDRAMAYU_JADID SURPRIANTO_Blok Ciputri RT.03 RW.05 Cigugur Tengah, Kota Cimahi" xfId="1230"/>
    <cellStyle name="x_BCA_RIJANDO SOLICHIN_LOSARANG INDRAMAYU_MUHARRAM_Jl. Soreang Banjaran No. 99, Kab. Bandung" xfId="1231"/>
    <cellStyle name="x_BCA_RIJANDO SOLICHIN_LOSARANG INDRAMAYU_SUMANTO_Ko. Griya Antariksa Asri No. 25 - Kab. Bandung" xfId="1232"/>
    <cellStyle name="x_BCA_YUYUN YUNINGSIH" xfId="1233"/>
    <cellStyle name="x_BCA_YUYUN YUNINGSIH_Jl. Cijagra No. 180" xfId="1234"/>
    <cellStyle name="x_BCA_YUYUN YUNINGSIH_Jl. Cijagra No. 180 ok erik" xfId="1235"/>
    <cellStyle name="x_BCT-kertas kerja" xfId="1236"/>
    <cellStyle name="x_BCT-kertas kerja banten bakti" xfId="1237"/>
    <cellStyle name="x_BCT-kertas kerja banten bakti_00 PT. ANGGADITA RUMAH TINGGAL  Komplek BPPT,Jalan teknologi 10, Rt 001 Rw 003, Meruya Utara, Kembangan, Jakarta Barat " xfId="1238"/>
    <cellStyle name="x_BCT-kertas kerja banten bakti_4-WP-Jl. martadinata" xfId="1239"/>
    <cellStyle name="x_BCT-kertas kerja banten bakti_5-WP-Jl. raya pemda" xfId="1240"/>
    <cellStyle name="x_BCT-kertas kerja banten bakti_Data Base Kandang Ayam 2013" xfId="1241"/>
    <cellStyle name="x_BCT-kertas kerja budiman" xfId="1242"/>
    <cellStyle name="x_BCT-kertas kerja gragejogja" xfId="1243"/>
    <cellStyle name="x_BCT-kertas kerja grageramayana" xfId="1244"/>
    <cellStyle name="x_BCT-kertas kerja grageramayana_000 PT sinar pamukan permai" xfId="1245"/>
    <cellStyle name="x_BCT-kertas kerja grageramayana_000 PT. LATEXIA INDONESIA" xfId="1246"/>
    <cellStyle name="x_BCT-kertas kerja grageramayana_anj binanga-09" xfId="1247"/>
    <cellStyle name="x_BCT-kertas kerja grageramayana_anj binanga-09_000 PT sinar pamukan permai" xfId="1248"/>
    <cellStyle name="x_BCT-kertas kerja grageramayana_anj binanga-09_000 PT. LATEXIA INDONESIA" xfId="1249"/>
    <cellStyle name="x_BCT-kertas kerja grageramayana_anj binanga-09_BCT-kertas kerja budiman" xfId="1250"/>
    <cellStyle name="x_BCT-kertas kerja grageramayana_anj binanga-09_BCT-kertas kerja kertas padalarang" xfId="1251"/>
    <cellStyle name="x_BCT-kertas kerja grageramayana_anj binanga-09_BCT-kertas kerja kopindosat" xfId="1252"/>
    <cellStyle name="x_BCT-kertas kerja grageramayana_anj binanga-09_BCT-kertas kerja pd kertas padalarang ok" xfId="1253"/>
    <cellStyle name="x_BCT-kertas kerja grageramayana_anj binanga-09_BCT-kertas kerja said (rest area 147)" xfId="1254"/>
    <cellStyle name="x_BCT-kertas kerja grageramayana_anj binanga-09_cover  perikanan" xfId="1255"/>
    <cellStyle name="x_BCT-kertas kerja grageramayana_anj binanga-09_PT. Kalsindo Karyatama final...2" xfId="1256"/>
    <cellStyle name="x_BCT-kertas kerja grageramayana_anj sidempuan-09" xfId="1257"/>
    <cellStyle name="x_BCT-kertas kerja grageramayana_anj sidempuan-09_000 PT sinar pamukan permai" xfId="1258"/>
    <cellStyle name="x_BCT-kertas kerja grageramayana_anj sidempuan-09_000 PT. LATEXIA INDONESIA" xfId="1259"/>
    <cellStyle name="x_BCT-kertas kerja grageramayana_anj sidempuan-09_BCT-kertas kerja budiman" xfId="1260"/>
    <cellStyle name="x_BCT-kertas kerja grageramayana_anj sidempuan-09_BCT-kertas kerja kertas padalarang" xfId="1261"/>
    <cellStyle name="x_BCT-kertas kerja grageramayana_anj sidempuan-09_BCT-kertas kerja kopindosat" xfId="1262"/>
    <cellStyle name="x_BCT-kertas kerja grageramayana_anj sidempuan-09_BCT-kertas kerja pd kertas padalarang ok" xfId="1263"/>
    <cellStyle name="x_BCT-kertas kerja grageramayana_anj sidempuan-09_BCT-kertas kerja said (rest area 147)" xfId="1264"/>
    <cellStyle name="x_BCT-kertas kerja grageramayana_anj sidempuan-09_cover  perikanan" xfId="1265"/>
    <cellStyle name="x_BCT-kertas kerja grageramayana_anj sidempuan-09_PT. Kalsindo Karyatama final...2" xfId="1266"/>
    <cellStyle name="x_BCT-kertas kerja grageramayana_babbeland pabrik" xfId="1267"/>
    <cellStyle name="x_BCT-kertas kerja grageramayana_BARU" xfId="1268"/>
    <cellStyle name="x_BCT-kertas kerja grageramayana_BCT-kertas kerja budiman" xfId="1269"/>
    <cellStyle name="x_BCT-kertas kerja grageramayana_BCT-kertas kerja kertas padalarang" xfId="1270"/>
    <cellStyle name="x_BCT-kertas kerja grageramayana_BCT-kertas kerja kopindosat" xfId="1271"/>
    <cellStyle name="x_BCT-kertas kerja grageramayana_BCT-kertas kerja pd kertas padalarang ok" xfId="1272"/>
    <cellStyle name="x_BCT-kertas kerja grageramayana_BCT-kertas kerja said (rest area 147)" xfId="1273"/>
    <cellStyle name="x_BCT-kertas kerja grageramayana_Copy of PT. Cheil Jedang Superfeed_Farm Yangyang_Review deni 2 Email_20 Juli" xfId="1274"/>
    <cellStyle name="x_BCT-kertas kerja grageramayana_cover  perikanan" xfId="1275"/>
    <cellStyle name="x_BCT-kertas kerja grageramayana_CV Intan Jaya Abadi Kertajaya_Farm Sukabumi_Peralatan" xfId="1276"/>
    <cellStyle name="x_BCT-kertas kerja grageramayana_CV Intan Jaya Abadi Kertajaya_Farm Sukabumi_rev" xfId="1277"/>
    <cellStyle name="x_BCT-kertas kerja grageramayana_CV. Intan Abadi Jaya_Farm Yangyang" xfId="1278"/>
    <cellStyle name="x_BCT-kertas kerja grageramayana_CV. Intan Jaya Abadi_Kertajaya, Sukabumi" xfId="1279"/>
    <cellStyle name="x_BCT-kertas kerja grageramayana_CV. Intan Jaya Abadi_Kertajaya, Sukabumi.21.2 M " xfId="1280"/>
    <cellStyle name="x_BCT-kertas kerja grageramayana_H. DEDE HERMAWAN. JLN RANCAMANYAR NO. 119. BANDUNG" xfId="1281"/>
    <cellStyle name="x_BCT-kertas kerja grageramayana_HARYANTO_LEUWI GAJAH NO. 97" xfId="1282"/>
    <cellStyle name="x_BCT-kertas kerja grageramayana_Jl. Rawa Domba" xfId="1283"/>
    <cellStyle name="x_BCT-kertas kerja grageramayana_Lap-PT. Alumindo Berkat Sejahtera" xfId="1284"/>
    <cellStyle name="x_BCT-kertas kerja grageramayana_MEMED IDAR" xfId="1285"/>
    <cellStyle name="x_BCT-kertas kerja grageramayana_Nilai Pabrik Paiton 21-06-10" xfId="1286"/>
    <cellStyle name="x_BCT-kertas kerja grageramayana_NOTARIS YOKO VERRA MOKOAG ( TANAH KOSONG indramayu)" xfId="1287"/>
    <cellStyle name="x_BCT-kertas kerja grageramayana_perikanan jl lodan" xfId="1288"/>
    <cellStyle name="x_BCT-kertas kerja grageramayana_PT. Kalsindo Karyatama final...2" xfId="1289"/>
    <cellStyle name="x_BCT-kertas kerja grageramayana_PT. Kharisma Buana Jaya" xfId="1290"/>
    <cellStyle name="x_BCT-kertas kerja grageramayana_YANA PRINA" xfId="1291"/>
    <cellStyle name="x_BCT-kertas kerja kertas padalarang" xfId="1292"/>
    <cellStyle name="x_BCT-kertas kerja kopindosat" xfId="1293"/>
    <cellStyle name="x_BCT-kertas kerja pd kertas padalarang ok" xfId="1294"/>
    <cellStyle name="x_BCT-kertas kerja said (rest area 147)" xfId="1295"/>
    <cellStyle name="x_BCT-kertas kerja_Cv. Central Presindo Utama_Siloa No. 17" xfId="1296"/>
    <cellStyle name="x_BCT-kertas kerja_Ir. Salim_Pasar Induk Caringin Blok Ruko C No. 13" xfId="1297"/>
    <cellStyle name="x_Copy of @@@ Master BCA Baru ( Tanah dan Bangunan )" xfId="1298"/>
    <cellStyle name="x_Copy of @@@ Master BCA Baru ( Tanah dan Bangunan )_102_HM Harris_Surapati Core F-23" xfId="1299"/>
    <cellStyle name="x_Copy of Lokasi 1 Komplek Dock Tegal, Jl. Jawa No. 5, Mintrangen, Tegal Timur, Tegal, Jawa Tengah ....2" xfId="1300"/>
    <cellStyle name="x_Copy of Lokasi 1 Komplek Dock Tegal, Jl. Jawa No. 5, Mintrangen, Tegal Timur, Tegal, Jawa Tengah ....2_00 PT. ANGGADITA RUMAH TINGGAL  Komplek BPPT,Jalan teknologi 10, Rt 001 Rw 003, Meruya Utara, Kembangan, Jakarta Barat " xfId="1301"/>
    <cellStyle name="x_Copy of Lokasi 1 Komplek Dock Tegal, Jl. Jawa No. 5, Mintrangen, Tegal Timur, Tegal, Jawa Tengah ....2_4-WP-Jl. martadinata" xfId="1302"/>
    <cellStyle name="x_Copy of Lokasi 1 Komplek Dock Tegal, Jl. Jawa No. 5, Mintrangen, Tegal Timur, Tegal, Jawa Tengah ....2_5-WP-Jl. raya pemda" xfId="1303"/>
    <cellStyle name="x_Copy of Lokasi 1 Komplek Dock Tegal, Jl. Jawa No. 5, Mintrangen, Tegal Timur, Tegal, Jawa Tengah ....2_Data Base Kandang Ayam 2013" xfId="1304"/>
    <cellStyle name="x_Copy of Lokasi 1 Komplek Dock Tegal, Jl. Jawa No. 5, Mintrangen, Tegal Timur, Tegal, Jawa Tengah ....2_Kawasan Industri Pulo Gadung, Jl. Pulo Lentut, Blok II F, No. 3" xfId="1305"/>
    <cellStyle name="x_Copy of Lokasi 1 Komplek Dock Tegal, Jl. Jawa No. 5, Mintrangen, Tegal Timur, Tegal, Jawa Tengah ....2_Mesin- Mesin dan Alat Berat" xfId="1306"/>
    <cellStyle name="x_COVER" xfId="1307"/>
    <cellStyle name="x_cover  perikanan" xfId="1308"/>
    <cellStyle name="x_COVER_00 PT. ANGGADITA RUMAH TINGGAL  Komplek BPPT,Jalan teknologi 10, Rt 001 Rw 003, Meruya Utara, Kembangan, Jakarta Barat " xfId="1309"/>
    <cellStyle name="x_COVER_4-WP-Jl. martadinata" xfId="1310"/>
    <cellStyle name="x_COVER_5-WP-Jl. raya pemda" xfId="1311"/>
    <cellStyle name="x_COVER_Data Base Kandang Ayam 2013" xfId="1312"/>
    <cellStyle name="x_CV. Suryalaya_Komplek Banceuy Permai" xfId="1313"/>
    <cellStyle name="x_Djaja Gunawan_Jalan Sarikaso III No. 9" xfId="1314"/>
    <cellStyle name="x_Djaja Gunawan_Jalan Sarikaso III No. 9_Cv. Central Presindo Utama_Siloa No. 17" xfId="1315"/>
    <cellStyle name="x_Djaja Gunawan_Jalan Sarikaso III No. 9_Ir. Salim_Pasar Induk Caringin Blok Ruko C No. 13" xfId="1316"/>
    <cellStyle name="x_Djong Sin Tjoy" xfId="1317"/>
    <cellStyle name="x_Djong Sin Tjoy_053_Sri Suciati_Jl. Ligar Raya No. 15" xfId="1318"/>
    <cellStyle name="x_Djong Sin Tjoy_DJANG WAHYUDIN_KO. Kopo Permai III Blok 45A No. 10 - Kab. Bandung" xfId="1319"/>
    <cellStyle name="x_Djong Sin Tjoy_DRAFT ANALISA BANGUNAN (BTB MAPPI 2013)" xfId="1320"/>
    <cellStyle name="x_Djong Sin Tjoy_Edwin Alfa Winata_Jl. Sultan Tirtayasa No.18_Review Erick" xfId="1321"/>
    <cellStyle name="x_Djong Sin Tjoy_FORMAT BCA SKH TK 1 SHM" xfId="1322"/>
    <cellStyle name="x_Djong Sin Tjoy_JADID SURPRIANTO_Blok Ciputri RT.03 RW.05 Cigugur Tengah, Kota Cimahi" xfId="1323"/>
    <cellStyle name="x_Djong Sin Tjoy_OHIM SUNARYA_Jl. Moch. Sahri No. 144 Mandalajati, Bandung" xfId="1324"/>
    <cellStyle name="x_EMAIL MESIN BUAT IBU ITA 31-08- 2009" xfId="1325"/>
    <cellStyle name="x_EMAIL MESIN BUAT IBU ITA 31-08- 2009_016_RUSTANDI(2)_Jl. Cihanjuang Rt001 Rw. 008 Cimahi" xfId="1326"/>
    <cellStyle name="x_EMAIL MESIN BUAT IBU ITA 31-08- 2009_0XX_Dede Nurhadi" xfId="1327"/>
    <cellStyle name="x_EMAIL MESIN BUAT IBU ITA 31-08- 2009_0XX_Dede Nurhadi_053_Sri Suciati_Jl. Ligar Raya No. 15" xfId="1328"/>
    <cellStyle name="x_EMAIL MESIN BUAT IBU ITA 31-08- 2009_0XX_Dede Nurhadi_Edwin Alfa Winata_Jl. Sultan Tirtayasa No.18_Review Erick" xfId="1329"/>
    <cellStyle name="x_EMAIL MESIN BUAT IBU ITA 31-08- 2009_1106_BAMBANG TRI WINAMO_Ko. Bumi Harapan Blok CC11 No. 21_Final" xfId="1330"/>
    <cellStyle name="x_EMAIL MESIN BUAT IBU ITA 31-08- 2009_BARU" xfId="1331"/>
    <cellStyle name="x_EMAIL MESIN BUAT IBU ITA 31-08- 2009_Copy of PT. Cheil Jedang Superfeed_Farm Yangyang_Review deni 2 Email_20 Juli" xfId="1332"/>
    <cellStyle name="x_EMAIL MESIN BUAT IBU ITA 31-08- 2009_CV Intan Jaya Abadi Kertajaya_Farm Sukabumi_Peralatan" xfId="1333"/>
    <cellStyle name="x_EMAIL MESIN BUAT IBU ITA 31-08- 2009_CV Intan Jaya Abadi Kertajaya_Farm Sukabumi_rev" xfId="1334"/>
    <cellStyle name="x_EMAIL MESIN BUAT IBU ITA 31-08- 2009_CV. Intan Abadi Jaya_Farm Yangyang" xfId="1335"/>
    <cellStyle name="x_EMAIL MESIN BUAT IBU ITA 31-08- 2009_CV. Intan Jaya Abadi_Kertajaya, Sukabumi" xfId="1336"/>
    <cellStyle name="x_EMAIL MESIN BUAT IBU ITA 31-08- 2009_CV. Intan Jaya Abadi_Kertajaya, Sukabumi.21.2 M " xfId="1337"/>
    <cellStyle name="x_EMAIL MESIN BUAT IBU ITA 31-08- 2009_DJANG WAHYUDIN_KO. Kopo Permai III Blok 45A No. 10 - Kab. Bandung" xfId="1338"/>
    <cellStyle name="x_EMAIL MESIN BUAT IBU ITA 31-08- 2009_DRAFT ANALISA BANGUNAN (BTB MAPPI 2013)" xfId="1339"/>
    <cellStyle name="x_EMAIL MESIN BUAT IBU ITA 31-08- 2009_FORMAT BCA SKH TK 1 SHM" xfId="1340"/>
    <cellStyle name="x_EMAIL MESIN BUAT IBU ITA 31-08- 2009_Format bjb syariah" xfId="1341"/>
    <cellStyle name="x_EMAIL MESIN BUAT IBU ITA 31-08- 2009_Format BJBS" xfId="1342"/>
    <cellStyle name="x_EMAIL MESIN BUAT IBU ITA 31-08- 2009_Format TB BJB 2 Sertifikat 1 Bangunan" xfId="1343"/>
    <cellStyle name="x_EMAIL MESIN BUAT IBU ITA 31-08- 2009_Format TB BJB 2 Sertifikat 2 Bangunan" xfId="1344"/>
    <cellStyle name="x_EMAIL MESIN BUAT IBU ITA 31-08- 2009_Format TK BJB 1 Sertifikat" xfId="1345"/>
    <cellStyle name="x_EMAIL MESIN BUAT IBU ITA 31-08- 2009_Format TK BJB 2 Sertifikat" xfId="1346"/>
    <cellStyle name="x_EMAIL MESIN BUAT IBU ITA 31-08- 2009_H. DEDE HERMAWAN. JLN RANCAMANYAR NO. 119. BANDUNG" xfId="1347"/>
    <cellStyle name="x_EMAIL MESIN BUAT IBU ITA 31-08- 2009_HARYANTO_LEUWI GAJAH NO. 97" xfId="1348"/>
    <cellStyle name="x_EMAIL MESIN BUAT IBU ITA 31-08- 2009_Heryanto" xfId="1349"/>
    <cellStyle name="x_EMAIL MESIN BUAT IBU ITA 31-08- 2009_IMAS HALIMAH_Jl. Pramuka RT03 RW01 Karang Tengah - Kab. Cianjur" xfId="1350"/>
    <cellStyle name="x_EMAIL MESIN BUAT IBU ITA 31-08- 2009_JADID SURPRIANTO_Blok Ciputri RT.03 RW.05 Cigugur Tengah, Kota Cimahi" xfId="1351"/>
    <cellStyle name="x_EMAIL MESIN BUAT IBU ITA 31-08- 2009_Jl. Cijagra No. 180 ok erik" xfId="1352"/>
    <cellStyle name="x_EMAIL MESIN BUAT IBU ITA 31-08- 2009_MEMED IDAR" xfId="1353"/>
    <cellStyle name="x_EMAIL MESIN BUAT IBU ITA 31-08- 2009_MUHARRAM_Jl. Soreang Banjaran No. 99, Kab. Bandung" xfId="1354"/>
    <cellStyle name="x_EMAIL MESIN BUAT IBU ITA 31-08- 2009_SUMANTO_Ko. Griya Antariksa Asri No. 25 - Kab. Bandung" xfId="1355"/>
    <cellStyle name="x_EMAIL MESIN BUAT IBU ITA 31-08- 2009_YANA PRINA" xfId="1356"/>
    <cellStyle name="x_Format Tanah, Bangunan dan Mesin Corporate" xfId="1357"/>
    <cellStyle name="x_Format Tanah, Bangunan dan Mesin Corporate_016_RUSTANDI(2)_Jl. Cihanjuang Rt001 Rw. 008 Cimahi" xfId="1358"/>
    <cellStyle name="x_Format Tanah, Bangunan dan Mesin Corporate_0XX_Dede Nurhadi" xfId="1359"/>
    <cellStyle name="x_Format Tanah, Bangunan dan Mesin Corporate_0XX_Dede Nurhadi_053_Sri Suciati_Jl. Ligar Raya No. 15" xfId="1360"/>
    <cellStyle name="x_Format Tanah, Bangunan dan Mesin Corporate_0XX_Dede Nurhadi_Edwin Alfa Winata_Jl. Sultan Tirtayasa No.18_Review Erick" xfId="1361"/>
    <cellStyle name="x_Format Tanah, Bangunan dan Mesin Corporate_1106_BAMBANG TRI WINAMO_Ko. Bumi Harapan Blok CC11 No. 21_Final" xfId="1362"/>
    <cellStyle name="x_Format Tanah, Bangunan dan Mesin Corporate_BARU" xfId="1363"/>
    <cellStyle name="x_Format Tanah, Bangunan dan Mesin Corporate_Copy of PT. Cheil Jedang Superfeed_Farm Yangyang_Review deni 2 Email_20 Juli" xfId="1364"/>
    <cellStyle name="x_Format Tanah, Bangunan dan Mesin Corporate_CV Intan Jaya Abadi Kertajaya_Farm Sukabumi_Peralatan" xfId="1365"/>
    <cellStyle name="x_Format Tanah, Bangunan dan Mesin Corporate_CV Intan Jaya Abadi Kertajaya_Farm Sukabumi_rev" xfId="1366"/>
    <cellStyle name="x_Format Tanah, Bangunan dan Mesin Corporate_CV. Intan Abadi Jaya_Farm Yangyang" xfId="1367"/>
    <cellStyle name="x_Format Tanah, Bangunan dan Mesin Corporate_CV. Intan Jaya Abadi_Kertajaya, Sukabumi" xfId="1368"/>
    <cellStyle name="x_Format Tanah, Bangunan dan Mesin Corporate_CV. Intan Jaya Abadi_Kertajaya, Sukabumi.21.2 M " xfId="1369"/>
    <cellStyle name="x_Format Tanah, Bangunan dan Mesin Corporate_DJANG WAHYUDIN_KO. Kopo Permai III Blok 45A No. 10 - Kab. Bandung" xfId="1370"/>
    <cellStyle name="x_Format Tanah, Bangunan dan Mesin Corporate_DRAFT ANALISA BANGUNAN (BTB MAPPI 2013)" xfId="1371"/>
    <cellStyle name="x_Format Tanah, Bangunan dan Mesin Corporate_FORMAT BCA SKH TK 1 SHM" xfId="1372"/>
    <cellStyle name="x_Format Tanah, Bangunan dan Mesin Corporate_Format bjb syariah" xfId="1373"/>
    <cellStyle name="x_Format Tanah, Bangunan dan Mesin Corporate_Format BJBS" xfId="1374"/>
    <cellStyle name="x_Format Tanah, Bangunan dan Mesin Corporate_Format TB BJB 2 Sertifikat 1 Bangunan" xfId="1375"/>
    <cellStyle name="x_Format Tanah, Bangunan dan Mesin Corporate_Format TB BJB 2 Sertifikat 2 Bangunan" xfId="1376"/>
    <cellStyle name="x_Format Tanah, Bangunan dan Mesin Corporate_Format TK BJB 1 Sertifikat" xfId="1377"/>
    <cellStyle name="x_Format Tanah, Bangunan dan Mesin Corporate_Format TK BJB 2 Sertifikat" xfId="1378"/>
    <cellStyle name="x_Format Tanah, Bangunan dan Mesin Corporate_H. DEDE HERMAWAN. JLN RANCAMANYAR NO. 119. BANDUNG" xfId="1379"/>
    <cellStyle name="x_Format Tanah, Bangunan dan Mesin Corporate_HARYANTO_LEUWI GAJAH NO. 97" xfId="1380"/>
    <cellStyle name="x_Format Tanah, Bangunan dan Mesin Corporate_Heryanto" xfId="1381"/>
    <cellStyle name="x_Format Tanah, Bangunan dan Mesin Corporate_IMAS HALIMAH_Jl. Pramuka RT03 RW01 Karang Tengah - Kab. Cianjur" xfId="1382"/>
    <cellStyle name="x_Format Tanah, Bangunan dan Mesin Corporate_JADID SURPRIANTO_Blok Ciputri RT.03 RW.05 Cigugur Tengah, Kota Cimahi" xfId="1383"/>
    <cellStyle name="x_Format Tanah, Bangunan dan Mesin Corporate_Jl. Cijagra No. 180 ok erik" xfId="1384"/>
    <cellStyle name="x_Format Tanah, Bangunan dan Mesin Corporate_MEMED IDAR" xfId="1385"/>
    <cellStyle name="x_Format Tanah, Bangunan dan Mesin Corporate_MUHARRAM_Jl. Soreang Banjaran No. 99, Kab. Bandung" xfId="1386"/>
    <cellStyle name="x_Format Tanah, Bangunan dan Mesin Corporate_SUMANTO_Ko. Griya Antariksa Asri No. 25 - Kab. Bandung" xfId="1387"/>
    <cellStyle name="x_Format Tanah, Bangunan dan Mesin Corporate_YANA PRINA" xfId="1388"/>
    <cellStyle name="x_lks= 1=-jalan Budi Sari VII. No. 48" xfId="1389"/>
    <cellStyle name="x_lks= 1=-jalan Budi Sari VII. No. 48_BARU" xfId="1390"/>
    <cellStyle name="x_lks= 1=-jalan Budi Sari VII. No. 48_Copy of PT. Cheil Jedang Superfeed_Farm Yangyang_Review deni 2 Email_20 Juli" xfId="1391"/>
    <cellStyle name="x_lks= 1=-jalan Budi Sari VII. No. 48_CV Intan Jaya Abadi Kertajaya_Farm Sukabumi_Peralatan" xfId="1392"/>
    <cellStyle name="x_lks= 1=-jalan Budi Sari VII. No. 48_CV Intan Jaya Abadi Kertajaya_Farm Sukabumi_rev" xfId="1393"/>
    <cellStyle name="x_lks= 1=-jalan Budi Sari VII. No. 48_CV. Intan Abadi Jaya_Farm Yangyang" xfId="1394"/>
    <cellStyle name="x_lks= 1=-jalan Budi Sari VII. No. 48_CV. Intan Jaya Abadi_Kertajaya, Sukabumi" xfId="1395"/>
    <cellStyle name="x_lks= 1=-jalan Budi Sari VII. No. 48_CV. Intan Jaya Abadi_Kertajaya, Sukabumi.21.2 M " xfId="1396"/>
    <cellStyle name="x_lks= 1=-jalan Budi Sari VII. No. 48_H. DEDE HERMAWAN. JLN RANCAMANYAR NO. 119. BANDUNG" xfId="1397"/>
    <cellStyle name="x_lks= 1=-jalan Budi Sari VII. No. 48_HARYANTO_LEUWI GAJAH NO. 97" xfId="1398"/>
    <cellStyle name="x_lks= 1=-jalan Budi Sari VII. No. 48_MEMED IDAR" xfId="1399"/>
    <cellStyle name="x_lks= 1=-jalan Budi Sari VII. No. 48_YANA PRINA" xfId="1400"/>
    <cellStyle name="x_lks= 2=-jalan manunggal No.25" xfId="1401"/>
    <cellStyle name="x_Lok 2_Jl. Rancaloa, Cipamongkolan Bandung" xfId="1402"/>
    <cellStyle name="x_Lokasi 1 -Resume Gabungan  - Uraian PT. Inkha Belyan ( Pabrik Parung ) ok" xfId="1403"/>
    <cellStyle name="x_Lokasi 1 -Resume Gabungan  - Uraian PT. Inkha Belyan ( Pabrik Parung ) ok_00 PT. ANGGADITA RUMAH TINGGAL  Komplek BPPT,Jalan teknologi 10, Rt 001 Rw 003, Meruya Utara, Kembangan, Jakarta Barat " xfId="1404"/>
    <cellStyle name="x_Lokasi 1 -Resume Gabungan  - Uraian PT. Inkha Belyan ( Pabrik Parung ) ok_4-WP-Jl. martadinata" xfId="1405"/>
    <cellStyle name="x_Lokasi 1 -Resume Gabungan  - Uraian PT. Inkha Belyan ( Pabrik Parung ) ok_5-WP-Jl. raya pemda" xfId="1406"/>
    <cellStyle name="x_Lokasi 1 -Resume Gabungan  - Uraian PT. Inkha Belyan ( Pabrik Parung ) ok_Data Base Kandang Ayam 2013" xfId="1407"/>
    <cellStyle name="x_Lokasi 1 -Resume Gabungan  - Uraian PT. Inkha Belyan ( Pabrik Parung ) ok_Kawasan Industri Pulo Gadung, Jl. Pulo Lentut, Blok II F, No. 3" xfId="1408"/>
    <cellStyle name="x_Lokasi 1 -Resume Gabungan  - Uraian PT. Inkha Belyan ( Pabrik Parung ) ok_Mesin- Mesin dan Alat Berat" xfId="1409"/>
    <cellStyle name="x_Lokasi 2 -  CV. Sejahtera Hatchery" xfId="1410"/>
    <cellStyle name="x_Lucky Gunawan_Komp. Mekar Sari Jl. Mekar Makmur No. 16" xfId="1411"/>
    <cellStyle name="x_Lucky Gunawan_Komp. Mekar Sari Jl. Mekar Makmur No. 16_1106_BAMBANG TRI WINAMO_Ko. Bumi Harapan Blok CC11 No. 21_Final" xfId="1412"/>
    <cellStyle name="x_Lucky Gunawan_Komp. Mekar Sari Jl. Mekar Makmur No. 16_DRAFT ANALISA BANGUNAN (BTB MAPPI 2013)" xfId="1413"/>
    <cellStyle name="x_Lucky Gunawan_Komp. Mekar Sari Jl. Mekar Makmur No. 16_FORMAT BCA SKH TK 1 SHM" xfId="1414"/>
    <cellStyle name="x_Lucky Gunawan_Komp. Mekar Sari Jl. Mekar Makmur No. 16_Format bjb syariah" xfId="1415"/>
    <cellStyle name="x_Lucky Gunawan_Komp. Mekar Sari Jl. Mekar Makmur No. 16_Format BJBS" xfId="1416"/>
    <cellStyle name="x_Lucky Gunawan_Komp. Mekar Sari Jl. Mekar Makmur No. 16_Format TB BJB 2 Sertifikat 1 Bangunan" xfId="1417"/>
    <cellStyle name="x_Lucky Gunawan_Komp. Mekar Sari Jl. Mekar Makmur No. 16_Format TB BJB 2 Sertifikat 2 Bangunan" xfId="1418"/>
    <cellStyle name="x_Lucky Gunawan_Komp. Mekar Sari Jl. Mekar Makmur No. 16_Format TK BJB 1 Sertifikat" xfId="1419"/>
    <cellStyle name="x_Lucky Gunawan_Komp. Mekar Sari Jl. Mekar Makmur No. 16_Format TK BJB 2 Sertifikat" xfId="1420"/>
    <cellStyle name="x_Lucky Gunawan_Komp. Mekar Sari Jl. Mekar Makmur No. 16_IMAS HALIMAH_Jl. Pramuka RT03 RW01 Karang Tengah - Kab. Cianjur" xfId="1421"/>
    <cellStyle name="x_Lucky Gunawan_Komp. Mekar Sari Jl. Mekar Makmur No. 16_JADID SURPRIANTO_Blok Ciputri RT.03 RW.05 Cigugur Tengah, Kota Cimahi" xfId="1422"/>
    <cellStyle name="x_Lucky Gunawan_Komp. Mekar Sari Jl. Mekar Makmur No. 16_MUHARRAM_Jl. Soreang Banjaran No. 99, Kab. Bandung" xfId="1423"/>
    <cellStyle name="x_Lucky Gunawan_Komp. Mekar Sari Jl. Mekar Makmur No. 16_SUMANTO_Ko. Griya Antariksa Asri No. 25 - Kab. Bandung" xfId="1424"/>
    <cellStyle name="x_Master Coorporate" xfId="1425"/>
    <cellStyle name="x_Master Coorporate_BCT-kertas kerja banten bakti" xfId="1426"/>
    <cellStyle name="x_Master Coorporate_BCT-kertas kerja banten bakti_00 PT. ANGGADITA RUMAH TINGGAL  Komplek BPPT,Jalan teknologi 10, Rt 001 Rw 003, Meruya Utara, Kembangan, Jakarta Barat " xfId="1427"/>
    <cellStyle name="x_Master Coorporate_BCT-kertas kerja banten bakti_4-WP-Jl. martadinata" xfId="1428"/>
    <cellStyle name="x_Master Coorporate_BCT-kertas kerja banten bakti_5-WP-Jl. raya pemda" xfId="1429"/>
    <cellStyle name="x_Master Coorporate_BCT-kertas kerja banten bakti_Data Base Kandang Ayam 2013" xfId="1430"/>
    <cellStyle name="x_Master Coorporate_foto" xfId="1431"/>
    <cellStyle name="x_Master Coorporate_foto_00 PT. ANGGADITA RUMAH TINGGAL  Komplek BPPT,Jalan teknologi 10, Rt 001 Rw 003, Meruya Utara, Kembangan, Jakarta Barat " xfId="1432"/>
    <cellStyle name="x_Master Coorporate_foto_4-WP-Jl. martadinata" xfId="1433"/>
    <cellStyle name="x_Master Coorporate_foto_5-WP-Jl. raya pemda" xfId="1434"/>
    <cellStyle name="x_Master Coorporate_foto_Data Base Kandang Ayam 2013" xfId="1435"/>
    <cellStyle name="x_Master Coorporate_foto_Kawasan Industri Pulo Gadung, Jl. Pulo Lentut, Blok II F, No. 3" xfId="1436"/>
    <cellStyle name="x_Master Coorporate_foto_Mesin- Mesin dan Alat Berat" xfId="1437"/>
    <cellStyle name="x_Master Coorporate_Fotonya PT.PRIMA MUSTIKA PETROLINDO" xfId="1438"/>
    <cellStyle name="x_Master Tanah Bangunan Mesin" xfId="1439"/>
    <cellStyle name="x_mesin" xfId="1440"/>
    <cellStyle name="x_mesin_00 PT. ANGGADITA RUMAH TINGGAL  Komplek BPPT,Jalan teknologi 10, Rt 001 Rw 003, Meruya Utara, Kembangan, Jakarta Barat " xfId="1441"/>
    <cellStyle name="x_mesin_4-WP-Jl. martadinata" xfId="1442"/>
    <cellStyle name="x_mesin_5-WP-Jl. raya pemda" xfId="1443"/>
    <cellStyle name="x_mesin_Data Base Kandang Ayam 2013" xfId="1444"/>
    <cellStyle name="x_mesin_Kawasan Industri Pulo Gadung, Jl. Pulo Lentut, Blok II F, No. 3" xfId="1445"/>
    <cellStyle name="x_mesin_Mesin- Mesin dan Alat Berat" xfId="1446"/>
    <cellStyle name="x_mesin_Sofitel" xfId="1447"/>
    <cellStyle name="x_NILAI PABRIK - email to Jkt" xfId="1448"/>
    <cellStyle name="x_NILAI PABRIK - email to Jkt_00 PT. ANGGADITA RUMAH TINGGAL  Komplek BPPT,Jalan teknologi 10, Rt 001 Rw 003, Meruya Utara, Kembangan, Jakarta Barat " xfId="1449"/>
    <cellStyle name="x_NILAI PABRIK - email to Jkt_000 Bapak Risanggeni Jl. Raya Ciputat - Parung Rt.001, Rw.04 Serua Bojongsari Depok" xfId="1450"/>
    <cellStyle name="x_NILAI PABRIK - email to Jkt_016_RUSTANDI(2)_Jl. Cihanjuang Rt001 Rw. 008 Cimahi" xfId="1451"/>
    <cellStyle name="x_NILAI PABRIK - email to Jkt_4-WP-Jl. martadinata" xfId="1452"/>
    <cellStyle name="x_NILAI PABRIK - email to Jkt_5-WP-Jl. raya pemda" xfId="1453"/>
    <cellStyle name="x_NILAI PABRIK - email to Jkt_Data Base Kandang Ayam 2013" xfId="1454"/>
    <cellStyle name="x_NILAI PABRIK - email to Jkt_DRAFT ANALISA BANGUNAN (BTB MAPPI 2013)" xfId="1455"/>
    <cellStyle name="x_NILAI PABRIK - email to Jkt_Format BCA 2011" xfId="1456"/>
    <cellStyle name="x_NILAI PABRIK - email to Jkt_FORMAT BCA SKH TK 1 SHM" xfId="1457"/>
    <cellStyle name="x_NILAI PABRIK - email to Jkt_JADID SURPRIANTO_Blok Ciputri RT.03 RW.05 Cigugur Tengah, Kota Cimahi" xfId="1458"/>
    <cellStyle name="x_NILAI PABRIK - email to Jkt_Jl. Cijagra No. 180" xfId="1459"/>
    <cellStyle name="x_NILAI PABRIK - email to Jkt_Jl. Cijagra No. 180 ok erik" xfId="1460"/>
    <cellStyle name="x_NILAI PABRIK - email to Jkt_Kawasan Industri Pulo Gadung, Jl. Pulo Lentut, Blok II F, No. 3" xfId="1461"/>
    <cellStyle name="x_NILAI PABRIK - email to Jkt_Mesin- Mesin dan Alat Berat" xfId="1462"/>
    <cellStyle name="x_NILAI PABRIK - email to Jkt_Nilai Asuransi" xfId="1463"/>
    <cellStyle name="x_NILAI PABRIK - email to Jkt_OHIM SUNARYA_Jl. Moch. Sahri No. 144 Mandalajati, Bandung" xfId="1464"/>
    <cellStyle name="x_NILAI PABRIK - email to Jkt_Sofitel" xfId="1465"/>
    <cellStyle name="x_Nilai Pabrik Paiton 21-06-10" xfId="1466"/>
    <cellStyle name="x_No. A1-2" xfId="1467"/>
    <cellStyle name="x_No. A1-2_016_RUSTANDI(2)_Jl. Cihanjuang Rt001 Rw. 008 Cimahi" xfId="1468"/>
    <cellStyle name="x_No. A1-2_0XX_Dede Nurhadi" xfId="1469"/>
    <cellStyle name="x_No. A1-2_0XX_Dede Nurhadi_053_Sri Suciati_Jl. Ligar Raya No. 15" xfId="1470"/>
    <cellStyle name="x_No. A1-2_0XX_Dede Nurhadi_Edwin Alfa Winata_Jl. Sultan Tirtayasa No.18_Review Erick" xfId="1471"/>
    <cellStyle name="x_No. A1-2_1106_BAMBANG TRI WINAMO_Ko. Bumi Harapan Blok CC11 No. 21_Final" xfId="1472"/>
    <cellStyle name="x_No. A1-2_BARU" xfId="1473"/>
    <cellStyle name="x_No. A1-2_Copy of PT. Cheil Jedang Superfeed_Farm Yangyang_Review deni 2 Email_20 Juli" xfId="1474"/>
    <cellStyle name="x_No. A1-2_CV Intan Jaya Abadi Kertajaya_Farm Sukabumi_Peralatan" xfId="1475"/>
    <cellStyle name="x_No. A1-2_CV Intan Jaya Abadi Kertajaya_Farm Sukabumi_rev" xfId="1476"/>
    <cellStyle name="x_No. A1-2_CV. Intan Abadi Jaya_Farm Yangyang" xfId="1477"/>
    <cellStyle name="x_No. A1-2_CV. Intan Jaya Abadi_Kertajaya, Sukabumi" xfId="1478"/>
    <cellStyle name="x_No. A1-2_CV. Intan Jaya Abadi_Kertajaya, Sukabumi.21.2 M " xfId="1479"/>
    <cellStyle name="x_No. A1-2_DJANG WAHYUDIN_KO. Kopo Permai III Blok 45A No. 10 - Kab. Bandung" xfId="1480"/>
    <cellStyle name="x_No. A1-2_DRAFT ANALISA BANGUNAN (BTB MAPPI 2013)" xfId="1481"/>
    <cellStyle name="x_No. A1-2_FORMAT BCA SKH TK 1 SHM" xfId="1482"/>
    <cellStyle name="x_No. A1-2_Format bjb syariah" xfId="1483"/>
    <cellStyle name="x_No. A1-2_Format BJBS" xfId="1484"/>
    <cellStyle name="x_No. A1-2_Format TB BJB 2 Sertifikat 1 Bangunan" xfId="1485"/>
    <cellStyle name="x_No. A1-2_Format TB BJB 2 Sertifikat 2 Bangunan" xfId="1486"/>
    <cellStyle name="x_No. A1-2_Format TK BJB 1 Sertifikat" xfId="1487"/>
    <cellStyle name="x_No. A1-2_Format TK BJB 2 Sertifikat" xfId="1488"/>
    <cellStyle name="x_No. A1-2_H. DEDE HERMAWAN. JLN RANCAMANYAR NO. 119. BANDUNG" xfId="1489"/>
    <cellStyle name="x_No. A1-2_HARYANTO_LEUWI GAJAH NO. 97" xfId="1490"/>
    <cellStyle name="x_No. A1-2_Heryanto" xfId="1491"/>
    <cellStyle name="x_No. A1-2_IMAS HALIMAH_Jl. Pramuka RT03 RW01 Karang Tengah - Kab. Cianjur" xfId="1492"/>
    <cellStyle name="x_No. A1-2_JADID SURPRIANTO_Blok Ciputri RT.03 RW.05 Cigugur Tengah, Kota Cimahi" xfId="1493"/>
    <cellStyle name="x_No. A1-2_Jl. Cijagra No. 180 ok erik" xfId="1494"/>
    <cellStyle name="x_No. A1-2_MEMED IDAR" xfId="1495"/>
    <cellStyle name="x_No. A1-2_MUHARRAM_Jl. Soreang Banjaran No. 99, Kab. Bandung" xfId="1496"/>
    <cellStyle name="x_No. A1-2_SUMANTO_Ko. Griya Antariksa Asri No. 25 - Kab. Bandung" xfId="1497"/>
    <cellStyle name="x_No. A1-2_YANA PRINA" xfId="1498"/>
    <cellStyle name="x_penilaian jual BNP Cirebon" xfId="1499"/>
    <cellStyle name="x_PT. Azka Raja_Jl. Angkrek No. 105 B Sumedang" xfId="1500"/>
    <cellStyle name="x_PT. Azka Raja_Jl. Angkrek No. 105 B Sumedang_053_Sri Suciati_Jl. Ligar Raya No. 15" xfId="1501"/>
    <cellStyle name="x_PT. Azka Raja_Jl. Angkrek No. 105 B Sumedang_FORMAT BCA SKH TK 1 SHM" xfId="1502"/>
    <cellStyle name="x_PT. Azka Raja_Jl. Angkrek No. 105 B Sumedang_JADID SURPRIANTO_Blok Ciputri RT.03 RW.05 Cigugur Tengah, Kota Cimahi" xfId="1503"/>
    <cellStyle name="x_PT. Azka Raja_Jl. Angkrek No. 105 B Sumedang_PT. Asean Motor Internasional_Jl. soekarno Hatta-review" xfId="1504"/>
    <cellStyle name="x_PT. Azka Raja_Jl. Angkrek No. 105 B Sumedang_SHERLY EGGIE A_Griya Persada Kav No. 40 - Bandung" xfId="1505"/>
    <cellStyle name="x_PT. HAINA INDONESIA Jl. Jelambar Utama III No.11 Jakbar_akhir bagja" xfId="1506"/>
    <cellStyle name="x_PT. Kalsindo Karyatama 2010" xfId="1507"/>
    <cellStyle name="x_PT. Kalsindo Karyatama final...2" xfId="1508"/>
    <cellStyle name="x_PT. TRINITAS BUANA UTAMA punya gugun baru " xfId="1509"/>
    <cellStyle name="x_PT. TRINITAS BUANA UTAMA punya gugun baru _016_RUSTANDI(2)_Jl. Cihanjuang Rt001 Rw. 008 Cimahi" xfId="1510"/>
    <cellStyle name="x_PT. TRINITAS BUANA UTAMA punya gugun baru _0XX_Dede Nurhadi" xfId="1511"/>
    <cellStyle name="x_PT. TRINITAS BUANA UTAMA punya gugun baru _0XX_Dede Nurhadi_053_Sri Suciati_Jl. Ligar Raya No. 15" xfId="1512"/>
    <cellStyle name="x_PT. TRINITAS BUANA UTAMA punya gugun baru _0XX_Dede Nurhadi_Edwin Alfa Winata_Jl. Sultan Tirtayasa No.18_Review Erick" xfId="1513"/>
    <cellStyle name="x_PT. TRINITAS BUANA UTAMA punya gugun baru _102_HM Harris_Surapati Core F-23" xfId="1514"/>
    <cellStyle name="x_PT. TRINITAS BUANA UTAMA punya gugun baru _1106_BAMBANG TRI WINAMO_Ko. Bumi Harapan Blok CC11 No. 21_Final" xfId="1515"/>
    <cellStyle name="x_PT. TRINITAS BUANA UTAMA punya gugun baru _BARU" xfId="1516"/>
    <cellStyle name="x_PT. TRINITAS BUANA UTAMA punya gugun baru _Copy of PT. Cheil Jedang Superfeed_Farm Yangyang_Review deni 2 Email_20 Juli" xfId="1517"/>
    <cellStyle name="x_PT. TRINITAS BUANA UTAMA punya gugun baru _CV Intan Jaya Abadi Kertajaya_Farm Sukabumi_Peralatan" xfId="1518"/>
    <cellStyle name="x_PT. TRINITAS BUANA UTAMA punya gugun baru _CV Intan Jaya Abadi Kertajaya_Farm Sukabumi_rev" xfId="1519"/>
    <cellStyle name="x_PT. TRINITAS BUANA UTAMA punya gugun baru _CV. Intan Abadi Jaya_Farm Yangyang" xfId="1520"/>
    <cellStyle name="x_PT. TRINITAS BUANA UTAMA punya gugun baru _CV. Intan Jaya Abadi_Kertajaya, Sukabumi" xfId="1521"/>
    <cellStyle name="x_PT. TRINITAS BUANA UTAMA punya gugun baru _CV. Intan Jaya Abadi_Kertajaya, Sukabumi.21.2 M " xfId="1522"/>
    <cellStyle name="x_PT. TRINITAS BUANA UTAMA punya gugun baru _DJANG WAHYUDIN_KO. Kopo Permai III Blok 45A No. 10 - Kab. Bandung" xfId="1523"/>
    <cellStyle name="x_PT. TRINITAS BUANA UTAMA punya gugun baru _Djong Sin Tjoy" xfId="1524"/>
    <cellStyle name="x_PT. TRINITAS BUANA UTAMA punya gugun baru _DRAFT ANALISA BANGUNAN (BTB MAPPI 2013)" xfId="1525"/>
    <cellStyle name="x_PT. TRINITAS BUANA UTAMA punya gugun baru _FORMAT BCA SKH TK 1 SHM" xfId="1526"/>
    <cellStyle name="x_PT. TRINITAS BUANA UTAMA punya gugun baru _Format bjb syariah" xfId="1527"/>
    <cellStyle name="x_PT. TRINITAS BUANA UTAMA punya gugun baru _Format BJBS" xfId="1528"/>
    <cellStyle name="x_PT. TRINITAS BUANA UTAMA punya gugun baru _Format TB BJB 2 Sertifikat 1 Bangunan" xfId="1529"/>
    <cellStyle name="x_PT. TRINITAS BUANA UTAMA punya gugun baru _Format TB BJB 2 Sertifikat 2 Bangunan" xfId="1530"/>
    <cellStyle name="x_PT. TRINITAS BUANA UTAMA punya gugun baru _Format TK BJB 1 Sertifikat" xfId="1531"/>
    <cellStyle name="x_PT. TRINITAS BUANA UTAMA punya gugun baru _Format TK BJB 2 Sertifikat" xfId="1532"/>
    <cellStyle name="x_PT. TRINITAS BUANA UTAMA punya gugun baru _H. Apud Saripudin_Jl. Pikiran Rakyat No. 43" xfId="1533"/>
    <cellStyle name="x_PT. TRINITAS BUANA UTAMA punya gugun baru _H. DEDE HERMAWAN. JLN RANCAMANYAR NO. 119. BANDUNG" xfId="1534"/>
    <cellStyle name="x_PT. TRINITAS BUANA UTAMA punya gugun baru _HARYANTO_LEUWI GAJAH NO. 97" xfId="1535"/>
    <cellStyle name="x_PT. TRINITAS BUANA UTAMA punya gugun baru _Heryanto" xfId="1536"/>
    <cellStyle name="x_PT. TRINITAS BUANA UTAMA punya gugun baru _IMAS HALIMAH_Jl. Pramuka RT03 RW01 Karang Tengah - Kab. Cianjur" xfId="1537"/>
    <cellStyle name="x_PT. TRINITAS BUANA UTAMA punya gugun baru _JADID SURPRIANTO_Blok Ciputri RT.03 RW.05 Cigugur Tengah, Kota Cimahi" xfId="1538"/>
    <cellStyle name="x_PT. TRINITAS BUANA UTAMA punya gugun baru _Jl. Cijagra No. 180 ok erik" xfId="1539"/>
    <cellStyle name="x_PT. TRINITAS BUANA UTAMA punya gugun baru _Lucky Gunawan_Komp. Mekar Sari Jl. Mekar Makmur No. 16" xfId="1540"/>
    <cellStyle name="x_PT. TRINITAS BUANA UTAMA punya gugun baru _MEMED IDAR" xfId="1541"/>
    <cellStyle name="x_PT. TRINITAS BUANA UTAMA punya gugun baru _MUHARRAM_Jl. Soreang Banjaran No. 99, Kab. Bandung" xfId="1542"/>
    <cellStyle name="x_PT. TRINITAS BUANA UTAMA punya gugun baru _SUMANTO_Ko. Griya Antariksa Asri No. 25 - Kab. Bandung" xfId="1543"/>
    <cellStyle name="x_PT. TRINITAS BUANA UTAMA punya gugun baru _YANA PRINA" xfId="1544"/>
    <cellStyle name="x_Resume PT. Kellay Indonesia 14 Mei 2008 ...3" xfId="1545"/>
    <cellStyle name="x_Resume PT. Kellay Indonesia 14 Mei 2008 ...3_00 PT. ANGGADITA RUMAH TINGGAL  Komplek BPPT,Jalan teknologi 10, Rt 001 Rw 003, Meruya Utara, Kembangan, Jakarta Barat " xfId="1546"/>
    <cellStyle name="x_Resume PT. Kellay Indonesia 14 Mei 2008 ...3_4-WP-Jl. martadinata" xfId="1547"/>
    <cellStyle name="x_Resume PT. Kellay Indonesia 14 Mei 2008 ...3_5-WP-Jl. raya pemda" xfId="1548"/>
    <cellStyle name="x_Resume PT. Kellay Indonesia 14 Mei 2008 ...3_Data Base Kandang Ayam 2013" xfId="1549"/>
    <cellStyle name="x_Resume PT. Kellay Indonesia 14 Mei 2008 ...3_Kawasan Industri Pulo Gadung, Jl. Pulo Lentut, Blok II F, No. 3" xfId="1550"/>
    <cellStyle name="x_Resume PT. Kellay Indonesia 14 Mei 2008 ...3_Mesin- Mesin dan Alat Berat" xfId="1551"/>
    <cellStyle name="x_Sien Liang An Handoko" xfId="1552"/>
    <cellStyle name="x_Sien Liang An Handoko_053_Sri Suciati_Jl. Ligar Raya No. 15" xfId="1553"/>
    <cellStyle name="x_Sien Liang An Handoko_DJANG WAHYUDIN_KO. Kopo Permai III Blok 45A No. 10 - Kab. Bandung" xfId="1554"/>
    <cellStyle name="x_Sien Liang An Handoko_DRAFT ANALISA BANGUNAN (BTB MAPPI 2013)" xfId="1555"/>
    <cellStyle name="x_Sien Liang An Handoko_Edwin Alfa Winata_Jl. Sultan Tirtayasa No.18_Review Erick" xfId="1556"/>
    <cellStyle name="x_Sien Liang An Handoko_FORMAT BCA SKH TK 1 SHM" xfId="1557"/>
    <cellStyle name="x_Sien Liang An Handoko_JADID SURPRIANTO_Blok Ciputri RT.03 RW.05 Cigugur Tengah, Kota Cimahi" xfId="1558"/>
    <cellStyle name="x_Sien Liang An Handoko_OHIM SUNARYA_Jl. Moch. Sahri No. 144 Mandalajati, Bandung" xfId="1559"/>
    <cellStyle name="x_Sofitel" xfId="1560"/>
    <cellStyle name="x_SPBU 34-42113 JL. JENDERAL SUDIRMAN SERANG BANTEN" xfId="1561"/>
    <cellStyle name="x_SPBU 34-42113 JL. JENDERAL SUDIRMAN SERANG BANTEN_00 PT. ANGGADITA RUMAH TINGGAL  Komplek BPPT,Jalan teknologi 10, Rt 001 Rw 003, Meruya Utara, Kembangan, Jakarta Barat " xfId="1562"/>
    <cellStyle name="x_SPBU 34-42113 JL. JENDERAL SUDIRMAN SERANG BANTEN_4-WP-Jl. martadinata" xfId="1563"/>
    <cellStyle name="x_SPBU 34-42113 JL. JENDERAL SUDIRMAN SERANG BANTEN_5-WP-Jl. raya pemda" xfId="1564"/>
    <cellStyle name="x_SPBU 34-42113 JL. JENDERAL SUDIRMAN SERANG BANTEN_Data Base Kandang Ayam 2013" xfId="1565"/>
    <cellStyle name="x_SPBU 34-42113 JL. JENDERAL SUDIRMAN SERANG BANTEN_Kawasan Industri Pulo Gadung, Jl. Pulo Lentut, Blok II F, No. 3" xfId="1566"/>
    <cellStyle name="x_SPBU 34-42113 JL. JENDERAL SUDIRMAN SERANG BANTEN_Mesin- Mesin dan Alat Berat" xfId="1567"/>
    <cellStyle name="x_SPBU 34-42125 Jl. Raya Palka Km. 4,5 Sindangsari, Ciomas,serang ok" xfId="1568"/>
    <cellStyle name="x_Surat " xfId="1569"/>
    <cellStyle name="x_Surat _016_RUSTANDI(2)_Jl. Cihanjuang Rt001 Rw. 008 Cimahi" xfId="1570"/>
    <cellStyle name="x_Surat _0XX_Dede Nurhadi" xfId="1571"/>
    <cellStyle name="x_Surat _0XX_Dede Nurhadi_053_Sri Suciati_Jl. Ligar Raya No. 15" xfId="1572"/>
    <cellStyle name="x_Surat _0XX_Dede Nurhadi_Edwin Alfa Winata_Jl. Sultan Tirtayasa No.18_Review Erick" xfId="1573"/>
    <cellStyle name="x_Surat _1106_BAMBANG TRI WINAMO_Ko. Bumi Harapan Blok CC11 No. 21_Final" xfId="1574"/>
    <cellStyle name="x_Surat _DJANG WAHYUDIN_KO. Kopo Permai III Blok 45A No. 10 - Kab. Bandung" xfId="1575"/>
    <cellStyle name="x_Surat _DRAFT ANALISA BANGUNAN (BTB MAPPI 2013)" xfId="1576"/>
    <cellStyle name="x_Surat _FORMAT BCA SKH TK 1 SHM" xfId="1577"/>
    <cellStyle name="x_Surat _Format bjb syariah" xfId="1578"/>
    <cellStyle name="x_Surat _Format BJBS" xfId="1579"/>
    <cellStyle name="x_Surat _Format TB BJB 2 Sertifikat 1 Bangunan" xfId="1580"/>
    <cellStyle name="x_Surat _Format TB BJB 2 Sertifikat 2 Bangunan" xfId="1581"/>
    <cellStyle name="x_Surat _Format TK BJB 1 Sertifikat" xfId="1582"/>
    <cellStyle name="x_Surat _Format TK BJB 2 Sertifikat" xfId="1583"/>
    <cellStyle name="x_Surat _Heryanto" xfId="1584"/>
    <cellStyle name="x_Surat _IMAS HALIMAH_Jl. Pramuka RT03 RW01 Karang Tengah - Kab. Cianjur" xfId="1585"/>
    <cellStyle name="x_Surat _JADID SURPRIANTO_Blok Ciputri RT.03 RW.05 Cigugur Tengah, Kota Cimahi" xfId="1586"/>
    <cellStyle name="x_Surat _MUHARRAM_Jl. Soreang Banjaran No. 99, Kab. Bandung" xfId="1587"/>
    <cellStyle name="x_Surat _SUMANTO_Ko. Griya Antariksa Asri No. 25 - Kab. Bandung" xfId="1588"/>
    <cellStyle name="x_Uraian PT. Wahana Cigudeg Bogor revisi 301009ke-2" xfId="1589"/>
    <cellStyle name="x_Uraian PT. Wahana Cigudeg Bogor revisi 301009ke-2_00 PT. ANGGADITA RUMAH TINGGAL  Komplek BPPT,Jalan teknologi 10, Rt 001 Rw 003, Meruya Utara, Kembangan, Jakarta Barat " xfId="1590"/>
    <cellStyle name="x_Uraian PT. Wahana Cigudeg Bogor revisi 301009ke-2_000 Bapak Risanggeni Jl. Raya Ciputat - Parung Rt.001, Rw.04 Serua Bojongsari Depok" xfId="1591"/>
    <cellStyle name="x_Uraian PT. Wahana Cigudeg Bogor revisi 301009ke-2_016_RUSTANDI(2)_Jl. Cihanjuang Rt001 Rw. 008 Cimahi" xfId="1592"/>
    <cellStyle name="x_Uraian PT. Wahana Cigudeg Bogor revisi 301009ke-2_4-WP-Jl. martadinata" xfId="1593"/>
    <cellStyle name="x_Uraian PT. Wahana Cigudeg Bogor revisi 301009ke-2_5-WP-Jl. raya pemda" xfId="1594"/>
    <cellStyle name="x_Uraian PT. Wahana Cigudeg Bogor revisi 301009ke-2_Cv. Central Presindo Utama_Siloa No. 17" xfId="1595"/>
    <cellStyle name="x_Uraian PT. Wahana Cigudeg Bogor revisi 301009ke-2_Data Base Kandang Ayam 2013" xfId="1596"/>
    <cellStyle name="x_Uraian PT. Wahana Cigudeg Bogor revisi 301009ke-2_DRAFT ANALISA BANGUNAN (BTB MAPPI 2013)" xfId="1597"/>
    <cellStyle name="x_Uraian PT. Wahana Cigudeg Bogor revisi 301009ke-2_Format BCA 2011" xfId="1598"/>
    <cellStyle name="x_Uraian PT. Wahana Cigudeg Bogor revisi 301009ke-2_FORMAT BCA SKH TK 1 SHM" xfId="1599"/>
    <cellStyle name="x_Uraian PT. Wahana Cigudeg Bogor revisi 301009ke-2_JADID SURPRIANTO_Blok Ciputri RT.03 RW.05 Cigugur Tengah, Kota Cimahi" xfId="1600"/>
    <cellStyle name="x_Uraian PT. Wahana Cigudeg Bogor revisi 301009ke-2_Jl. Cijagra No. 180" xfId="1601"/>
    <cellStyle name="x_Uraian PT. Wahana Cigudeg Bogor revisi 301009ke-2_Jl. Cijagra No. 180 ok erik" xfId="1602"/>
    <cellStyle name="x_Uraian PT. Wahana Cigudeg Bogor revisi 301009ke-2_Jony Saragi Komp. Ruko Vila Taman Bandara Blok N No.32,33,35  Tangerang-JO Mandiri Palembang-review" xfId="1603"/>
    <cellStyle name="x_Uraian PT. Wahana Cigudeg Bogor revisi 301009ke-2_Kawasan Industri Pulo Gadung, Jl. Pulo Lentut, Blok II F, No. 3" xfId="1604"/>
    <cellStyle name="x_Uraian PT. Wahana Cigudeg Bogor revisi 301009ke-2_Mesin- Mesin dan Alat Berat" xfId="1605"/>
    <cellStyle name="x_Uraian PT. Wahana Cigudeg Bogor revisi 301009ke-2_Nilai Asuransi" xfId="1606"/>
    <cellStyle name="x_Uraian PT. Wahana Cigudeg Bogor revisi 301009ke-2_OHIM SUNARYA_Jl. Moch. Sahri No. 144 Mandalajati, Bandung" xfId="1607"/>
    <cellStyle name="x_Uraian PT. Wahana Cigudeg Bogor revisi 301009ke-2_Sofitel" xfId="1608"/>
    <cellStyle name="x_Uraian PT. Wahana Cigudeg Bogor revisi 301009ke-2_XXX. Jony Saragi Komp. Ruko Vila Taman Bandara Blok N No.32,33,35  Tangerang" xfId="1609"/>
    <cellStyle name="x_WP-hotel sari ater" xfId="1610"/>
    <cellStyle name="year" xfId="161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5" Type="http://schemas.openxmlformats.org/officeDocument/2006/relationships/image" Target="../media/image14.jpeg"/><Relationship Id="rId4" Type="http://schemas.openxmlformats.org/officeDocument/2006/relationships/image" Target="../media/image13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5" Type="http://schemas.openxmlformats.org/officeDocument/2006/relationships/image" Target="../media/image14.jpeg"/><Relationship Id="rId4" Type="http://schemas.openxmlformats.org/officeDocument/2006/relationships/image" Target="../media/image1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30480</xdr:rowOff>
    </xdr:from>
    <xdr:to>
      <xdr:col>2</xdr:col>
      <xdr:colOff>1302294</xdr:colOff>
      <xdr:row>10</xdr:row>
      <xdr:rowOff>152400</xdr:rowOff>
    </xdr:to>
    <xdr:grpSp>
      <xdr:nvGrpSpPr>
        <xdr:cNvPr id="2" name="Group 1"/>
        <xdr:cNvGrpSpPr/>
      </xdr:nvGrpSpPr>
      <xdr:grpSpPr>
        <a:xfrm>
          <a:off x="3672840" y="876300"/>
          <a:ext cx="1264194" cy="975360"/>
          <a:chOff x="6373949" y="888274"/>
          <a:chExt cx="1264194" cy="948146"/>
        </a:xfrm>
      </xdr:grpSpPr>
      <xdr:pic>
        <xdr:nvPicPr>
          <xdr:cNvPr id="3" name="Picture 103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 bwMode="auto">
          <a:xfrm>
            <a:off x="6373949" y="888274"/>
            <a:ext cx="1264194" cy="94814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pic>
        <xdr:nvPicPr>
          <xdr:cNvPr id="4" name="Picture 103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7248434" y="924197"/>
            <a:ext cx="335282" cy="251461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</xdr:col>
      <xdr:colOff>45720</xdr:colOff>
      <xdr:row>5</xdr:row>
      <xdr:rowOff>38100</xdr:rowOff>
    </xdr:from>
    <xdr:to>
      <xdr:col>3</xdr:col>
      <xdr:colOff>1311366</xdr:colOff>
      <xdr:row>10</xdr:row>
      <xdr:rowOff>133894</xdr:rowOff>
    </xdr:to>
    <xdr:pic>
      <xdr:nvPicPr>
        <xdr:cNvPr id="5" name="Picture 10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5021580" y="883920"/>
          <a:ext cx="1265646" cy="94923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</xdr:row>
      <xdr:rowOff>45720</xdr:rowOff>
    </xdr:from>
    <xdr:to>
      <xdr:col>4</xdr:col>
      <xdr:colOff>1293586</xdr:colOff>
      <xdr:row>10</xdr:row>
      <xdr:rowOff>133894</xdr:rowOff>
    </xdr:to>
    <xdr:pic>
      <xdr:nvPicPr>
        <xdr:cNvPr id="6" name="Picture 102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 bwMode="auto">
        <a:xfrm>
          <a:off x="6377940" y="891540"/>
          <a:ext cx="1255486" cy="94161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30480</xdr:rowOff>
    </xdr:from>
    <xdr:to>
      <xdr:col>2</xdr:col>
      <xdr:colOff>1302294</xdr:colOff>
      <xdr:row>10</xdr:row>
      <xdr:rowOff>152400</xdr:rowOff>
    </xdr:to>
    <xdr:grpSp>
      <xdr:nvGrpSpPr>
        <xdr:cNvPr id="2" name="Group 1"/>
        <xdr:cNvGrpSpPr/>
      </xdr:nvGrpSpPr>
      <xdr:grpSpPr>
        <a:xfrm>
          <a:off x="3672840" y="876300"/>
          <a:ext cx="1264194" cy="975360"/>
          <a:chOff x="6373949" y="888274"/>
          <a:chExt cx="1264194" cy="948146"/>
        </a:xfrm>
      </xdr:grpSpPr>
      <xdr:pic>
        <xdr:nvPicPr>
          <xdr:cNvPr id="3" name="Picture 103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 bwMode="auto">
          <a:xfrm>
            <a:off x="6373949" y="888274"/>
            <a:ext cx="1264194" cy="94814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pic>
        <xdr:nvPicPr>
          <xdr:cNvPr id="4" name="Picture 103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7248434" y="924197"/>
            <a:ext cx="335282" cy="251461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3</xdr:col>
      <xdr:colOff>22860</xdr:colOff>
      <xdr:row>5</xdr:row>
      <xdr:rowOff>74567</xdr:rowOff>
    </xdr:from>
    <xdr:to>
      <xdr:col>3</xdr:col>
      <xdr:colOff>1287054</xdr:colOff>
      <xdr:row>10</xdr:row>
      <xdr:rowOff>169272</xdr:rowOff>
    </xdr:to>
    <xdr:pic>
      <xdr:nvPicPr>
        <xdr:cNvPr id="5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4998720" y="920387"/>
          <a:ext cx="1264194" cy="94814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8346</xdr:colOff>
      <xdr:row>0</xdr:row>
      <xdr:rowOff>83820</xdr:rowOff>
    </xdr:from>
    <xdr:to>
      <xdr:col>3</xdr:col>
      <xdr:colOff>1272539</xdr:colOff>
      <xdr:row>6</xdr:row>
      <xdr:rowOff>10885</xdr:rowOff>
    </xdr:to>
    <xdr:pic>
      <xdr:nvPicPr>
        <xdr:cNvPr id="6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 bwMode="auto">
        <a:xfrm>
          <a:off x="4984206" y="83820"/>
          <a:ext cx="1264193" cy="94814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30480</xdr:colOff>
      <xdr:row>5</xdr:row>
      <xdr:rowOff>19595</xdr:rowOff>
    </xdr:from>
    <xdr:to>
      <xdr:col>4</xdr:col>
      <xdr:colOff>1294673</xdr:colOff>
      <xdr:row>10</xdr:row>
      <xdr:rowOff>114299</xdr:rowOff>
    </xdr:to>
    <xdr:pic>
      <xdr:nvPicPr>
        <xdr:cNvPr id="7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 bwMode="auto">
        <a:xfrm>
          <a:off x="6370320" y="865415"/>
          <a:ext cx="1264193" cy="94814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58509</xdr:colOff>
      <xdr:row>5</xdr:row>
      <xdr:rowOff>60696</xdr:rowOff>
    </xdr:from>
    <xdr:to>
      <xdr:col>2</xdr:col>
      <xdr:colOff>1252403</xdr:colOff>
      <xdr:row>10</xdr:row>
      <xdr:rowOff>102677</xdr:rowOff>
    </xdr:to>
    <xdr:pic>
      <xdr:nvPicPr>
        <xdr:cNvPr id="2" name="Picture 3" descr="http://im2.olx.biz.id/images_olxid/242188805_1_644x461_jual-rumah-n-tanah-majalengka-ka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693249" y="906516"/>
          <a:ext cx="1193894" cy="89542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53340</xdr:colOff>
      <xdr:row>0</xdr:row>
      <xdr:rowOff>38100</xdr:rowOff>
    </xdr:from>
    <xdr:to>
      <xdr:col>2</xdr:col>
      <xdr:colOff>1247234</xdr:colOff>
      <xdr:row>5</xdr:row>
      <xdr:rowOff>87700</xdr:rowOff>
    </xdr:to>
    <xdr:pic>
      <xdr:nvPicPr>
        <xdr:cNvPr id="3" name="Picture 3" descr="http://im2.olx.biz.id/images_olxid/242188805_1_644x461_jual-rumah-n-tanah-majalengka-kab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3688080" y="38100"/>
          <a:ext cx="1193894" cy="89542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52614</xdr:colOff>
      <xdr:row>5</xdr:row>
      <xdr:rowOff>36467</xdr:rowOff>
    </xdr:from>
    <xdr:to>
      <xdr:col>3</xdr:col>
      <xdr:colOff>1316808</xdr:colOff>
      <xdr:row>10</xdr:row>
      <xdr:rowOff>131172</xdr:rowOff>
    </xdr:to>
    <xdr:pic>
      <xdr:nvPicPr>
        <xdr:cNvPr id="4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5028474" y="882287"/>
          <a:ext cx="1264194" cy="94814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38100</xdr:colOff>
      <xdr:row>0</xdr:row>
      <xdr:rowOff>45720</xdr:rowOff>
    </xdr:from>
    <xdr:to>
      <xdr:col>3</xdr:col>
      <xdr:colOff>1302293</xdr:colOff>
      <xdr:row>5</xdr:row>
      <xdr:rowOff>148045</xdr:rowOff>
    </xdr:to>
    <xdr:pic>
      <xdr:nvPicPr>
        <xdr:cNvPr id="5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 bwMode="auto">
        <a:xfrm>
          <a:off x="5013960" y="45720"/>
          <a:ext cx="1264193" cy="94814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60234</xdr:colOff>
      <xdr:row>5</xdr:row>
      <xdr:rowOff>19595</xdr:rowOff>
    </xdr:from>
    <xdr:to>
      <xdr:col>4</xdr:col>
      <xdr:colOff>1324427</xdr:colOff>
      <xdr:row>10</xdr:row>
      <xdr:rowOff>114299</xdr:rowOff>
    </xdr:to>
    <xdr:pic>
      <xdr:nvPicPr>
        <xdr:cNvPr id="6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 bwMode="auto">
        <a:xfrm>
          <a:off x="6400074" y="865415"/>
          <a:ext cx="1264193" cy="94814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58509</xdr:colOff>
      <xdr:row>5</xdr:row>
      <xdr:rowOff>60696</xdr:rowOff>
    </xdr:from>
    <xdr:to>
      <xdr:col>2</xdr:col>
      <xdr:colOff>1252403</xdr:colOff>
      <xdr:row>10</xdr:row>
      <xdr:rowOff>102677</xdr:rowOff>
    </xdr:to>
    <xdr:pic>
      <xdr:nvPicPr>
        <xdr:cNvPr id="2" name="Picture 3" descr="http://im2.olx.biz.id/images_olxid/242188805_1_644x461_jual-rumah-n-tanah-majalengka-ka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693249" y="906516"/>
          <a:ext cx="1193894" cy="89542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53340</xdr:colOff>
      <xdr:row>0</xdr:row>
      <xdr:rowOff>38100</xdr:rowOff>
    </xdr:from>
    <xdr:to>
      <xdr:col>2</xdr:col>
      <xdr:colOff>1247234</xdr:colOff>
      <xdr:row>5</xdr:row>
      <xdr:rowOff>87700</xdr:rowOff>
    </xdr:to>
    <xdr:pic>
      <xdr:nvPicPr>
        <xdr:cNvPr id="3" name="Picture 3" descr="http://im2.olx.biz.id/images_olxid/242188805_1_644x461_jual-rumah-n-tanah-majalengka-kab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3688080" y="38100"/>
          <a:ext cx="1193894" cy="89542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52614</xdr:colOff>
      <xdr:row>5</xdr:row>
      <xdr:rowOff>36467</xdr:rowOff>
    </xdr:from>
    <xdr:to>
      <xdr:col>3</xdr:col>
      <xdr:colOff>1316808</xdr:colOff>
      <xdr:row>10</xdr:row>
      <xdr:rowOff>131172</xdr:rowOff>
    </xdr:to>
    <xdr:pic>
      <xdr:nvPicPr>
        <xdr:cNvPr id="4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5028474" y="882287"/>
          <a:ext cx="1264194" cy="94814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38100</xdr:colOff>
      <xdr:row>0</xdr:row>
      <xdr:rowOff>45720</xdr:rowOff>
    </xdr:from>
    <xdr:to>
      <xdr:col>3</xdr:col>
      <xdr:colOff>1302293</xdr:colOff>
      <xdr:row>5</xdr:row>
      <xdr:rowOff>148045</xdr:rowOff>
    </xdr:to>
    <xdr:pic>
      <xdr:nvPicPr>
        <xdr:cNvPr id="5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 bwMode="auto">
        <a:xfrm>
          <a:off x="5013960" y="45720"/>
          <a:ext cx="1264193" cy="94814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60234</xdr:colOff>
      <xdr:row>5</xdr:row>
      <xdr:rowOff>19595</xdr:rowOff>
    </xdr:from>
    <xdr:to>
      <xdr:col>4</xdr:col>
      <xdr:colOff>1324427</xdr:colOff>
      <xdr:row>10</xdr:row>
      <xdr:rowOff>114299</xdr:rowOff>
    </xdr:to>
    <xdr:pic>
      <xdr:nvPicPr>
        <xdr:cNvPr id="6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 bwMode="auto">
        <a:xfrm>
          <a:off x="6400074" y="865415"/>
          <a:ext cx="1264193" cy="94814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5</xdr:row>
      <xdr:rowOff>68580</xdr:rowOff>
    </xdr:from>
    <xdr:to>
      <xdr:col>2</xdr:col>
      <xdr:colOff>1222337</xdr:colOff>
      <xdr:row>10</xdr:row>
      <xdr:rowOff>107542</xdr:rowOff>
    </xdr:to>
    <xdr:grpSp>
      <xdr:nvGrpSpPr>
        <xdr:cNvPr id="2" name="Group 1"/>
        <xdr:cNvGrpSpPr/>
      </xdr:nvGrpSpPr>
      <xdr:grpSpPr>
        <a:xfrm>
          <a:off x="3680460" y="914400"/>
          <a:ext cx="1176617" cy="892402"/>
          <a:chOff x="7806577" y="858285"/>
          <a:chExt cx="1176617" cy="863827"/>
        </a:xfrm>
      </xdr:grpSpPr>
      <xdr:pic>
        <xdr:nvPicPr>
          <xdr:cNvPr id="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 bwMode="auto">
          <a:xfrm>
            <a:off x="7806577" y="858285"/>
            <a:ext cx="1176617" cy="863827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cxnSp macro="">
        <xdr:nvCxnSpPr>
          <xdr:cNvPr id="4" name="Straight Arrow Connector 3"/>
          <xdr:cNvCxnSpPr/>
        </xdr:nvCxnSpPr>
        <xdr:spPr bwMode="auto">
          <a:xfrm rot="10800000" flipV="1">
            <a:off x="8394643" y="1021555"/>
            <a:ext cx="419103" cy="220480"/>
          </a:xfrm>
          <a:prstGeom prst="straightConnector1">
            <a:avLst/>
          </a:prstGeom>
          <a:solidFill>
            <a:srgbClr val="FFFFFF"/>
          </a:solidFill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arrow"/>
          </a:ln>
          <a:effectLst/>
        </xdr:spPr>
      </xdr:cxnSp>
      <xdr:pic>
        <xdr:nvPicPr>
          <xdr:cNvPr id="5" name="Picture 3" descr="http://im2.olx.biz.id/images_olxid/242188805_1_644x461_jual-rumah-n-tanah-majalengka-kab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8467727" y="1335986"/>
            <a:ext cx="508000" cy="37354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3</xdr:col>
      <xdr:colOff>121922</xdr:colOff>
      <xdr:row>5</xdr:row>
      <xdr:rowOff>99060</xdr:rowOff>
    </xdr:from>
    <xdr:to>
      <xdr:col>3</xdr:col>
      <xdr:colOff>1287782</xdr:colOff>
      <xdr:row>10</xdr:row>
      <xdr:rowOff>137160</xdr:rowOff>
    </xdr:to>
    <xdr:grpSp>
      <xdr:nvGrpSpPr>
        <xdr:cNvPr id="6" name="Group 5"/>
        <xdr:cNvGrpSpPr/>
      </xdr:nvGrpSpPr>
      <xdr:grpSpPr>
        <a:xfrm>
          <a:off x="5097782" y="944880"/>
          <a:ext cx="1165860" cy="891540"/>
          <a:chOff x="15210403" y="934486"/>
          <a:chExt cx="1014896" cy="761172"/>
        </a:xfrm>
      </xdr:grpSpPr>
      <xdr:pic>
        <xdr:nvPicPr>
          <xdr:cNvPr id="7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 bwMode="auto">
          <a:xfrm>
            <a:off x="15210403" y="934486"/>
            <a:ext cx="1014896" cy="761172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 l="34634" b="31025"/>
          <a:stretch>
            <a:fillRect/>
          </a:stretch>
        </xdr:blipFill>
        <xdr:spPr bwMode="auto">
          <a:xfrm>
            <a:off x="15240000" y="1331326"/>
            <a:ext cx="427461" cy="338293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4</xdr:col>
      <xdr:colOff>114300</xdr:colOff>
      <xdr:row>5</xdr:row>
      <xdr:rowOff>99060</xdr:rowOff>
    </xdr:from>
    <xdr:to>
      <xdr:col>4</xdr:col>
      <xdr:colOff>1205978</xdr:colOff>
      <xdr:row>10</xdr:row>
      <xdr:rowOff>51457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 bwMode="auto">
        <a:xfrm>
          <a:off x="6454140" y="944880"/>
          <a:ext cx="1091678" cy="8058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5</xdr:row>
      <xdr:rowOff>68580</xdr:rowOff>
    </xdr:from>
    <xdr:to>
      <xdr:col>2</xdr:col>
      <xdr:colOff>1222337</xdr:colOff>
      <xdr:row>10</xdr:row>
      <xdr:rowOff>107542</xdr:rowOff>
    </xdr:to>
    <xdr:grpSp>
      <xdr:nvGrpSpPr>
        <xdr:cNvPr id="2" name="Group 1"/>
        <xdr:cNvGrpSpPr/>
      </xdr:nvGrpSpPr>
      <xdr:grpSpPr>
        <a:xfrm>
          <a:off x="3680460" y="914400"/>
          <a:ext cx="1176617" cy="892402"/>
          <a:chOff x="7806577" y="858285"/>
          <a:chExt cx="1176617" cy="863827"/>
        </a:xfrm>
      </xdr:grpSpPr>
      <xdr:pic>
        <xdr:nvPicPr>
          <xdr:cNvPr id="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 bwMode="auto">
          <a:xfrm>
            <a:off x="7806577" y="858285"/>
            <a:ext cx="1176617" cy="863827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cxnSp macro="">
        <xdr:nvCxnSpPr>
          <xdr:cNvPr id="4" name="Straight Arrow Connector 3"/>
          <xdr:cNvCxnSpPr/>
        </xdr:nvCxnSpPr>
        <xdr:spPr bwMode="auto">
          <a:xfrm rot="10800000" flipV="1">
            <a:off x="8394643" y="1021555"/>
            <a:ext cx="419103" cy="220480"/>
          </a:xfrm>
          <a:prstGeom prst="straightConnector1">
            <a:avLst/>
          </a:prstGeom>
          <a:solidFill>
            <a:srgbClr val="FFFFFF"/>
          </a:solidFill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arrow"/>
          </a:ln>
          <a:effectLst/>
        </xdr:spPr>
      </xdr:cxnSp>
      <xdr:pic>
        <xdr:nvPicPr>
          <xdr:cNvPr id="5" name="Picture 3" descr="http://im2.olx.biz.id/images_olxid/242188805_1_644x461_jual-rumah-n-tanah-majalengka-kab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8467727" y="1335986"/>
            <a:ext cx="508000" cy="37354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3</xdr:col>
      <xdr:colOff>121922</xdr:colOff>
      <xdr:row>5</xdr:row>
      <xdr:rowOff>99060</xdr:rowOff>
    </xdr:from>
    <xdr:to>
      <xdr:col>3</xdr:col>
      <xdr:colOff>1287782</xdr:colOff>
      <xdr:row>10</xdr:row>
      <xdr:rowOff>137160</xdr:rowOff>
    </xdr:to>
    <xdr:grpSp>
      <xdr:nvGrpSpPr>
        <xdr:cNvPr id="6" name="Group 5"/>
        <xdr:cNvGrpSpPr/>
      </xdr:nvGrpSpPr>
      <xdr:grpSpPr>
        <a:xfrm>
          <a:off x="5097782" y="944880"/>
          <a:ext cx="1165860" cy="891540"/>
          <a:chOff x="15210403" y="934486"/>
          <a:chExt cx="1014896" cy="761172"/>
        </a:xfrm>
      </xdr:grpSpPr>
      <xdr:pic>
        <xdr:nvPicPr>
          <xdr:cNvPr id="7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 bwMode="auto">
          <a:xfrm>
            <a:off x="15210403" y="934486"/>
            <a:ext cx="1014896" cy="761172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 l="34634" b="31025"/>
          <a:stretch>
            <a:fillRect/>
          </a:stretch>
        </xdr:blipFill>
        <xdr:spPr bwMode="auto">
          <a:xfrm>
            <a:off x="15240000" y="1331326"/>
            <a:ext cx="427461" cy="338293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4</xdr:col>
      <xdr:colOff>114300</xdr:colOff>
      <xdr:row>5</xdr:row>
      <xdr:rowOff>99060</xdr:rowOff>
    </xdr:from>
    <xdr:to>
      <xdr:col>4</xdr:col>
      <xdr:colOff>1205978</xdr:colOff>
      <xdr:row>10</xdr:row>
      <xdr:rowOff>51457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 bwMode="auto">
        <a:xfrm>
          <a:off x="6454140" y="944880"/>
          <a:ext cx="1091678" cy="8058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-2\f\SPL-OECF\ITEM%20BARU%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lda\Share%20folder\windows\TEMP\My%20Documents\LWO\Workings\Wenang%20-%20Menad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aka\E0\Awg-Gmd\Gmd-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fian\c\Master%20Form-%20X\FormX%20BPP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awal\laporan%20ta\Bang%20Mandiri%20Eddy%20Basir%20Tanah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her-1\kerjaan\Basic%20Work%20Program\Master%20Exel\Fa-2\Cost%20Coba%20Re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zar-pc\d\Survey_Nizar\2015\4.%20APRIL\1.%20MANDIRI%20RCC\5.%20HAERUDIN_JL.%20KP.%20COPONG\172_Mandiri_HAERUDIN_JL.%20KP.%20COPO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ni\&#160;\Ucup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ruang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ntur-acer4520\DATA%20(D)\Documents%20and%20Settings\maliana\My%20Documents\Grand%20Soho\gs3\Bvlgari%20Projection-Base%20Cas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her-1\kerjaan\Basic%20Work%20Program\Master%20Exel\Fa-2\Format%20Tana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Wiraman\My%20Documents\Documents%20and%20Settings\Wahyu\My%20Documents\Dokumen%20ku\My%20Documents\Q-1%202003\grafre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ni\d\Backup-8%202016\8.%20AGUSTUS%202016\BJB\30_BJB_Tatang%20Suryana_Jalan%20Sumawiganda,%20Blok%20Bojong-DIDU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JI\Downloads\NOMINATIF_Kertajati_2017%20FI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Wiraman\My%20Documents\Documents%20and%20Settings\Wahyu\My%20Documents\DATA-DATA\PPIC03\Data%20ppic\RANGERS\dataku\Ppic%20hari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Wiraman\My%20Documents\Documents%20and%20Settings\Wahyu\My%20Documents\HARIS.L\COMPLIT%20DATA%20PAB\REVIEW\DATA%20PENDUKUNG\PICA\PICA%20EXF%20SEPT%20PA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Wiraman\My%20Documents\Documents%20and%20Settings\Wahyu\My%20Documents\Dokumen%20ku\My%20Documents\ANDY%20SYARIF%20SARANSI\UMUM\Q-1%20LT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Wiraman\My%20Documents\Documents%20and%20Settings\Wahyu\My%20Documents\REVIEW\2005\Q1%202005\2003\Q-4%202003\Q4%2020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R%20COST.WK4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Wiraman\My%20Documents\Documents%20and%20Settings\Wahyu\My%20Documents\DATA-DATA\PPIC03\Data%20ppic\RANGERS\dataku\Su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zar\d\Documents%20and%20Settings\Maliana%20Malkan\My%20Documents\bp1\IRFAN\INTIMAS-CHEMINDO\DAPEN%20Intimas.06%20&amp;%2005-bni-aud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0000"/>
      <sheetName val="urugan"/>
      <sheetName val="beton"/>
      <sheetName val="agg a (minor)"/>
      <sheetName val="H.Sat. upah bahan &amp;alat"/>
      <sheetName val="sewa alat"/>
      <sheetName val="Current"/>
      <sheetName val="harga sat&amp;upah (2)"/>
      <sheetName val="hasil nego 1"/>
      <sheetName val="hasil nego 2a"/>
      <sheetName val="nego-final akhir"/>
      <sheetName val="cover add."/>
      <sheetName val="cover ba. evaluasi"/>
      <sheetName val="rekap oe"/>
      <sheetName val="oms 1"/>
      <sheetName val="oms 2"/>
      <sheetName val="hasil nego-final (2)"/>
      <sheetName val="hasil nego-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Dt-Rmh-Rk"/>
      <sheetName val="Menado - Land Dev. (Final)"/>
      <sheetName val="Detail Land dev."/>
      <sheetName val="Land Dev-Scen 2"/>
      <sheetName val="Detail Land dev. (2)"/>
      <sheetName val="Menado - HGB2. (Final) "/>
      <sheetName val="Detail HGB 2"/>
      <sheetName val="Sales Comp."/>
      <sheetName val="Sales Comp. (2)"/>
      <sheetName val="Sales Comp. (HGB No. 2)"/>
      <sheetName val="Sales Comp. (HGB No. 2) (2)"/>
      <sheetName val="Positioning"/>
      <sheetName val="Market Positioning"/>
      <sheetName val="10 yr val"/>
      <sheetName val="Input"/>
      <sheetName val="Financials"/>
      <sheetName val="Rkp-Jdwl"/>
      <sheetName val="Analisa Bangu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Gmd1"/>
      <sheetName val="Gmd2"/>
      <sheetName val="Sensitif"/>
      <sheetName val="Gmd3"/>
      <sheetName val="Gmd4"/>
      <sheetName val="Gmd5"/>
      <sheetName val="Katar"/>
      <sheetName val="Bab6"/>
      <sheetName val="Sheet1"/>
      <sheetName val="Hal 1"/>
      <sheetName val="TERM OF PAYMENT"/>
      <sheetName val="Sarana"/>
      <sheetName val="Peralatan juli 2009"/>
      <sheetName val="List"/>
      <sheetName val="Hal_1"/>
      <sheetName val="JSiar"/>
      <sheetName val="TBSP (fisik) (2)"/>
      <sheetName val="5 yr val"/>
      <sheetName val="Graphs"/>
      <sheetName val="Input"/>
      <sheetName val="10 yr val"/>
      <sheetName val="Financials"/>
      <sheetName val=" Summ fin."/>
      <sheetName val="NERACA"/>
      <sheetName val="Gmd-e"/>
      <sheetName val="Market Positioning"/>
      <sheetName val="Fixset"/>
      <sheetName val="Sheet01S"/>
      <sheetName val="Ner-KIE"/>
      <sheetName val="FORM X COST"/>
      <sheetName val="Peta _ Denah 6 (2)"/>
      <sheetName val="Analisa Nilai Properti"/>
      <sheetName val="Data"/>
      <sheetName val="LKH"/>
      <sheetName val="BBM-03"/>
      <sheetName val="As"/>
      <sheetName val="Kolom UT"/>
      <sheetName val="PABRIK (2)"/>
      <sheetName val="PO"/>
      <sheetName val="JADI"/>
      <sheetName val="KKTanah "/>
      <sheetName val="prg-old"/>
      <sheetName val="RATE"/>
      <sheetName val="Exc. Rate"/>
      <sheetName val="Inputs"/>
      <sheetName val="UPAH &amp; BAHAN"/>
      <sheetName val="Hal_11"/>
      <sheetName val="TERM_OF_PAYMENT"/>
      <sheetName val="Peralatan_juli_2009"/>
      <sheetName val="TBSP_(fisik)_(2)"/>
      <sheetName val="5_yr_val"/>
      <sheetName val="10_yr_val"/>
      <sheetName val="_Summ_fin_"/>
      <sheetName val="Market_Positioning"/>
      <sheetName val="Analisa_Nilai_Properti"/>
      <sheetName val="Peta___Denah_6_(2)"/>
      <sheetName val="FORM_X_COST"/>
      <sheetName val="Revenue"/>
      <sheetName val="datasheet"/>
      <sheetName val="B-Ops-KS"/>
      <sheetName val="LCC"/>
      <sheetName val="Prod-_Plasma"/>
      <sheetName val="PUMP"/>
      <sheetName val="CP TARGET"/>
      <sheetName val="CP PROYEK"/>
      <sheetName val="Valuation"/>
      <sheetName val="REKAP"/>
      <sheetName val="deposito"/>
      <sheetName val="rab_50"/>
      <sheetName val="SM-Insan 07"/>
      <sheetName val="Hit"/>
      <sheetName val="Analisa Bangunan"/>
      <sheetName val="Report Tanah"/>
      <sheetName val="Report Bangunan"/>
      <sheetName val="Report Sarana Pelengkap"/>
      <sheetName val="Resume "/>
      <sheetName val="GAMBAR 2"/>
      <sheetName val="Peta"/>
      <sheetName val="JKT"/>
      <sheetName val="fin pro centers"/>
      <sheetName val="HSP"/>
      <sheetName val="Asumsi"/>
      <sheetName val="FORM-X-1"/>
      <sheetName val="Mar"/>
      <sheetName val="RKP PLUMBING"/>
      <sheetName val="Input-Expected Case"/>
      <sheetName val="Hal_12"/>
      <sheetName val="TERM_OF_PAYMENT1"/>
      <sheetName val="Peralatan_juli_20091"/>
      <sheetName val="TBSP_(fisik)_(2)1"/>
      <sheetName val="5_yr_val1"/>
      <sheetName val="10_yr_val1"/>
      <sheetName val="_Summ_fin_1"/>
      <sheetName val="Market_Positioning1"/>
      <sheetName val="FORM_X_COST1"/>
      <sheetName val="Analisa_Nilai_Properti1"/>
      <sheetName val="Peta___Denah_6_(2)1"/>
      <sheetName val="Bill_2"/>
      <sheetName val="Kolom"/>
      <sheetName val="Analisa"/>
      <sheetName val="Bill of Quantity"/>
      <sheetName val="PileCap"/>
      <sheetName val="TB"/>
      <sheetName val="REG.INV "/>
      <sheetName val="SUM"/>
      <sheetName val="Primayudha"/>
      <sheetName val="Matrix"/>
      <sheetName val="Olah"/>
      <sheetName val="PK RM"/>
      <sheetName val="Penjumlahan"/>
      <sheetName val="KKTanah_"/>
      <sheetName val="PABRIK_(2)"/>
      <sheetName val="Kolom_UT"/>
      <sheetName val="Exc__Rate"/>
      <sheetName val="UPAH_&amp;_BAHAN"/>
      <sheetName val="Parameter (Jangan di edit)"/>
      <sheetName val="Cvr"/>
      <sheetName val="SM Bgn"/>
      <sheetName val="SM Tnh"/>
      <sheetName val="ISIAN"/>
      <sheetName val="Detail-PARENT"/>
      <sheetName val="WBS"/>
      <sheetName val="U-EK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OMPARABLE"/>
      <sheetName val="FORM X COST"/>
      <sheetName val="SPL"/>
      <sheetName val="BCT"/>
      <sheetName val="PENYUSUTAN"/>
      <sheetName val="RESUME"/>
      <sheetName val="FORM-X-1"/>
      <sheetName val="TANAH"/>
      <sheetName val="BANGUNAN"/>
      <sheetName val="FOTO"/>
      <sheetName val="GAMBAR"/>
      <sheetName val="PETA"/>
      <sheetName val="kop"/>
      <sheetName val="Sheet1"/>
      <sheetName val="Sheet2"/>
      <sheetName val="1"/>
      <sheetName val="2"/>
      <sheetName val="3"/>
      <sheetName val="As"/>
      <sheetName val="Gmd3"/>
      <sheetName val="RT"/>
      <sheetName val="ASUMSI"/>
      <sheetName val="may'03"/>
      <sheetName val="Biaya PKS"/>
      <sheetName val="Project Cost"/>
      <sheetName val="Balance"/>
      <sheetName val="Risk Analisis"/>
      <sheetName val="BEP"/>
      <sheetName val="Depre"/>
      <sheetName val="PINJAMAN-Bank"/>
      <sheetName val="INCOME"/>
      <sheetName val="Pemeliharaan"/>
      <sheetName val="Upah"/>
      <sheetName val="Bahan"/>
      <sheetName val="Cash-flow"/>
      <sheetName val="IRR"/>
      <sheetName val="IRR ALL"/>
      <sheetName val="Lab&amp;Bengkel"/>
      <sheetName val="Produksi &amp; Scedule"/>
      <sheetName val="data"/>
      <sheetName val="datasheet"/>
      <sheetName val="FORM_X_COST"/>
      <sheetName val="An Struktur"/>
      <sheetName val="An Arsitektur"/>
      <sheetName val="Unit Rate (2)"/>
      <sheetName val="rekap"/>
      <sheetName val="mat&amp;upah"/>
      <sheetName val="a-hardsc"/>
      <sheetName val="Currency Rate"/>
      <sheetName val="Harga Material Lokal"/>
      <sheetName val="Daf 1"/>
      <sheetName val="bobot"/>
      <sheetName val="Assumption"/>
      <sheetName val="List"/>
      <sheetName val="Bang-Non-St"/>
      <sheetName val="PD_Budget"/>
      <sheetName val="Debt"/>
      <sheetName val="Cash"/>
      <sheetName val="OPEX_Budget"/>
      <sheetName val="Revisi"/>
      <sheetName val="Kurs Valas"/>
      <sheetName val="Listrik (2)"/>
      <sheetName val="Resume EMA"/>
      <sheetName val="harsat"/>
      <sheetName val="Harga Bahan"/>
      <sheetName val="Bahan Upah"/>
      <sheetName val="Pabrik &amp; Central"/>
      <sheetName val="Bangunan Divisi 2"/>
      <sheetName val="Bangunan Divisi 1"/>
      <sheetName val="Tiuh Baru"/>
      <sheetName val="Negara BAtin"/>
      <sheetName val="Sarana Pelengkap"/>
      <sheetName val="spread-sheet"/>
      <sheetName val="Mesin"/>
      <sheetName val="TB"/>
      <sheetName val="Rkp-Jdwl"/>
      <sheetName val="Harga"/>
      <sheetName val="datateknis"/>
      <sheetName val="Prod- Plasma"/>
      <sheetName val="NERACA"/>
      <sheetName val="gmps"/>
      <sheetName val="K-9 Ok"/>
      <sheetName val="Harsat Bahan"/>
      <sheetName val="Harsat Upah"/>
      <sheetName val="DAF_1"/>
      <sheetName val="Listrik"/>
      <sheetName val="Bang"/>
      <sheetName val="DCF Jual-Sewa"/>
      <sheetName val="Harga Bahan &amp; Upah "/>
      <sheetName val="summary"/>
      <sheetName val="AF"/>
      <sheetName val="FormX BPPN"/>
      <sheetName val="bale"/>
      <sheetName val="E.work"/>
      <sheetName val="paving"/>
      <sheetName val="ponds"/>
      <sheetName val="R.wall"/>
      <sheetName val="RATE"/>
      <sheetName val="PileCap"/>
      <sheetName val="STRUKTUR-1"/>
      <sheetName val="AHSbj"/>
      <sheetName val="Daftar Harga"/>
      <sheetName val="Daftar Upah"/>
      <sheetName val="Analisa Harga Satuan"/>
      <sheetName val="BAG-2"/>
      <sheetName val="analisa Str"/>
      <sheetName val="Bhn"/>
      <sheetName val="Flow Product-Raw Material"/>
      <sheetName val="Marshal"/>
      <sheetName val="shareholders"/>
      <sheetName val="Lampiran"/>
      <sheetName val="Bilanz Bus.plan 2002"/>
      <sheetName val="_x0007__x0003__x001a_"/>
      <sheetName val="DCF Jual_I_x0001__x001a_"/>
      <sheetName val="DCF Jual]I_x0001__x001a_"/>
      <sheetName val="_x0000_¯9_x0003__x001a_"/>
      <sheetName val=""/>
      <sheetName val="FORM_X_COST1"/>
      <sheetName val="Biaya_PKS"/>
      <sheetName val="Project_Cost"/>
      <sheetName val="Risk_Analisis"/>
      <sheetName val="IRR_ALL"/>
      <sheetName val="Produksi_&amp;_Scedule"/>
      <sheetName val="An_Struktur"/>
      <sheetName val="An_Arsitektur"/>
      <sheetName val="Unit_Rate_(2)"/>
      <sheetName val="Currency_Rate"/>
      <sheetName val="Harga_Material_Lokal"/>
      <sheetName val="Resume_EMA"/>
      <sheetName val="Kurs_Valas"/>
      <sheetName val="Listrik_(2)"/>
      <sheetName val="Pabrik_&amp;_Central"/>
      <sheetName val="Bangunan_Divisi_2"/>
      <sheetName val="Bangunan_Divisi_1"/>
      <sheetName val="Tiuh_Baru"/>
      <sheetName val="Negara_BAtin"/>
      <sheetName val="Sarana_Pelengkap"/>
      <sheetName val="Bahan_Upah"/>
      <sheetName val="Harga_Bahan"/>
      <sheetName val="Prod-_Plasma"/>
      <sheetName val="UND"/>
      <sheetName val="TB98,oct99&amp;sap99-WPL"/>
      <sheetName val="BPP"/>
      <sheetName val="Rata2 Bpp"/>
      <sheetName val="Rata2 Smd"/>
      <sheetName val="SMD"/>
      <sheetName val="AOP-SK"/>
      <sheetName val="MA"/>
      <sheetName val="STRUKTUR"/>
      <sheetName val="ARSITEKTUR"/>
      <sheetName val="ANA-HRG"/>
      <sheetName val="Analisa &amp; Upah"/>
      <sheetName val="Olah"/>
      <sheetName val="PK RM"/>
      <sheetName val="ANALISA SNI'07(Bangli)"/>
      <sheetName val="Nilai_Kbn_mitra"/>
      <sheetName val="Jdw-KI"/>
      <sheetName val="DCF Jual`¯)_x0003__x001a_"/>
      <sheetName val="BCT-14"/>
      <sheetName val="_x005f_x0000_¯9_x005f_x0003__x005f_x001a_"/>
      <sheetName val="UPAH DAN BAHAN"/>
      <sheetName val="Rek.Analisa"/>
      <sheetName val="Rinci-Biaya"/>
      <sheetName val="Rinci-Pendapatan"/>
      <sheetName val="Pro-Base"/>
      <sheetName val="Sheet1 (3)"/>
      <sheetName val="Daftar No MAPPI"/>
      <sheetName val="LKH FEB-15"/>
      <sheetName val="SIN"/>
      <sheetName val="_x005f_x0007__x005f_x0003__x005f_x001a_"/>
      <sheetName val="DCF Jual_I_x005f_x0001__x005f_x001a_"/>
      <sheetName val="DCF Jual]I_x005f_x0001__x005f_x001a_"/>
      <sheetName val="BAG_2"/>
      <sheetName val="analisa"/>
      <sheetName val="RAB"/>
      <sheetName val="FORM_X_COST2"/>
      <sheetName val="Biaya_PKS1"/>
      <sheetName val="Project_Cost1"/>
      <sheetName val="Risk_Analisis1"/>
      <sheetName val="IRR_ALL1"/>
      <sheetName val="Produksi_&amp;_Scedule1"/>
      <sheetName val="An_Struktur1"/>
      <sheetName val="An_Arsitektur1"/>
      <sheetName val="Unit_Rate_(2)1"/>
      <sheetName val="Currency_Rate1"/>
      <sheetName val="Harga_Material_Lokal1"/>
      <sheetName val="Resume_EMA1"/>
      <sheetName val="Kurs_Valas1"/>
      <sheetName val="Listrik_(2)1"/>
      <sheetName val="Pabrik_&amp;_Central1"/>
      <sheetName val="Bangunan_Divisi_21"/>
      <sheetName val="Bangunan_Divisi_11"/>
      <sheetName val="Tiuh_Baru1"/>
      <sheetName val="Negara_BAtin1"/>
      <sheetName val="Sarana_Pelengkap1"/>
      <sheetName val="Prod-_Plasma1"/>
      <sheetName val="Bahan_Upah1"/>
      <sheetName val="Harga_Bahan1"/>
      <sheetName val="K-9_Ok1"/>
      <sheetName val="DCF_Jual-Sewa1"/>
      <sheetName val="Harsat_Bahan1"/>
      <sheetName val="Harsat_Upah1"/>
      <sheetName val="K-9_Ok"/>
      <sheetName val="DCF_Jual-Sewa"/>
      <sheetName val="Harsat_Bahan"/>
      <sheetName val="Harsat_Upah"/>
      <sheetName val="rab lt 2 bo"/>
      <sheetName val="?¯9_x0003__x001a_"/>
      <sheetName val="_x005f_x005f_x005f_x0000_¯9_x005f_x005f_x005f_x0003__x0"/>
      <sheetName val="Inputs"/>
      <sheetName val="SAT-BHN"/>
      <sheetName val="HB "/>
      <sheetName val="Pag_hal"/>
      <sheetName val="Io_N"/>
      <sheetName val="tabel"/>
      <sheetName val="Harga_Bahan_&amp;_Upah_"/>
      <sheetName val="Analisa_Harga_Satuan"/>
      <sheetName val="data-2"/>
      <sheetName val="an.mek"/>
      <sheetName val="5 yr val"/>
      <sheetName val="Graphs"/>
      <sheetName val="Input"/>
      <sheetName val="10 yr val"/>
      <sheetName val="Financials"/>
      <sheetName val=" Summ fin."/>
      <sheetName val="Add-trans"/>
      <sheetName val="S-2"/>
      <sheetName val="S-1"/>
      <sheetName val="Revenue"/>
      <sheetName val="Add-rev"/>
      <sheetName val="Exist"/>
      <sheetName val="Tot"/>
      <sheetName val="Tranponder"/>
      <sheetName val="_¯9_x0003__x001a_"/>
      <sheetName val="1.Isian"/>
      <sheetName val="OLDMAP"/>
      <sheetName val="Proper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Tanah"/>
      <sheetName val="Analisa"/>
      <sheetName val="Bangunan"/>
      <sheetName val="List"/>
      <sheetName val="BRI I"/>
      <sheetName val="Resume"/>
      <sheetName val="Data"/>
      <sheetName val="Sarana"/>
      <sheetName val="Depresiasi"/>
      <sheetName val="ue"/>
      <sheetName val="Konversi"/>
      <sheetName val="LB"/>
      <sheetName val="Sumuringin06"/>
      <sheetName val="Sb Arum06"/>
      <sheetName val="1Sumber Arum"/>
      <sheetName val="Ponco06"/>
      <sheetName val="2Ponco"/>
      <sheetName val="Parengan06"/>
      <sheetName val="3Parengan"/>
      <sheetName val="Rayung06"/>
      <sheetName val="4Rayung"/>
      <sheetName val="Raya Bangilan06"/>
      <sheetName val="5Raya Bangilan"/>
      <sheetName val="Rondokuning06"/>
      <sheetName val="6Rondo Kuning"/>
      <sheetName val="DesaBangilan06"/>
      <sheetName val="7Desa Bangilan"/>
      <sheetName val="Kutorejo06"/>
      <sheetName val="8Kutorejo"/>
      <sheetName val="Sriti"/>
      <sheetName val="Daftar No MAPPI"/>
      <sheetName val="DATA UMUM"/>
      <sheetName val="HBU"/>
      <sheetName val="Sertipikat"/>
      <sheetName val="Safety Margin"/>
      <sheetName val="1-Cover Depan"/>
      <sheetName val="2-Daftar Isi"/>
      <sheetName val="3-Pendahuluan"/>
      <sheetName val="4-Cover Dalam"/>
      <sheetName val="5-Laporan T &amp; B"/>
      <sheetName val="6-Mesin"/>
      <sheetName val="7-Laporan Kendaraan"/>
      <sheetName val="8-Laporan Inventaris"/>
      <sheetName val="Foto-Foto"/>
      <sheetName val="Lembar Asistensi (2)"/>
      <sheetName val="Lembar QC"/>
      <sheetName val="Data 1"/>
      <sheetName val="Data 2"/>
      <sheetName val="Data 3"/>
      <sheetName val="Data 4"/>
      <sheetName val="Data 5"/>
      <sheetName val="Text NP Tanah"/>
      <sheetName val="Text Total NP"/>
      <sheetName val="Text Total Likuidasi"/>
      <sheetName val="Text Likuidasi Tanah"/>
      <sheetName val="COPYWRITE"/>
      <sheetName val="Bangilan"/>
      <sheetName val="Sidotentrem"/>
      <sheetName val="Mojorranu"/>
      <sheetName val="AF"/>
      <sheetName val="As"/>
      <sheetName val="FORM X COST"/>
      <sheetName val="FS-FORECAST"/>
      <sheetName val="LEADSCHEDULE"/>
      <sheetName val="Ring"/>
      <sheetName val="BRI_I"/>
      <sheetName val="Sb_Arum06"/>
      <sheetName val="1Sumber_Arum"/>
      <sheetName val="Raya_Bangilan06"/>
      <sheetName val="5Raya_Bangilan"/>
      <sheetName val="6Rondo_Kuning"/>
      <sheetName val="7Desa_Bangilan"/>
      <sheetName val="Daftar_No_MAPPI"/>
      <sheetName val="DATA_UMUM"/>
      <sheetName val="Safety_Margin"/>
      <sheetName val="1-Cover_Depan"/>
      <sheetName val="2-Daftar_Isi"/>
      <sheetName val="4-Cover_Dalam"/>
      <sheetName val="5-Laporan_T_&amp;_B"/>
      <sheetName val="7-Laporan_Kendaraan"/>
      <sheetName val="8-Laporan_Inventaris"/>
      <sheetName val="Lembar_Asistensi_(2)"/>
      <sheetName val="Lembar_QC"/>
      <sheetName val="Data_1"/>
      <sheetName val="Data_2"/>
      <sheetName val="Data_3"/>
      <sheetName val="Data_4"/>
      <sheetName val="Data_5"/>
      <sheetName val="Text_NP_Tanah"/>
      <sheetName val="Text_Total_NP"/>
      <sheetName val="Text_Total_Likuidasi"/>
      <sheetName val="Text_Likuidasi_Tanah"/>
      <sheetName val="Gmd3"/>
      <sheetName val="FORM-B1"/>
      <sheetName val="Isian"/>
      <sheetName val="RT"/>
      <sheetName val="FORM-X-1"/>
      <sheetName val="ASUMSI"/>
      <sheetName val="Biaya PKS"/>
      <sheetName val="Produksi &amp; Scedule"/>
      <sheetName val="Project Cost"/>
      <sheetName val="Balance"/>
      <sheetName val="Risk Analisis"/>
      <sheetName val="BEP"/>
      <sheetName val="Depre"/>
      <sheetName val="PINJAMAN-Bank"/>
      <sheetName val="INCOME"/>
      <sheetName val="Pemeliharaan"/>
      <sheetName val="Upah"/>
      <sheetName val="Bahan"/>
      <sheetName val="Cash-flow"/>
      <sheetName val="IRR"/>
      <sheetName val="IRR ALL"/>
      <sheetName val="Lab&amp;Bengkel"/>
      <sheetName val="Assumption"/>
      <sheetName val="datateknis"/>
      <sheetName val="NERACA"/>
      <sheetName val="PKS"/>
      <sheetName val="FORM-ANA1"/>
      <sheetName val="BCT"/>
      <sheetName val="Bahan Upah"/>
      <sheetName val="Bang-Non-St"/>
      <sheetName val="BAG_2"/>
      <sheetName val="BOW"/>
      <sheetName val="effectif2006"/>
      <sheetName val="BRI_I1"/>
      <sheetName val="Sb_Arum061"/>
      <sheetName val="1Sumber_Arum1"/>
      <sheetName val="Raya_Bangilan061"/>
      <sheetName val="5Raya_Bangilan1"/>
      <sheetName val="6Rondo_Kuning1"/>
      <sheetName val="7Desa_Bangilan1"/>
      <sheetName val="Daftar_No_MAPPI1"/>
      <sheetName val="DATA_UMUM1"/>
      <sheetName val="Safety_Margin1"/>
      <sheetName val="1-Cover_Depan1"/>
      <sheetName val="2-Daftar_Isi1"/>
      <sheetName val="4-Cover_Dalam1"/>
      <sheetName val="5-Laporan_T_&amp;_B1"/>
      <sheetName val="7-Laporan_Kendaraan1"/>
      <sheetName val="8-Laporan_Inventaris1"/>
      <sheetName val="Lembar_Asistensi_(2)1"/>
      <sheetName val="Lembar_QC1"/>
      <sheetName val="Data_11"/>
      <sheetName val="Data_21"/>
      <sheetName val="Data_31"/>
      <sheetName val="Data_41"/>
      <sheetName val="Data_51"/>
      <sheetName val="Text_NP_Tanah1"/>
      <sheetName val="Text_Total_NP1"/>
      <sheetName val="Text_Total_Likuidasi1"/>
      <sheetName val="Text_Likuidasi_Tanah1"/>
      <sheetName val="FORM_X_COST"/>
      <sheetName val="UPAH DAN BAHAN"/>
      <sheetName val="datasheet"/>
      <sheetName val="Bg lt 4"/>
      <sheetName val="cost recovery"/>
      <sheetName val="HRG BHN"/>
      <sheetName val="Sheet2"/>
      <sheetName val="Marshal"/>
      <sheetName val="Invesment"/>
      <sheetName val="pek tanah utk irigasi"/>
      <sheetName val="CP TARGET"/>
      <sheetName val="CP PROYEK"/>
      <sheetName val="Harsat Bahan"/>
      <sheetName val="Harsat Upah"/>
      <sheetName val="2-Daftar@_x001c__x0003_"/>
      <sheetName val="_x0000_] _x0000__x0000__x0000__x0000__x0000__x0000__x0000__x0000__x0000_h[ _x0000_`^"/>
      <sheetName val="Sheet1"/>
      <sheetName val="Sheet3"/>
      <sheetName val="Text"/>
      <sheetName val="Analisa Safety Margin"/>
      <sheetName val="Cover"/>
      <sheetName val="Surat"/>
      <sheetName val="Pernyataan"/>
      <sheetName val="Form Tanah"/>
      <sheetName val="Form Bangunan"/>
      <sheetName val="Kendaraan"/>
      <sheetName val="Kesimpulan"/>
      <sheetName val="Data Pasar"/>
      <sheetName val="Rekap"/>
      <sheetName val="Analisa Bgn"/>
      <sheetName val="Luas Bangunan"/>
      <sheetName val="Prod (LBE)"/>
      <sheetName val="Hitungan Bangunan"/>
      <sheetName val="exf"/>
      <sheetName val="Karung"/>
      <sheetName val="Sales (Pabrik lc)"/>
      <sheetName val="Surat Ga kepake"/>
      <sheetName val="Biaya_PKS"/>
      <sheetName val="Produksi_&amp;_Scedule"/>
      <sheetName val="Project_Cost"/>
      <sheetName val="Risk_Analisis"/>
      <sheetName val="IRR_ALL"/>
      <sheetName val="Bahan_Upah"/>
      <sheetName val="Personnaliser votre facture"/>
      <sheetName val="Facture"/>
      <sheetName val="Export"/>
      <sheetName val=""/>
      <sheetName val="DENAH"/>
      <sheetName val="STR"/>
      <sheetName val="TB98,oct99&amp;sap99-WPL"/>
      <sheetName val="Price"/>
      <sheetName val="STRUKTUR"/>
      <sheetName val="ARSITEKTUR"/>
      <sheetName val="Financials"/>
      <sheetName val="Input"/>
      <sheetName val="10 yr val"/>
      <sheetName val="._uko Padi Mas dr BATAM_xls_._u"/>
      <sheetName val="RATE"/>
      <sheetName val="2-Daftar@_x005f_x001c__x005f_x0003_"/>
      <sheetName val="_x005f_x0000__ _x005f_x0000__x005f_x0000__x005f_x0000_"/>
      <sheetName val="Harga Bahan"/>
      <sheetName val="Ruko"/>
      <sheetName val="Exc. Rate"/>
      <sheetName val="BRI_I2"/>
      <sheetName val="Sb_Arum062"/>
      <sheetName val="1Sumber_Arum2"/>
      <sheetName val="Raya_Bangilan062"/>
      <sheetName val="5Raya_Bangilan2"/>
      <sheetName val="6Rondo_Kuning2"/>
      <sheetName val="7Desa_Bangilan2"/>
      <sheetName val="Daftar_No_MAPPI2"/>
      <sheetName val="DATA_UMUM2"/>
      <sheetName val="Safety_Margin2"/>
      <sheetName val="1-Cover_Depan2"/>
      <sheetName val="2-Daftar_Isi2"/>
      <sheetName val="4-Cover_Dalam2"/>
      <sheetName val="5-Laporan_T_&amp;_B2"/>
      <sheetName val="7-Laporan_Kendaraan2"/>
      <sheetName val="8-Laporan_Inventaris2"/>
      <sheetName val="Lembar_Asistensi_(2)2"/>
      <sheetName val="Lembar_QC2"/>
      <sheetName val="Data_12"/>
      <sheetName val="Data_22"/>
      <sheetName val="Data_32"/>
      <sheetName val="Data_42"/>
      <sheetName val="Data_52"/>
      <sheetName val="Text_NP_Tanah2"/>
      <sheetName val="Text_Total_NP2"/>
      <sheetName val="Text_Total_Likuidasi2"/>
      <sheetName val="Text_Likuidasi_Tanah2"/>
      <sheetName val="FORM_X_COST1"/>
      <sheetName val="Biaya_PKS1"/>
      <sheetName val="Produksi_&amp;_Scedule1"/>
      <sheetName val="Project_Cost1"/>
      <sheetName val="Risk_Analisis1"/>
      <sheetName val="IRR_ALL1"/>
      <sheetName val="Bahan_Upah1"/>
      <sheetName val="UPAH_DAN_BAHAN"/>
      <sheetName val="Bg_lt_4"/>
      <sheetName val="cost_recovery"/>
      <sheetName val="HRG_BHN"/>
      <sheetName val="pek_tanah_utk_irigasi"/>
      <sheetName val="CP_TARGET"/>
      <sheetName val="CP_PROYEK"/>
      <sheetName val="Harsat_Bahan"/>
      <sheetName val="Harsat_Upah"/>
      <sheetName val="Surat_Ga_kepake"/>
      <sheetName val="Analisa_Safety_Margin"/>
      <sheetName val="Form_Tanah"/>
      <sheetName val="Form_Bangunan"/>
      <sheetName val="Data_Pasar"/>
      <sheetName val="Analisa_Bgn"/>
      <sheetName val="Luas_Bangunan"/>
      <sheetName val="Prod_(LBE)"/>
      <sheetName val="Hitungan_Bangunan"/>
      <sheetName val="Sales_(Pabrik_lc)"/>
      <sheetName val="Daf 1"/>
      <sheetName val="Traf&amp;Genst"/>
      <sheetName val="Harga"/>
      <sheetName val="KALENDER"/>
      <sheetName val="Nilai_Kbn_mitra"/>
      <sheetName val="Jdw-KI"/>
      <sheetName val="?] ?????????h[ ?`^"/>
      <sheetName val="FORM-BANGUNAN"/>
      <sheetName val="Isian ok"/>
      <sheetName val="FASILITAS"/>
      <sheetName val="2-Daftar@_x005f_x005f_x005f_x001c__x005f_x005f_x"/>
      <sheetName val="_x005f_x005f_x005f_x0000__ _x005f_x005f_x005f_x0000__x"/>
      <sheetName val="RATIO"/>
      <sheetName val="Income Statement"/>
      <sheetName val="PD_Budget"/>
      <sheetName val="Debt"/>
      <sheetName val="Cash"/>
      <sheetName val="OPEX_Budget"/>
      <sheetName val="Std-Prod KS"/>
      <sheetName val="Hit Bgn"/>
      <sheetName val="shareholders"/>
      <sheetName val="Lampiran"/>
      <sheetName val="données"/>
      <sheetName val="BCT-2013"/>
      <sheetName val="B-Sut"/>
      <sheetName val="INV"/>
      <sheetName val="Bor Pile"/>
      <sheetName val="Analisa Bang"/>
      <sheetName val="206 Kendaraan"/>
      <sheetName val="FORM B"/>
      <sheetName val="FORM X"/>
      <sheetName val="BBNE"/>
      <sheetName val="BLNE"/>
      <sheetName val="ITNE"/>
      <sheetName val="KAA"/>
      <sheetName val="KMYE"/>
      <sheetName val="KT"/>
      <sheetName val="KTTG"/>
      <sheetName val="MDLE"/>
      <sheetName val="SAMAN"/>
      <sheetName val="SFRE"/>
      <sheetName val="TPZE"/>
      <sheetName val="TRG"/>
      <sheetName val="Input O&amp;M"/>
      <sheetName val="Workshop"/>
      <sheetName val="PAGAR"/>
      <sheetName val="FORM_X_1"/>
      <sheetName val="bq"/>
      <sheetName val="_x005f_x0000_] _x005f_x0000__x005f_x0000__x005f_x0000_"/>
      <sheetName val="AHSbj"/>
      <sheetName val="PABRIK (2)"/>
      <sheetName val="kumpulan"/>
    </sheetNames>
    <sheetDataSet>
      <sheetData sheetId="0" refreshError="1"/>
      <sheetData sheetId="1" refreshError="1"/>
      <sheetData sheetId="2"/>
      <sheetData sheetId="3" refreshError="1"/>
      <sheetData sheetId="4" refreshError="1">
        <row r="1">
          <cell r="B1" t="str">
            <v>Tanah Kosong</v>
          </cell>
        </row>
        <row r="2">
          <cell r="B2" t="str">
            <v>Rumah Tinggal</v>
          </cell>
        </row>
        <row r="3">
          <cell r="B3" t="str">
            <v>Pabrik / Gudang</v>
          </cell>
        </row>
        <row r="4">
          <cell r="B4" t="str">
            <v>Bengkel</v>
          </cell>
        </row>
        <row r="5">
          <cell r="B5" t="str">
            <v>Ruko</v>
          </cell>
        </row>
        <row r="6">
          <cell r="B6" t="str">
            <v>Kantor</v>
          </cell>
        </row>
        <row r="7">
          <cell r="B7" t="str">
            <v>Kandang</v>
          </cell>
        </row>
        <row r="8">
          <cell r="B8" t="str">
            <v>Kebun / Sawah</v>
          </cell>
        </row>
        <row r="9">
          <cell r="B9" t="str">
            <v>Hotel</v>
          </cell>
        </row>
        <row r="10">
          <cell r="B10" t="str">
            <v>-</v>
          </cell>
        </row>
        <row r="12">
          <cell r="B12" t="str">
            <v>Segi empat</v>
          </cell>
        </row>
        <row r="13">
          <cell r="B13" t="str">
            <v>Segi tiga</v>
          </cell>
        </row>
        <row r="14">
          <cell r="B14" t="str">
            <v>Tidak beraturan</v>
          </cell>
        </row>
        <row r="15">
          <cell r="B15" t="str">
            <v>-</v>
          </cell>
        </row>
        <row r="17">
          <cell r="B17" t="str">
            <v>Darat, urugan</v>
          </cell>
          <cell r="C17" t="str">
            <v>Lebih tinggi dari jalan</v>
          </cell>
        </row>
        <row r="18">
          <cell r="B18" t="str">
            <v>Rawa, sawah</v>
          </cell>
          <cell r="C18" t="str">
            <v>Lebih rendah dari jalan</v>
          </cell>
        </row>
        <row r="19">
          <cell r="B19" t="str">
            <v>-</v>
          </cell>
          <cell r="C19" t="str">
            <v>Sama dengan jalan</v>
          </cell>
        </row>
        <row r="20">
          <cell r="C20" t="str">
            <v>-</v>
          </cell>
        </row>
        <row r="22">
          <cell r="B22" t="str">
            <v>Baru</v>
          </cell>
        </row>
        <row r="23">
          <cell r="B23" t="str">
            <v>Baik</v>
          </cell>
        </row>
        <row r="24">
          <cell r="B24" t="str">
            <v>Cukup</v>
          </cell>
        </row>
        <row r="25">
          <cell r="B25" t="str">
            <v>Kurang</v>
          </cell>
        </row>
        <row r="26">
          <cell r="B26" t="str">
            <v>Scrap</v>
          </cell>
        </row>
        <row r="27">
          <cell r="B27" t="str">
            <v>-</v>
          </cell>
        </row>
        <row r="29">
          <cell r="B29" t="str">
            <v>HM</v>
          </cell>
        </row>
        <row r="30">
          <cell r="B30" t="str">
            <v>HGB</v>
          </cell>
        </row>
        <row r="31">
          <cell r="B31" t="str">
            <v>HGU</v>
          </cell>
        </row>
        <row r="32">
          <cell r="B32" t="str">
            <v>Hak Pakai</v>
          </cell>
        </row>
        <row r="33">
          <cell r="B33" t="str">
            <v>Sewa</v>
          </cell>
        </row>
        <row r="34">
          <cell r="B34" t="str">
            <v>Girik</v>
          </cell>
        </row>
        <row r="35">
          <cell r="B35" t="str">
            <v>Akte Jual Beli</v>
          </cell>
        </row>
        <row r="36">
          <cell r="B36" t="str">
            <v xml:space="preserve">Petok </v>
          </cell>
        </row>
        <row r="37">
          <cell r="B37" t="str">
            <v>-</v>
          </cell>
        </row>
        <row r="39">
          <cell r="B39">
            <v>1</v>
          </cell>
        </row>
        <row r="40">
          <cell r="B40">
            <v>2</v>
          </cell>
        </row>
        <row r="41">
          <cell r="B41">
            <v>3</v>
          </cell>
        </row>
        <row r="42">
          <cell r="B42">
            <v>4</v>
          </cell>
        </row>
        <row r="43">
          <cell r="B43">
            <v>5</v>
          </cell>
        </row>
        <row r="44">
          <cell r="B44">
            <v>6</v>
          </cell>
        </row>
        <row r="45">
          <cell r="B45">
            <v>7</v>
          </cell>
        </row>
        <row r="46">
          <cell r="B46">
            <v>8</v>
          </cell>
        </row>
        <row r="47">
          <cell r="B47">
            <v>9</v>
          </cell>
        </row>
        <row r="48">
          <cell r="B48">
            <v>10</v>
          </cell>
        </row>
        <row r="49">
          <cell r="B49">
            <v>0</v>
          </cell>
        </row>
        <row r="51">
          <cell r="B51" t="str">
            <v>Penawaran</v>
          </cell>
        </row>
        <row r="52">
          <cell r="B52" t="str">
            <v>Transaksi</v>
          </cell>
        </row>
        <row r="53">
          <cell r="B53" t="str">
            <v>-</v>
          </cell>
        </row>
        <row r="55">
          <cell r="B55" t="str">
            <v>Resident</v>
          </cell>
        </row>
        <row r="56">
          <cell r="B56" t="str">
            <v>Komersial</v>
          </cell>
        </row>
        <row r="57">
          <cell r="B57" t="str">
            <v>Industri</v>
          </cell>
        </row>
        <row r="58">
          <cell r="B58" t="str">
            <v>Campuran</v>
          </cell>
        </row>
        <row r="59">
          <cell r="B59" t="str">
            <v>-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DATA UMUM"/>
      <sheetName val="Tanah"/>
      <sheetName val="Bangunan"/>
      <sheetName val="Safety Margin"/>
      <sheetName val="Data 1"/>
      <sheetName val="Data 2"/>
      <sheetName val="Data 3"/>
      <sheetName val="Data 4"/>
      <sheetName val="Data 5"/>
      <sheetName val="Analisa"/>
      <sheetName val="Text"/>
      <sheetName val="COPYWRITE"/>
      <sheetName val="List"/>
      <sheetName val="FORM X COST"/>
      <sheetName val="data-5"/>
      <sheetName val="Fairqty"/>
      <sheetName val="As"/>
      <sheetName val="Mar"/>
      <sheetName val="Lap. bangunan"/>
      <sheetName val="data"/>
      <sheetName val="DATA BGN"/>
      <sheetName val="Sarana"/>
      <sheetName val="Resume"/>
      <sheetName val="Mesin"/>
      <sheetName val="Tenancy Sch"/>
      <sheetName val="Capitalisation"/>
      <sheetName val="Outgoings"/>
      <sheetName val="DATA_UMUM"/>
      <sheetName val="Safety_Margin"/>
      <sheetName val="Data_1"/>
      <sheetName val="Data_2"/>
      <sheetName val="Data_3"/>
      <sheetName val="Data_4"/>
      <sheetName val="Data_5"/>
      <sheetName val="datasheet"/>
      <sheetName val="BBNE"/>
      <sheetName val="BLNE"/>
      <sheetName val="ITNE"/>
      <sheetName val="KAA"/>
      <sheetName val="KMYE"/>
      <sheetName val="KT"/>
      <sheetName val="KTTG"/>
      <sheetName val="MDLE"/>
      <sheetName val="SAMAN"/>
      <sheetName val="SFRE"/>
      <sheetName val="SK"/>
      <sheetName val="TPZE"/>
      <sheetName val="TRG"/>
      <sheetName val="DataKlien"/>
      <sheetName val="Cover"/>
      <sheetName val="Surat"/>
      <sheetName val="Tanah "/>
      <sheetName val="Bangunan (2)"/>
      <sheetName val="Bangunan (3)"/>
      <sheetName val="Kesimpulan"/>
      <sheetName val="Marketibility"/>
      <sheetName val="Data Pembanding"/>
      <sheetName val="Peta (2)"/>
      <sheetName val="Photo"/>
      <sheetName val="Hit-Bang"/>
      <sheetName val="Teks"/>
      <sheetName val="FORM-X-1"/>
      <sheetName val="AT"/>
      <sheetName val="kki"/>
      <sheetName val="fin pro centers"/>
      <sheetName val="SUMMARY"/>
      <sheetName val="BCT"/>
      <sheetName val="Res (TB)"/>
      <sheetName val="Daftar No MAPPI"/>
      <sheetName val="RESIDU"/>
      <sheetName val="Data Harga Material"/>
      <sheetName val="T.material"/>
      <sheetName val="JSiar"/>
      <sheetName val="006"/>
      <sheetName val="_001"/>
      <sheetName val="An. Beton"/>
      <sheetName val="Cvr"/>
      <sheetName val="Depresiasi"/>
      <sheetName val="input-cost"/>
      <sheetName val="Revenue"/>
      <sheetName val="Ring"/>
      <sheetName val="GL_Account"/>
      <sheetName val="Bang-Non-St"/>
      <sheetName val="Add-trans"/>
      <sheetName val="S-2"/>
      <sheetName val="Pro-Base"/>
      <sheetName val="S-1"/>
      <sheetName val="Add-rev"/>
      <sheetName val="Exist"/>
      <sheetName val="Tot"/>
      <sheetName val="Tranpon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">
          <cell r="B1" t="str">
            <v>Tanah Kosong</v>
          </cell>
        </row>
        <row r="2">
          <cell r="B2" t="str">
            <v>Rumah Tinggal</v>
          </cell>
        </row>
        <row r="3">
          <cell r="B3" t="str">
            <v>Pabrik / Gudang</v>
          </cell>
        </row>
        <row r="4">
          <cell r="B4" t="str">
            <v>Bengkel</v>
          </cell>
        </row>
        <row r="5">
          <cell r="B5" t="str">
            <v>Kantor</v>
          </cell>
        </row>
        <row r="6">
          <cell r="B6" t="str">
            <v>Kandang</v>
          </cell>
        </row>
        <row r="7">
          <cell r="B7" t="str">
            <v>Kebun / Sawah</v>
          </cell>
        </row>
        <row r="8">
          <cell r="B8" t="str">
            <v>Hotel</v>
          </cell>
        </row>
        <row r="9">
          <cell r="B9" t="str">
            <v>-</v>
          </cell>
        </row>
        <row r="11">
          <cell r="B11" t="str">
            <v>Segi empat</v>
          </cell>
        </row>
        <row r="12">
          <cell r="B12" t="str">
            <v>Segi tiga</v>
          </cell>
        </row>
        <row r="13">
          <cell r="B13" t="str">
            <v>Trapesium</v>
          </cell>
        </row>
        <row r="14">
          <cell r="B14" t="str">
            <v>Tidak beraturan</v>
          </cell>
        </row>
        <row r="15">
          <cell r="B15" t="str">
            <v>-</v>
          </cell>
        </row>
        <row r="17">
          <cell r="B17" t="str">
            <v>Darat, urugan</v>
          </cell>
          <cell r="C17" t="str">
            <v>Lebih tinggi dari jalan</v>
          </cell>
        </row>
        <row r="18">
          <cell r="B18" t="str">
            <v>Rawa, sawah</v>
          </cell>
          <cell r="C18" t="str">
            <v>Lebih rendah dari jalan</v>
          </cell>
        </row>
        <row r="19">
          <cell r="B19" t="str">
            <v>-</v>
          </cell>
          <cell r="C19" t="str">
            <v>Sama dengan jalan</v>
          </cell>
        </row>
        <row r="20">
          <cell r="C20" t="str">
            <v>-</v>
          </cell>
        </row>
        <row r="29">
          <cell r="B29" t="str">
            <v>HM</v>
          </cell>
        </row>
        <row r="30">
          <cell r="B30" t="str">
            <v>HGB</v>
          </cell>
        </row>
        <row r="31">
          <cell r="B31" t="str">
            <v>HGU</v>
          </cell>
        </row>
        <row r="32">
          <cell r="B32" t="str">
            <v>Hak Pakai</v>
          </cell>
        </row>
        <row r="33">
          <cell r="B33" t="str">
            <v>Sewa</v>
          </cell>
        </row>
        <row r="34">
          <cell r="B34" t="str">
            <v>Girik</v>
          </cell>
        </row>
        <row r="35">
          <cell r="B35" t="str">
            <v>Akte Jual Beli</v>
          </cell>
        </row>
        <row r="36">
          <cell r="B36" t="str">
            <v xml:space="preserve">Petok </v>
          </cell>
        </row>
        <row r="37">
          <cell r="B37" t="str">
            <v>-</v>
          </cell>
        </row>
        <row r="39">
          <cell r="B39">
            <v>1</v>
          </cell>
        </row>
        <row r="40">
          <cell r="B40">
            <v>2</v>
          </cell>
        </row>
        <row r="41">
          <cell r="B41">
            <v>3</v>
          </cell>
        </row>
        <row r="42">
          <cell r="B42">
            <v>4</v>
          </cell>
        </row>
        <row r="43">
          <cell r="B43">
            <v>5</v>
          </cell>
        </row>
        <row r="44">
          <cell r="B44">
            <v>6</v>
          </cell>
        </row>
        <row r="45">
          <cell r="B45">
            <v>7</v>
          </cell>
        </row>
        <row r="46">
          <cell r="B46">
            <v>8</v>
          </cell>
        </row>
        <row r="47">
          <cell r="B47">
            <v>9</v>
          </cell>
        </row>
        <row r="48">
          <cell r="B48">
            <v>10</v>
          </cell>
        </row>
        <row r="49">
          <cell r="B49">
            <v>0</v>
          </cell>
        </row>
        <row r="51">
          <cell r="B51" t="str">
            <v>Penawaran</v>
          </cell>
        </row>
        <row r="52">
          <cell r="B52" t="str">
            <v>Transaksi</v>
          </cell>
        </row>
        <row r="53">
          <cell r="B53" t="str">
            <v>-</v>
          </cell>
        </row>
        <row r="55">
          <cell r="B55" t="str">
            <v>Resident</v>
          </cell>
        </row>
        <row r="56">
          <cell r="B56" t="str">
            <v>Komersial</v>
          </cell>
        </row>
        <row r="57">
          <cell r="B57" t="str">
            <v>Industri</v>
          </cell>
        </row>
        <row r="58">
          <cell r="B58" t="str">
            <v>Campuran</v>
          </cell>
        </row>
        <row r="59">
          <cell r="B59" t="str">
            <v>-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engantar"/>
      <sheetName val="Resume"/>
      <sheetName val="Tanah"/>
      <sheetName val="Faktor_tan"/>
      <sheetName val="Bangunan"/>
      <sheetName val="Fktr_bangunan"/>
      <sheetName val="Pr&amp;Fs"/>
      <sheetName val="Anls_tan"/>
      <sheetName val="Kes&amp;Rekom"/>
      <sheetName val="Foto"/>
      <sheetName val="Peta &amp; pembanding"/>
      <sheetName val="btb sederhana"/>
      <sheetName val="Text Total NP"/>
      <sheetName val="Text Total NP (2)"/>
      <sheetName val="Text Total NP (3)"/>
      <sheetName val="Text Total NP (4)"/>
      <sheetName val="Text Total NP (5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3">
          <cell r="D13">
            <v>0</v>
          </cell>
          <cell r="E13" t="str">
            <v>Sangat Baik</v>
          </cell>
        </row>
        <row r="14">
          <cell r="D14">
            <v>1</v>
          </cell>
          <cell r="E14" t="str">
            <v>Baik</v>
          </cell>
        </row>
        <row r="15">
          <cell r="D15">
            <v>2</v>
          </cell>
          <cell r="E15" t="str">
            <v>Cukup</v>
          </cell>
        </row>
        <row r="16">
          <cell r="D16">
            <v>3</v>
          </cell>
          <cell r="E16" t="str">
            <v>Kurang</v>
          </cell>
        </row>
        <row r="18">
          <cell r="D18">
            <v>0</v>
          </cell>
          <cell r="E18" t="str">
            <v>Sangat Baik</v>
          </cell>
        </row>
        <row r="19">
          <cell r="D19">
            <v>1</v>
          </cell>
          <cell r="E19" t="str">
            <v>Baik</v>
          </cell>
        </row>
        <row r="20">
          <cell r="D20">
            <v>2</v>
          </cell>
          <cell r="E20" t="str">
            <v>Cukup</v>
          </cell>
        </row>
        <row r="21">
          <cell r="D21">
            <v>3</v>
          </cell>
          <cell r="E21" t="str">
            <v>Kurang</v>
          </cell>
        </row>
        <row r="23">
          <cell r="D23">
            <v>0</v>
          </cell>
          <cell r="E23" t="str">
            <v>Sangat Baik</v>
          </cell>
        </row>
        <row r="24">
          <cell r="D24">
            <v>1</v>
          </cell>
          <cell r="E24" t="str">
            <v>Baik</v>
          </cell>
        </row>
        <row r="25">
          <cell r="D25">
            <v>2</v>
          </cell>
          <cell r="E25" t="str">
            <v>Cukup</v>
          </cell>
        </row>
        <row r="26">
          <cell r="D26">
            <v>3</v>
          </cell>
          <cell r="E26" t="str">
            <v>Kurang</v>
          </cell>
        </row>
      </sheetData>
      <sheetData sheetId="5" refreshError="1"/>
      <sheetData sheetId="6">
        <row r="10">
          <cell r="C10">
            <v>0</v>
          </cell>
          <cell r="D10" t="str">
            <v>Sangat Baik</v>
          </cell>
        </row>
        <row r="11">
          <cell r="C11">
            <v>1</v>
          </cell>
          <cell r="D11" t="str">
            <v>Baik</v>
          </cell>
        </row>
        <row r="12">
          <cell r="C12">
            <v>2</v>
          </cell>
          <cell r="D12" t="str">
            <v>Cukup</v>
          </cell>
        </row>
        <row r="13">
          <cell r="C13">
            <v>3</v>
          </cell>
          <cell r="D13" t="str">
            <v>Kurang</v>
          </cell>
        </row>
        <row r="15">
          <cell r="C15">
            <v>0</v>
          </cell>
          <cell r="D15" t="str">
            <v>Sangat Baik</v>
          </cell>
        </row>
        <row r="16">
          <cell r="C16">
            <v>1</v>
          </cell>
          <cell r="D16" t="str">
            <v>Baik</v>
          </cell>
        </row>
        <row r="17">
          <cell r="C17">
            <v>2</v>
          </cell>
          <cell r="D17" t="str">
            <v>Cukup</v>
          </cell>
        </row>
        <row r="18">
          <cell r="C18">
            <v>3</v>
          </cell>
          <cell r="D18" t="str">
            <v>Kurang</v>
          </cell>
        </row>
        <row r="20">
          <cell r="C20">
            <v>1</v>
          </cell>
          <cell r="D20" t="str">
            <v>Kualitas I, Permanen, Batu Bata</v>
          </cell>
        </row>
        <row r="21">
          <cell r="C21">
            <v>2</v>
          </cell>
          <cell r="D21" t="str">
            <v>Kualitas II, Permanen, Batu Bata / Batako</v>
          </cell>
        </row>
        <row r="22">
          <cell r="C22">
            <v>3</v>
          </cell>
          <cell r="D22" t="str">
            <v>Kualitas III, Semi Permanen, Batu Bata / Batako</v>
          </cell>
        </row>
        <row r="24">
          <cell r="C24">
            <v>1</v>
          </cell>
          <cell r="D24" t="str">
            <v>Marmer / Keramik * Sanatair Kualitas I</v>
          </cell>
        </row>
        <row r="25">
          <cell r="C25">
            <v>2</v>
          </cell>
          <cell r="D25" t="str">
            <v>Tegel Keramik / Teraso Kualitas II</v>
          </cell>
        </row>
        <row r="26">
          <cell r="C26">
            <v>3</v>
          </cell>
          <cell r="D26" t="str">
            <v>Semen / Tanpa Lantai</v>
          </cell>
        </row>
        <row r="28">
          <cell r="C28">
            <v>1</v>
          </cell>
          <cell r="D28" t="str">
            <v>di bawah 5 Tahun</v>
          </cell>
        </row>
        <row r="29">
          <cell r="C29">
            <v>2</v>
          </cell>
          <cell r="D29" t="str">
            <v>Antara 5 tahun s/d 10 tahun</v>
          </cell>
        </row>
        <row r="30">
          <cell r="C30">
            <v>3</v>
          </cell>
          <cell r="D30" t="str">
            <v>11 tahun ke atas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 list"/>
      <sheetName val="Sheet1"/>
      <sheetName val="Cari"/>
      <sheetName val="Sheet3"/>
    </sheetNames>
    <sheetDataSet>
      <sheetData sheetId="0">
        <row r="1">
          <cell r="A1" t="str">
            <v>Kelas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</sheetData>
      <sheetData sheetId="1">
        <row r="1">
          <cell r="A1" t="str">
            <v>ID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 ruang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XXXX"/>
      <sheetName val="Inputs"/>
      <sheetName val="LookUp Table"/>
      <sheetName val="Market Summary"/>
      <sheetName val="Market"/>
      <sheetName val="Subject"/>
      <sheetName val="USD Loan"/>
      <sheetName val="IDR Loan"/>
      <sheetName val="Cashflow IDR"/>
      <sheetName val="Cashflow IDR in mil"/>
      <sheetName val="SPA"/>
      <sheetName val="CF Input"/>
      <sheetName val="Cost Spread"/>
      <sheetName val="Feasibility Sheet"/>
      <sheetName val="List"/>
      <sheetName val="TERM OF PAYMENT"/>
      <sheetName val="Isian"/>
      <sheetName val=" INCOME STATEMENT"/>
      <sheetName val="NORMA"/>
      <sheetName val="SM Tnh"/>
      <sheetName val="SM Bgn"/>
      <sheetName val="BCT"/>
      <sheetName val="As"/>
      <sheetName val="kantor"/>
      <sheetName val="KI+KMK"/>
      <sheetName val="Nil_angka1"/>
      <sheetName val="T.material"/>
      <sheetName val="Olah"/>
      <sheetName val="10 yr val"/>
      <sheetName val="UPAH &amp; BAHAN"/>
      <sheetName val="Permanent info"/>
      <sheetName val="BAHAN"/>
      <sheetName val="JSiar"/>
      <sheetName val="HarSat"/>
      <sheetName val="NERACA"/>
      <sheetName val="GH Quantity"/>
      <sheetName val="INV"/>
      <sheetName val="Gmd3"/>
      <sheetName val="Biaya"/>
      <sheetName val="Gambar Fisik"/>
      <sheetName val="Deskrip"/>
      <sheetName val="BQNSC"/>
      <sheetName val="pek tanah utk irigasi"/>
      <sheetName val="Bvlgari Projection-Base Case"/>
      <sheetName val="Daftar No MAPPI"/>
      <sheetName val="GeneralInfo"/>
      <sheetName val="FORM X COST"/>
      <sheetName val="DCF"/>
      <sheetName val="Mar"/>
      <sheetName val="Supporting"/>
      <sheetName val="data"/>
      <sheetName val="Bang-Non-St"/>
      <sheetName val="Std-Prod KS"/>
    </sheetNames>
    <sheetDataSet>
      <sheetData sheetId="0" refreshError="1"/>
      <sheetData sheetId="1" refreshError="1">
        <row r="86">
          <cell r="F86">
            <v>38353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DATA UMUM"/>
      <sheetName val="Tanah"/>
      <sheetName val="Bangunan"/>
      <sheetName val="Safety Margin"/>
      <sheetName val="Cover"/>
      <sheetName val="Laporan"/>
      <sheetName val="Foto-Foto"/>
      <sheetName val="Data 1"/>
      <sheetName val="Data 2"/>
      <sheetName val="Data 3"/>
      <sheetName val="Data 4"/>
      <sheetName val="Data 5"/>
      <sheetName val="Analisa"/>
      <sheetName val="Text"/>
      <sheetName val="COPYWRITE"/>
      <sheetName val="List"/>
      <sheetName val="Standarisasi"/>
      <sheetName val="Isian"/>
      <sheetName val="Analisa Tanah "/>
      <sheetName val="Analisa Bangunan"/>
      <sheetName val="Pengantar"/>
      <sheetName val="Uraian 1"/>
      <sheetName val="Uraian 2"/>
      <sheetName val="Uraian 3"/>
      <sheetName val="Foto aset 1"/>
      <sheetName val="Foto aset 2"/>
      <sheetName val="gambar"/>
      <sheetName val="Peta"/>
      <sheetName val="Cheklist"/>
      <sheetName val="Pembanding"/>
      <sheetName val="Depresiasi"/>
      <sheetName val="ue"/>
      <sheetName val="As"/>
      <sheetName val="INV"/>
      <sheetName val="Gmd3"/>
      <sheetName val="HSP"/>
      <sheetName val="NERACA"/>
      <sheetName val="HarSat"/>
      <sheetName val="62404"/>
      <sheetName val="An. Bgn"/>
      <sheetName val="Input Sheet"/>
      <sheetName val="2"/>
      <sheetName val="3"/>
      <sheetName val="Valuation"/>
      <sheetName val="TERM OF PAYMENT"/>
      <sheetName val="BCT"/>
      <sheetName val="SM Bgn"/>
      <sheetName val="SM Tnh"/>
      <sheetName val="cost recovery"/>
      <sheetName val="JKT"/>
      <sheetName val="Mesin"/>
      <sheetName val="N Tnh"/>
      <sheetName val="Inputs"/>
      <sheetName val="._uko Padi Mas dr BATAM_xls_._u"/>
      <sheetName val="Bang-Non-St"/>
      <sheetName val="CP TARGET"/>
      <sheetName val="CP PROYEK"/>
      <sheetName val="UPAH &amp; BAHAN"/>
      <sheetName val="Rekap Nilai Karet"/>
      <sheetName val="Rekap Direct Cos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61">
          <cell r="A61" t="str">
            <v>DKI JAKARTA</v>
          </cell>
        </row>
        <row r="62">
          <cell r="A62" t="str">
            <v>D.I ACEH</v>
          </cell>
        </row>
        <row r="63">
          <cell r="A63" t="str">
            <v>SUMATERA UTARA</v>
          </cell>
        </row>
        <row r="64">
          <cell r="A64" t="str">
            <v>SUMATERA BARAT</v>
          </cell>
        </row>
        <row r="65">
          <cell r="A65" t="str">
            <v>RIAU</v>
          </cell>
        </row>
        <row r="66">
          <cell r="A66" t="str">
            <v>JAMBI</v>
          </cell>
        </row>
        <row r="67">
          <cell r="A67" t="str">
            <v>BENGKULU</v>
          </cell>
        </row>
        <row r="68">
          <cell r="A68" t="str">
            <v>SUMATERA SELATAN</v>
          </cell>
        </row>
        <row r="69">
          <cell r="A69" t="str">
            <v>LAMPUNG</v>
          </cell>
        </row>
        <row r="70">
          <cell r="A70" t="str">
            <v>JAWA BARAT</v>
          </cell>
        </row>
        <row r="71">
          <cell r="A71" t="str">
            <v>JAWA TENGAH</v>
          </cell>
        </row>
        <row r="72">
          <cell r="A72" t="str">
            <v>D.I YOGYAKARTA</v>
          </cell>
        </row>
        <row r="73">
          <cell r="A73" t="str">
            <v>JAWA TIMUR</v>
          </cell>
        </row>
        <row r="74">
          <cell r="A74" t="str">
            <v>BALI</v>
          </cell>
        </row>
        <row r="75">
          <cell r="A75" t="str">
            <v>NTB</v>
          </cell>
        </row>
        <row r="76">
          <cell r="A76" t="str">
            <v>NTT</v>
          </cell>
        </row>
        <row r="77">
          <cell r="A77" t="str">
            <v>KALIMANTAN TIMUR</v>
          </cell>
        </row>
        <row r="78">
          <cell r="A78" t="str">
            <v>KALIMANTAN TENGAH</v>
          </cell>
        </row>
        <row r="79">
          <cell r="A79" t="str">
            <v>KALIMANTAN BARAT</v>
          </cell>
        </row>
        <row r="80">
          <cell r="A80" t="str">
            <v>KALIMANTAN SELATAN</v>
          </cell>
        </row>
        <row r="81">
          <cell r="A81" t="str">
            <v>SULAWESI TENGAH</v>
          </cell>
        </row>
        <row r="82">
          <cell r="A82" t="str">
            <v>SULAWESI SELATAN</v>
          </cell>
        </row>
        <row r="83">
          <cell r="A83" t="str">
            <v>SULAWESI UTARA</v>
          </cell>
        </row>
        <row r="84">
          <cell r="A84" t="str">
            <v>SULAWESI TENGGARA</v>
          </cell>
        </row>
        <row r="85">
          <cell r="A85" t="str">
            <v>MALUKU</v>
          </cell>
        </row>
        <row r="86">
          <cell r="A86" t="str">
            <v>IRIAN JAYA</v>
          </cell>
        </row>
        <row r="87">
          <cell r="A87" t="str">
            <v>-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hroughput"/>
      <sheetName val="Data"/>
      <sheetName val="Rend~CPO"/>
      <sheetName val="FFA"/>
      <sheetName val="Rend~Kernel"/>
      <sheetName val="Breakdown"/>
      <sheetName val="PK Olah"/>
      <sheetName val="PO  Olah"/>
      <sheetName val="PK  RM"/>
      <sheetName val="PO  RM"/>
      <sheetName val="% Lbr vs GP"/>
      <sheetName val="Land Aplikasi"/>
      <sheetName val="Solar"/>
      <sheetName val="Smatr"/>
      <sheetName val="_ Lbr vs GP"/>
      <sheetName val="PK"/>
      <sheetName val="Data SRL"/>
      <sheetName val="Data Prod_Graf"/>
      <sheetName val="PK RM"/>
      <sheetName val="Olah"/>
      <sheetName val="TB"/>
      <sheetName val="UBA"/>
      <sheetName val="FORM-X-1"/>
      <sheetName val="grafrev"/>
      <sheetName val="DCF Jual-Sewa"/>
    </sheetNames>
    <sheetDataSet>
      <sheetData sheetId="0"/>
      <sheetData sheetId="1" refreshError="1">
        <row r="2">
          <cell r="A2">
            <v>1997</v>
          </cell>
          <cell r="B2">
            <v>2.82</v>
          </cell>
          <cell r="C2">
            <v>20.010000000000002</v>
          </cell>
          <cell r="E2">
            <v>21.97</v>
          </cell>
        </row>
        <row r="3">
          <cell r="A3">
            <v>2</v>
          </cell>
          <cell r="B3">
            <v>2.83</v>
          </cell>
          <cell r="C3">
            <v>21.69</v>
          </cell>
          <cell r="E3">
            <v>16.59</v>
          </cell>
        </row>
        <row r="4">
          <cell r="A4">
            <v>3</v>
          </cell>
          <cell r="B4">
            <v>2.66</v>
          </cell>
          <cell r="C4">
            <v>21.87</v>
          </cell>
          <cell r="E4">
            <v>16.55</v>
          </cell>
        </row>
        <row r="5">
          <cell r="A5">
            <v>4</v>
          </cell>
          <cell r="B5">
            <v>2.64</v>
          </cell>
          <cell r="C5">
            <v>22.58</v>
          </cell>
          <cell r="E5">
            <v>14.82</v>
          </cell>
        </row>
        <row r="6">
          <cell r="A6">
            <v>5</v>
          </cell>
          <cell r="B6">
            <v>2.91</v>
          </cell>
          <cell r="C6">
            <v>22.95</v>
          </cell>
          <cell r="D6">
            <v>1.58</v>
          </cell>
          <cell r="E6">
            <v>19.66</v>
          </cell>
        </row>
        <row r="7">
          <cell r="A7">
            <v>6</v>
          </cell>
          <cell r="B7">
            <v>2.37</v>
          </cell>
          <cell r="C7">
            <v>23.4</v>
          </cell>
          <cell r="D7">
            <v>3.84</v>
          </cell>
          <cell r="E7">
            <v>22.31</v>
          </cell>
        </row>
        <row r="8">
          <cell r="A8">
            <v>7</v>
          </cell>
          <cell r="B8">
            <v>2.23</v>
          </cell>
          <cell r="C8">
            <v>21.86</v>
          </cell>
          <cell r="D8">
            <v>4.21</v>
          </cell>
          <cell r="E8">
            <v>22.76</v>
          </cell>
        </row>
        <row r="9">
          <cell r="A9">
            <v>8</v>
          </cell>
          <cell r="B9">
            <v>2.97</v>
          </cell>
          <cell r="C9">
            <v>22.8</v>
          </cell>
          <cell r="D9">
            <v>4.1500000000000004</v>
          </cell>
          <cell r="E9">
            <v>21.01</v>
          </cell>
        </row>
        <row r="10">
          <cell r="A10">
            <v>9</v>
          </cell>
          <cell r="B10">
            <v>2.65</v>
          </cell>
          <cell r="C10">
            <v>23.92</v>
          </cell>
          <cell r="D10">
            <v>4.8099999999999996</v>
          </cell>
          <cell r="E10">
            <v>21.71</v>
          </cell>
        </row>
        <row r="11">
          <cell r="A11">
            <v>10</v>
          </cell>
          <cell r="B11">
            <v>2.72</v>
          </cell>
          <cell r="C11">
            <v>23.65</v>
          </cell>
          <cell r="D11">
            <v>4.83</v>
          </cell>
          <cell r="E11">
            <v>22.12</v>
          </cell>
        </row>
        <row r="12">
          <cell r="A12">
            <v>11</v>
          </cell>
          <cell r="B12">
            <v>2.69</v>
          </cell>
          <cell r="C12">
            <v>23.79</v>
          </cell>
          <cell r="D12">
            <v>4.8600000000000003</v>
          </cell>
          <cell r="E12">
            <v>21.22</v>
          </cell>
        </row>
        <row r="13">
          <cell r="A13">
            <v>12</v>
          </cell>
          <cell r="B13">
            <v>2.34</v>
          </cell>
          <cell r="C13">
            <v>23.65</v>
          </cell>
          <cell r="D13">
            <v>4.32</v>
          </cell>
          <cell r="E13">
            <v>21.81</v>
          </cell>
        </row>
        <row r="14">
          <cell r="A14">
            <v>1998</v>
          </cell>
          <cell r="B14">
            <v>2.59</v>
          </cell>
          <cell r="C14">
            <v>23.28</v>
          </cell>
          <cell r="D14">
            <v>5.62</v>
          </cell>
          <cell r="E14">
            <v>21.96</v>
          </cell>
        </row>
        <row r="15">
          <cell r="A15">
            <v>2</v>
          </cell>
          <cell r="B15">
            <v>2.68</v>
          </cell>
          <cell r="C15">
            <v>24.07</v>
          </cell>
          <cell r="D15">
            <v>4.91</v>
          </cell>
          <cell r="E15">
            <v>22.98</v>
          </cell>
        </row>
        <row r="16">
          <cell r="A16">
            <v>3</v>
          </cell>
          <cell r="B16">
            <v>2.11</v>
          </cell>
          <cell r="C16">
            <v>23.49</v>
          </cell>
          <cell r="D16">
            <v>4.6500000000000004</v>
          </cell>
          <cell r="E16">
            <v>22.43</v>
          </cell>
        </row>
        <row r="17">
          <cell r="A17">
            <v>4</v>
          </cell>
          <cell r="B17">
            <v>2.77</v>
          </cell>
          <cell r="C17">
            <v>21.08</v>
          </cell>
          <cell r="D17">
            <v>4.17</v>
          </cell>
          <cell r="E17">
            <v>22.2</v>
          </cell>
        </row>
        <row r="18">
          <cell r="A18">
            <v>5</v>
          </cell>
          <cell r="B18">
            <v>3.22</v>
          </cell>
          <cell r="C18">
            <v>19.649999999999999</v>
          </cell>
          <cell r="D18">
            <v>3.79</v>
          </cell>
          <cell r="E18">
            <v>20.63</v>
          </cell>
        </row>
        <row r="19">
          <cell r="A19">
            <v>6</v>
          </cell>
          <cell r="B19">
            <v>3.51</v>
          </cell>
          <cell r="C19">
            <v>19.28</v>
          </cell>
          <cell r="D19">
            <v>3.4</v>
          </cell>
          <cell r="E19">
            <v>21.07</v>
          </cell>
        </row>
        <row r="20">
          <cell r="A20">
            <v>7</v>
          </cell>
          <cell r="B20">
            <v>4.03</v>
          </cell>
          <cell r="C20">
            <v>18.649999999999999</v>
          </cell>
          <cell r="D20">
            <v>4.0599999999999996</v>
          </cell>
          <cell r="E20">
            <v>24.45</v>
          </cell>
        </row>
        <row r="21">
          <cell r="A21">
            <v>8</v>
          </cell>
          <cell r="B21">
            <v>5.05</v>
          </cell>
          <cell r="C21">
            <v>17.489999999999998</v>
          </cell>
          <cell r="D21">
            <v>4.04</v>
          </cell>
          <cell r="E21">
            <v>26.07</v>
          </cell>
        </row>
        <row r="22">
          <cell r="A22">
            <v>9</v>
          </cell>
          <cell r="B22">
            <v>6.44</v>
          </cell>
          <cell r="C22">
            <v>20.5</v>
          </cell>
          <cell r="D22">
            <v>4.3</v>
          </cell>
          <cell r="E22">
            <v>25.24</v>
          </cell>
        </row>
        <row r="23">
          <cell r="A23">
            <v>10</v>
          </cell>
          <cell r="B23">
            <v>7.27</v>
          </cell>
          <cell r="C23">
            <v>19.04</v>
          </cell>
          <cell r="D23">
            <v>4.2</v>
          </cell>
          <cell r="E23">
            <v>27.6</v>
          </cell>
        </row>
        <row r="24">
          <cell r="A24">
            <v>11</v>
          </cell>
          <cell r="B24">
            <v>7.17</v>
          </cell>
          <cell r="C24">
            <v>19.239999999999998</v>
          </cell>
          <cell r="D24">
            <v>4.3899999999999997</v>
          </cell>
          <cell r="E24">
            <v>27.42</v>
          </cell>
        </row>
        <row r="25">
          <cell r="A25">
            <v>12</v>
          </cell>
          <cell r="B25">
            <v>5.33</v>
          </cell>
          <cell r="C25">
            <v>19.29</v>
          </cell>
          <cell r="D25">
            <v>3.84</v>
          </cell>
          <cell r="E25">
            <v>26.37</v>
          </cell>
        </row>
        <row r="26">
          <cell r="A26">
            <v>1999</v>
          </cell>
          <cell r="B26">
            <v>4.03</v>
          </cell>
          <cell r="C26">
            <v>16.309999999999999</v>
          </cell>
          <cell r="D26">
            <v>4.01</v>
          </cell>
          <cell r="E26">
            <v>27.95</v>
          </cell>
        </row>
        <row r="27">
          <cell r="A27">
            <v>2</v>
          </cell>
          <cell r="B27">
            <v>3.27</v>
          </cell>
          <cell r="C27">
            <v>16.72</v>
          </cell>
          <cell r="D27">
            <v>4.1900000000000004</v>
          </cell>
          <cell r="E27">
            <v>28.67</v>
          </cell>
        </row>
        <row r="28">
          <cell r="A28">
            <v>3</v>
          </cell>
          <cell r="B28">
            <v>3.61</v>
          </cell>
          <cell r="C28">
            <v>18.14</v>
          </cell>
          <cell r="D28">
            <v>3.68</v>
          </cell>
          <cell r="E28">
            <v>28.03</v>
          </cell>
        </row>
        <row r="29">
          <cell r="A29">
            <v>4</v>
          </cell>
          <cell r="B29">
            <v>3.3</v>
          </cell>
          <cell r="C29">
            <v>20.14</v>
          </cell>
          <cell r="D29">
            <v>3.79</v>
          </cell>
          <cell r="E29">
            <v>22.25</v>
          </cell>
        </row>
        <row r="30">
          <cell r="A30">
            <v>5</v>
          </cell>
          <cell r="B30">
            <v>3.65</v>
          </cell>
          <cell r="C30">
            <v>19.149999999999999</v>
          </cell>
          <cell r="D30">
            <v>3.34</v>
          </cell>
          <cell r="E30">
            <v>20.48</v>
          </cell>
        </row>
        <row r="31">
          <cell r="A31">
            <v>6</v>
          </cell>
          <cell r="B31">
            <v>3.38</v>
          </cell>
          <cell r="C31">
            <v>21.02</v>
          </cell>
          <cell r="D31">
            <v>3.11</v>
          </cell>
          <cell r="E31">
            <v>19.78</v>
          </cell>
        </row>
        <row r="32">
          <cell r="A32">
            <v>7</v>
          </cell>
          <cell r="B32">
            <v>4.09</v>
          </cell>
          <cell r="C32">
            <v>20.100000000000001</v>
          </cell>
          <cell r="D32">
            <v>3.17</v>
          </cell>
          <cell r="E32">
            <v>20.3</v>
          </cell>
        </row>
        <row r="33">
          <cell r="A33">
            <v>8</v>
          </cell>
          <cell r="B33">
            <v>3.4</v>
          </cell>
          <cell r="C33">
            <v>22.01</v>
          </cell>
          <cell r="D33">
            <v>3.49</v>
          </cell>
          <cell r="E33">
            <v>21.18</v>
          </cell>
        </row>
        <row r="34">
          <cell r="A34">
            <v>9</v>
          </cell>
          <cell r="B34">
            <v>3.85</v>
          </cell>
          <cell r="C34">
            <v>21.53</v>
          </cell>
          <cell r="D34">
            <v>4.1900000000000004</v>
          </cell>
          <cell r="E34">
            <v>21.81</v>
          </cell>
        </row>
        <row r="35">
          <cell r="A35">
            <v>10</v>
          </cell>
          <cell r="B35">
            <v>3.8</v>
          </cell>
          <cell r="C35">
            <v>21.6</v>
          </cell>
          <cell r="D35">
            <v>3.68</v>
          </cell>
          <cell r="E35">
            <v>20.49</v>
          </cell>
        </row>
        <row r="36">
          <cell r="A36">
            <v>11</v>
          </cell>
          <cell r="B36">
            <v>4.5</v>
          </cell>
          <cell r="C36">
            <v>21.84</v>
          </cell>
          <cell r="D36">
            <v>3.78</v>
          </cell>
          <cell r="E36">
            <v>21.03</v>
          </cell>
        </row>
        <row r="37">
          <cell r="A37">
            <v>12</v>
          </cell>
          <cell r="B37">
            <v>2.78</v>
          </cell>
          <cell r="C37">
            <v>22.67</v>
          </cell>
          <cell r="D37">
            <v>3.44</v>
          </cell>
          <cell r="E37">
            <v>21.15</v>
          </cell>
        </row>
        <row r="38">
          <cell r="A38">
            <v>2000</v>
          </cell>
          <cell r="B38">
            <v>5.8</v>
          </cell>
          <cell r="C38">
            <v>21.52</v>
          </cell>
          <cell r="D38">
            <v>3.28</v>
          </cell>
          <cell r="E38">
            <v>19.79</v>
          </cell>
          <cell r="F38">
            <v>12.37</v>
          </cell>
          <cell r="G38">
            <v>25.6</v>
          </cell>
          <cell r="H38">
            <v>16.25</v>
          </cell>
          <cell r="I38">
            <v>7.48</v>
          </cell>
          <cell r="J38">
            <v>15.4</v>
          </cell>
          <cell r="K38">
            <v>4.1500000000000004</v>
          </cell>
        </row>
        <row r="39">
          <cell r="A39">
            <v>2</v>
          </cell>
          <cell r="B39">
            <v>4.47</v>
          </cell>
          <cell r="C39">
            <v>22.66</v>
          </cell>
          <cell r="D39">
            <v>3.57</v>
          </cell>
          <cell r="E39">
            <v>17.940000000000001</v>
          </cell>
          <cell r="F39">
            <v>12.72</v>
          </cell>
          <cell r="G39">
            <v>18.8</v>
          </cell>
          <cell r="H39">
            <v>14.69</v>
          </cell>
          <cell r="I39">
            <v>5.79</v>
          </cell>
          <cell r="J39">
            <v>47.2</v>
          </cell>
          <cell r="K39">
            <v>2.5299999999999998</v>
          </cell>
        </row>
        <row r="40">
          <cell r="A40">
            <v>3</v>
          </cell>
          <cell r="B40">
            <v>3.14</v>
          </cell>
          <cell r="C40">
            <v>21.93</v>
          </cell>
          <cell r="D40">
            <v>4.45</v>
          </cell>
          <cell r="E40">
            <v>20.72</v>
          </cell>
          <cell r="F40">
            <v>13.33</v>
          </cell>
          <cell r="G40">
            <v>20.3</v>
          </cell>
          <cell r="H40">
            <v>13.07</v>
          </cell>
          <cell r="I40">
            <v>7.68</v>
          </cell>
          <cell r="J40">
            <v>19.100000000000001</v>
          </cell>
          <cell r="K40">
            <v>2.4300000000000002</v>
          </cell>
        </row>
        <row r="41">
          <cell r="A41">
            <v>4</v>
          </cell>
          <cell r="B41">
            <v>4.45</v>
          </cell>
          <cell r="C41">
            <v>20.83</v>
          </cell>
          <cell r="D41">
            <v>4.3499999999999996</v>
          </cell>
          <cell r="E41">
            <v>20.149999999999999</v>
          </cell>
          <cell r="F41">
            <v>12.06</v>
          </cell>
          <cell r="G41">
            <v>32.299999999999997</v>
          </cell>
          <cell r="H41">
            <v>14.25</v>
          </cell>
          <cell r="I41">
            <v>10.55</v>
          </cell>
          <cell r="J41">
            <v>66.599999999999994</v>
          </cell>
          <cell r="K41">
            <v>2.63</v>
          </cell>
        </row>
        <row r="42">
          <cell r="A42">
            <v>5</v>
          </cell>
          <cell r="B42">
            <v>3.32</v>
          </cell>
          <cell r="C42">
            <v>22.03</v>
          </cell>
          <cell r="D42">
            <v>4</v>
          </cell>
          <cell r="E42">
            <v>20.309999999999999</v>
          </cell>
          <cell r="F42">
            <v>8.32</v>
          </cell>
          <cell r="G42">
            <v>28.4</v>
          </cell>
          <cell r="H42">
            <v>13.17</v>
          </cell>
          <cell r="I42">
            <v>7.41</v>
          </cell>
          <cell r="J42">
            <v>45.7</v>
          </cell>
          <cell r="K42">
            <v>1.83</v>
          </cell>
        </row>
        <row r="43">
          <cell r="A43">
            <v>6</v>
          </cell>
          <cell r="B43">
            <v>6.12</v>
          </cell>
          <cell r="C43">
            <v>20.55</v>
          </cell>
          <cell r="D43">
            <v>3.6</v>
          </cell>
          <cell r="E43">
            <v>19.07</v>
          </cell>
          <cell r="F43">
            <v>20.27</v>
          </cell>
          <cell r="G43">
            <v>42.7</v>
          </cell>
          <cell r="H43">
            <v>19.29</v>
          </cell>
          <cell r="I43">
            <v>10.66</v>
          </cell>
          <cell r="J43">
            <v>21.6</v>
          </cell>
          <cell r="K43">
            <v>2.72</v>
          </cell>
        </row>
        <row r="44">
          <cell r="A44">
            <v>7</v>
          </cell>
          <cell r="B44">
            <v>8.67</v>
          </cell>
          <cell r="C44">
            <v>18.38</v>
          </cell>
          <cell r="D44">
            <v>3.42</v>
          </cell>
          <cell r="E44">
            <v>18.75</v>
          </cell>
          <cell r="F44">
            <v>35.25</v>
          </cell>
          <cell r="G44">
            <v>74.900000000000006</v>
          </cell>
          <cell r="H44">
            <v>17.239999999999998</v>
          </cell>
          <cell r="I44">
            <v>17.510000000000002</v>
          </cell>
          <cell r="J44">
            <v>21.5</v>
          </cell>
          <cell r="K44">
            <v>2.5499999999999998</v>
          </cell>
        </row>
        <row r="45">
          <cell r="A45">
            <v>8</v>
          </cell>
          <cell r="B45">
            <v>5.93</v>
          </cell>
          <cell r="C45">
            <v>20.7</v>
          </cell>
          <cell r="D45">
            <v>3.42</v>
          </cell>
          <cell r="E45">
            <v>21.79</v>
          </cell>
          <cell r="F45">
            <v>8.59</v>
          </cell>
          <cell r="G45">
            <v>39.799999999999997</v>
          </cell>
          <cell r="H45">
            <v>14.94</v>
          </cell>
          <cell r="I45">
            <v>18.399999999999999</v>
          </cell>
          <cell r="J45">
            <v>8.7100000000000009</v>
          </cell>
          <cell r="K45">
            <v>1.54</v>
          </cell>
        </row>
        <row r="46">
          <cell r="A46">
            <v>9</v>
          </cell>
          <cell r="B46">
            <v>3.05</v>
          </cell>
          <cell r="C46">
            <v>21.01</v>
          </cell>
          <cell r="D46">
            <v>3.59</v>
          </cell>
          <cell r="E46">
            <v>20.59</v>
          </cell>
          <cell r="F46">
            <v>11.12</v>
          </cell>
          <cell r="G46">
            <v>44.7</v>
          </cell>
          <cell r="H46">
            <v>12.35</v>
          </cell>
          <cell r="I46">
            <v>11.27</v>
          </cell>
          <cell r="J46">
            <v>18.100000000000001</v>
          </cell>
          <cell r="K46">
            <v>1.8</v>
          </cell>
        </row>
        <row r="47">
          <cell r="A47">
            <v>10</v>
          </cell>
          <cell r="B47">
            <v>4.4400000000000004</v>
          </cell>
          <cell r="C47">
            <v>19.739999999999998</v>
          </cell>
          <cell r="D47">
            <v>3.53</v>
          </cell>
          <cell r="E47">
            <v>18.760000000000002</v>
          </cell>
          <cell r="F47">
            <v>6.31</v>
          </cell>
          <cell r="G47">
            <v>48.7</v>
          </cell>
          <cell r="H47">
            <v>15.09</v>
          </cell>
          <cell r="I47">
            <v>11</v>
          </cell>
          <cell r="J47">
            <v>21.4</v>
          </cell>
          <cell r="K47">
            <v>2.42</v>
          </cell>
        </row>
        <row r="48">
          <cell r="A48">
            <v>11</v>
          </cell>
          <cell r="B48">
            <v>4.25</v>
          </cell>
          <cell r="C48">
            <v>20.64</v>
          </cell>
          <cell r="D48">
            <v>3.26</v>
          </cell>
          <cell r="E48">
            <v>20.260000000000002</v>
          </cell>
          <cell r="F48">
            <v>4.3600000000000003</v>
          </cell>
          <cell r="G48">
            <v>47.5</v>
          </cell>
          <cell r="H48">
            <v>21.87</v>
          </cell>
          <cell r="I48">
            <v>15.26</v>
          </cell>
          <cell r="J48">
            <v>36</v>
          </cell>
          <cell r="K48">
            <v>2.59</v>
          </cell>
        </row>
        <row r="49">
          <cell r="A49">
            <v>12</v>
          </cell>
          <cell r="B49">
            <v>4.49</v>
          </cell>
          <cell r="C49">
            <v>20.53</v>
          </cell>
          <cell r="D49">
            <v>2.92</v>
          </cell>
          <cell r="E49">
            <v>20.59</v>
          </cell>
          <cell r="F49">
            <v>0.57999999999999996</v>
          </cell>
          <cell r="G49">
            <v>78.8</v>
          </cell>
          <cell r="H49">
            <v>20.27</v>
          </cell>
          <cell r="I49">
            <v>26.03</v>
          </cell>
          <cell r="J49">
            <v>28.6</v>
          </cell>
          <cell r="K49">
            <v>2.93</v>
          </cell>
        </row>
        <row r="50">
          <cell r="A50">
            <v>2001</v>
          </cell>
          <cell r="B50">
            <v>5.75</v>
          </cell>
          <cell r="C50">
            <v>21.64</v>
          </cell>
          <cell r="D50">
            <v>3.35</v>
          </cell>
          <cell r="E50">
            <v>21.14</v>
          </cell>
          <cell r="F50">
            <v>4.24</v>
          </cell>
          <cell r="G50">
            <v>52.47</v>
          </cell>
          <cell r="H50">
            <v>17.59</v>
          </cell>
          <cell r="I50">
            <v>17.03</v>
          </cell>
          <cell r="J50">
            <v>22.68</v>
          </cell>
          <cell r="K50">
            <v>2.65</v>
          </cell>
          <cell r="L50">
            <v>1</v>
          </cell>
          <cell r="M50">
            <v>21.64</v>
          </cell>
          <cell r="N50">
            <v>22.58</v>
          </cell>
          <cell r="O50">
            <v>3.35</v>
          </cell>
          <cell r="P50">
            <v>5.58</v>
          </cell>
          <cell r="Q50">
            <v>3.2</v>
          </cell>
        </row>
        <row r="51">
          <cell r="A51">
            <v>2</v>
          </cell>
          <cell r="B51">
            <v>4.49</v>
          </cell>
          <cell r="C51">
            <v>20.76</v>
          </cell>
          <cell r="D51">
            <v>4.0199999999999996</v>
          </cell>
          <cell r="E51">
            <v>24.11</v>
          </cell>
          <cell r="F51">
            <v>2.54</v>
          </cell>
          <cell r="G51">
            <v>54.41</v>
          </cell>
          <cell r="H51">
            <v>15.81</v>
          </cell>
          <cell r="I51">
            <v>20.43</v>
          </cell>
          <cell r="J51">
            <v>8.3800000000000008</v>
          </cell>
          <cell r="K51">
            <v>2.69</v>
          </cell>
          <cell r="L51">
            <v>2</v>
          </cell>
          <cell r="M51">
            <v>20.76</v>
          </cell>
          <cell r="N51">
            <v>23</v>
          </cell>
          <cell r="O51">
            <v>4.0199999999999996</v>
          </cell>
          <cell r="P51">
            <v>4.74</v>
          </cell>
          <cell r="Q51">
            <v>2.1800000000000002</v>
          </cell>
        </row>
        <row r="52">
          <cell r="A52">
            <v>3</v>
          </cell>
          <cell r="B52">
            <v>3.56</v>
          </cell>
          <cell r="C52">
            <v>21.7</v>
          </cell>
          <cell r="D52">
            <v>3.76</v>
          </cell>
          <cell r="E52">
            <v>24.35</v>
          </cell>
          <cell r="F52">
            <v>0.6</v>
          </cell>
          <cell r="G52">
            <v>47.69</v>
          </cell>
          <cell r="H52">
            <v>16.98</v>
          </cell>
          <cell r="I52">
            <v>17.3</v>
          </cell>
          <cell r="J52">
            <v>8.84</v>
          </cell>
          <cell r="K52">
            <v>2.15</v>
          </cell>
          <cell r="L52">
            <v>3</v>
          </cell>
          <cell r="M52">
            <v>21.7</v>
          </cell>
          <cell r="N52">
            <v>23</v>
          </cell>
          <cell r="O52">
            <v>3.76</v>
          </cell>
          <cell r="P52">
            <v>3.49</v>
          </cell>
          <cell r="Q52">
            <v>2.0499999999999998</v>
          </cell>
        </row>
        <row r="53">
          <cell r="A53">
            <v>4</v>
          </cell>
          <cell r="B53">
            <v>3.56</v>
          </cell>
          <cell r="C53">
            <v>20.84</v>
          </cell>
          <cell r="D53">
            <v>3.49</v>
          </cell>
          <cell r="E53">
            <v>24.3</v>
          </cell>
          <cell r="F53">
            <v>6.15</v>
          </cell>
          <cell r="G53">
            <v>50.47</v>
          </cell>
          <cell r="H53">
            <v>19.2</v>
          </cell>
          <cell r="I53">
            <v>16.2</v>
          </cell>
          <cell r="J53">
            <v>13.53</v>
          </cell>
          <cell r="K53">
            <v>2.15</v>
          </cell>
          <cell r="L53">
            <v>4</v>
          </cell>
          <cell r="M53">
            <v>20.84</v>
          </cell>
          <cell r="N53">
            <v>23.02</v>
          </cell>
          <cell r="O53">
            <v>3.49</v>
          </cell>
          <cell r="P53">
            <v>3.53</v>
          </cell>
          <cell r="Q53">
            <v>2.08</v>
          </cell>
        </row>
        <row r="54">
          <cell r="A54">
            <v>5</v>
          </cell>
          <cell r="B54">
            <v>3.12</v>
          </cell>
          <cell r="C54">
            <v>21.43</v>
          </cell>
          <cell r="D54">
            <v>3.46</v>
          </cell>
          <cell r="E54">
            <v>24.03</v>
          </cell>
          <cell r="F54">
            <v>0.78</v>
          </cell>
          <cell r="G54">
            <v>46.67</v>
          </cell>
          <cell r="H54">
            <v>20.98</v>
          </cell>
          <cell r="I54">
            <v>15.5</v>
          </cell>
          <cell r="J54">
            <v>16.079999999999998</v>
          </cell>
          <cell r="K54">
            <v>2.63</v>
          </cell>
          <cell r="L54">
            <v>5</v>
          </cell>
          <cell r="M54">
            <v>21.43</v>
          </cell>
          <cell r="N54">
            <v>23.21</v>
          </cell>
          <cell r="O54">
            <v>3.46</v>
          </cell>
          <cell r="P54">
            <v>3.04</v>
          </cell>
          <cell r="Q54">
            <v>2.35</v>
          </cell>
        </row>
        <row r="55">
          <cell r="A55">
            <v>6</v>
          </cell>
          <cell r="B55">
            <v>3.14</v>
          </cell>
          <cell r="C55">
            <v>21.01</v>
          </cell>
          <cell r="D55">
            <v>3.58</v>
          </cell>
          <cell r="E55">
            <v>24.82</v>
          </cell>
          <cell r="F55">
            <v>0.81</v>
          </cell>
          <cell r="G55">
            <v>44.14</v>
          </cell>
          <cell r="H55">
            <v>23.45</v>
          </cell>
          <cell r="I55">
            <v>9.8699999999999992</v>
          </cell>
          <cell r="J55">
            <v>18.93</v>
          </cell>
          <cell r="K55">
            <v>2.34</v>
          </cell>
          <cell r="L55">
            <v>6</v>
          </cell>
          <cell r="M55">
            <v>21.01</v>
          </cell>
          <cell r="N55">
            <v>22.83</v>
          </cell>
          <cell r="O55">
            <v>3.58</v>
          </cell>
          <cell r="P55">
            <v>3.18</v>
          </cell>
          <cell r="Q55">
            <v>2.72</v>
          </cell>
        </row>
        <row r="56">
          <cell r="A56">
            <v>7</v>
          </cell>
          <cell r="B56">
            <v>2.58</v>
          </cell>
          <cell r="C56">
            <v>21.38</v>
          </cell>
          <cell r="D56">
            <v>3.84</v>
          </cell>
          <cell r="E56">
            <v>25.08</v>
          </cell>
          <cell r="F56">
            <v>2.06</v>
          </cell>
          <cell r="G56">
            <v>46.17</v>
          </cell>
          <cell r="H56">
            <v>22.45</v>
          </cell>
          <cell r="I56">
            <v>29.96</v>
          </cell>
          <cell r="J56">
            <v>37.51</v>
          </cell>
          <cell r="K56">
            <v>2.34</v>
          </cell>
          <cell r="L56">
            <v>7</v>
          </cell>
          <cell r="M56">
            <v>21.38</v>
          </cell>
          <cell r="N56">
            <v>23.07</v>
          </cell>
          <cell r="O56">
            <v>3.84</v>
          </cell>
          <cell r="P56">
            <v>2.48</v>
          </cell>
          <cell r="Q56">
            <v>2.1</v>
          </cell>
        </row>
        <row r="57">
          <cell r="A57">
            <v>8</v>
          </cell>
          <cell r="B57">
            <v>2.56</v>
          </cell>
          <cell r="C57">
            <v>21.02</v>
          </cell>
          <cell r="D57">
            <v>3.79</v>
          </cell>
          <cell r="E57">
            <v>25.79</v>
          </cell>
          <cell r="F57">
            <v>0.59</v>
          </cell>
          <cell r="G57">
            <v>41.93</v>
          </cell>
          <cell r="H57">
            <v>40.28</v>
          </cell>
          <cell r="I57">
            <v>17.420000000000002</v>
          </cell>
          <cell r="J57">
            <v>30.55</v>
          </cell>
          <cell r="K57">
            <v>2.06</v>
          </cell>
          <cell r="L57">
            <v>8</v>
          </cell>
          <cell r="M57">
            <v>21.02</v>
          </cell>
          <cell r="N57">
            <v>23.44</v>
          </cell>
          <cell r="O57">
            <v>3.79</v>
          </cell>
          <cell r="P57">
            <v>2.63</v>
          </cell>
          <cell r="Q57">
            <v>2.65</v>
          </cell>
        </row>
        <row r="58">
          <cell r="A58">
            <v>9</v>
          </cell>
          <cell r="B58">
            <v>2.88</v>
          </cell>
          <cell r="C58">
            <v>22.27</v>
          </cell>
          <cell r="D58">
            <v>3.66</v>
          </cell>
          <cell r="E58">
            <v>25.28</v>
          </cell>
          <cell r="F58">
            <v>2.5</v>
          </cell>
          <cell r="G58">
            <v>43.17</v>
          </cell>
          <cell r="H58">
            <v>29.99</v>
          </cell>
          <cell r="I58">
            <v>11.25</v>
          </cell>
          <cell r="J58">
            <v>34.130000000000003</v>
          </cell>
          <cell r="K58">
            <v>2.5</v>
          </cell>
          <cell r="L58">
            <v>9</v>
          </cell>
          <cell r="M58">
            <v>22.27</v>
          </cell>
          <cell r="N58">
            <v>23.9</v>
          </cell>
          <cell r="O58">
            <v>3.66</v>
          </cell>
          <cell r="P58">
            <v>2.68</v>
          </cell>
          <cell r="Q58">
            <v>2.5099999999999998</v>
          </cell>
        </row>
        <row r="59">
          <cell r="A59">
            <v>10</v>
          </cell>
          <cell r="B59">
            <v>2.68</v>
          </cell>
          <cell r="C59">
            <v>22.36</v>
          </cell>
          <cell r="D59">
            <v>3.63</v>
          </cell>
          <cell r="E59">
            <v>24.86</v>
          </cell>
          <cell r="F59">
            <v>2.3199999999999998</v>
          </cell>
          <cell r="G59">
            <v>41.39</v>
          </cell>
          <cell r="H59">
            <v>21.83</v>
          </cell>
          <cell r="I59">
            <v>11.78</v>
          </cell>
          <cell r="J59">
            <v>63.94</v>
          </cell>
          <cell r="K59">
            <v>2.5299999999999998</v>
          </cell>
          <cell r="L59">
            <v>10</v>
          </cell>
          <cell r="M59">
            <v>22.36</v>
          </cell>
          <cell r="N59">
            <v>24.21</v>
          </cell>
          <cell r="O59">
            <v>3.63</v>
          </cell>
          <cell r="P59">
            <v>2.66</v>
          </cell>
          <cell r="Q59">
            <v>2.3199999999999998</v>
          </cell>
        </row>
        <row r="60">
          <cell r="A60">
            <v>11</v>
          </cell>
          <cell r="B60">
            <v>2.63</v>
          </cell>
          <cell r="C60">
            <v>22.5</v>
          </cell>
          <cell r="D60">
            <v>3.55</v>
          </cell>
          <cell r="E60">
            <v>25.53</v>
          </cell>
          <cell r="F60">
            <v>2.23</v>
          </cell>
          <cell r="G60">
            <v>57.16</v>
          </cell>
          <cell r="H60">
            <v>34.86</v>
          </cell>
          <cell r="I60">
            <v>12.19</v>
          </cell>
          <cell r="J60">
            <v>43.15</v>
          </cell>
          <cell r="K60">
            <v>2.1800000000000002</v>
          </cell>
          <cell r="L60">
            <v>11</v>
          </cell>
          <cell r="M60">
            <v>22.5</v>
          </cell>
          <cell r="N60">
            <v>24.05</v>
          </cell>
          <cell r="O60">
            <v>3.55</v>
          </cell>
          <cell r="P60">
            <v>2.66</v>
          </cell>
          <cell r="Q60">
            <v>2.39</v>
          </cell>
        </row>
        <row r="61">
          <cell r="A61">
            <v>12</v>
          </cell>
          <cell r="B61">
            <v>2.73</v>
          </cell>
          <cell r="C61">
            <v>22.18</v>
          </cell>
          <cell r="D61">
            <v>3.35</v>
          </cell>
          <cell r="E61">
            <v>26.02</v>
          </cell>
          <cell r="F61">
            <v>2.59</v>
          </cell>
          <cell r="G61">
            <v>85.78</v>
          </cell>
          <cell r="H61">
            <v>21.09</v>
          </cell>
          <cell r="I61">
            <v>19.07</v>
          </cell>
          <cell r="J61">
            <v>35.200000000000003</v>
          </cell>
          <cell r="K61">
            <v>2.8</v>
          </cell>
          <cell r="L61">
            <v>12</v>
          </cell>
          <cell r="M61">
            <v>22.18</v>
          </cell>
          <cell r="N61">
            <v>23.72</v>
          </cell>
          <cell r="O61">
            <v>3.35</v>
          </cell>
          <cell r="P61">
            <v>2.41</v>
          </cell>
          <cell r="Q61">
            <v>2.36</v>
          </cell>
        </row>
        <row r="62">
          <cell r="A62">
            <v>2002</v>
          </cell>
          <cell r="B62">
            <v>3.2</v>
          </cell>
          <cell r="C62">
            <v>22.58</v>
          </cell>
          <cell r="D62">
            <v>3.82</v>
          </cell>
          <cell r="E62">
            <v>25.44</v>
          </cell>
          <cell r="F62">
            <v>2.06</v>
          </cell>
          <cell r="G62">
            <v>37.61</v>
          </cell>
          <cell r="H62">
            <v>16.38</v>
          </cell>
          <cell r="I62">
            <v>14.19</v>
          </cell>
          <cell r="J62">
            <v>10.19</v>
          </cell>
          <cell r="K62">
            <v>2.29</v>
          </cell>
          <cell r="L62" t="str">
            <v>Jan</v>
          </cell>
          <cell r="M62">
            <v>3</v>
          </cell>
        </row>
        <row r="63">
          <cell r="A63">
            <v>2</v>
          </cell>
          <cell r="B63">
            <v>2.14</v>
          </cell>
          <cell r="C63">
            <v>23</v>
          </cell>
          <cell r="D63">
            <v>3.74</v>
          </cell>
          <cell r="E63">
            <v>25.91</v>
          </cell>
          <cell r="F63">
            <v>3.5</v>
          </cell>
          <cell r="G63">
            <v>40.75</v>
          </cell>
          <cell r="H63">
            <v>25.7</v>
          </cell>
          <cell r="I63">
            <v>11.34</v>
          </cell>
          <cell r="J63">
            <v>35.81</v>
          </cell>
          <cell r="K63">
            <v>2.78</v>
          </cell>
          <cell r="L63" t="str">
            <v>Feb</v>
          </cell>
          <cell r="M63">
            <v>3</v>
          </cell>
        </row>
        <row r="64">
          <cell r="A64">
            <v>3</v>
          </cell>
          <cell r="B64">
            <v>2.04</v>
          </cell>
          <cell r="C64">
            <v>23</v>
          </cell>
          <cell r="D64">
            <v>3.55</v>
          </cell>
          <cell r="E64">
            <v>26.36</v>
          </cell>
          <cell r="F64">
            <v>2.85</v>
          </cell>
          <cell r="G64">
            <v>47.17</v>
          </cell>
          <cell r="H64">
            <v>37.619999999999997</v>
          </cell>
          <cell r="I64">
            <v>11.64</v>
          </cell>
          <cell r="J64">
            <v>26.55</v>
          </cell>
          <cell r="K64">
            <v>2.83</v>
          </cell>
          <cell r="L64" t="str">
            <v>Mar</v>
          </cell>
          <cell r="M64">
            <v>3</v>
          </cell>
        </row>
        <row r="65">
          <cell r="A65">
            <v>4</v>
          </cell>
          <cell r="B65">
            <v>2.08</v>
          </cell>
          <cell r="C65">
            <v>23.02</v>
          </cell>
          <cell r="D65">
            <v>3.63</v>
          </cell>
          <cell r="E65">
            <v>27.76</v>
          </cell>
          <cell r="F65">
            <v>0</v>
          </cell>
          <cell r="G65">
            <v>42.33</v>
          </cell>
          <cell r="H65">
            <v>31.42</v>
          </cell>
          <cell r="I65">
            <v>10.87</v>
          </cell>
          <cell r="J65">
            <v>53.95</v>
          </cell>
          <cell r="K65">
            <v>2.81</v>
          </cell>
          <cell r="L65" t="str">
            <v>Apr</v>
          </cell>
          <cell r="M65">
            <v>3</v>
          </cell>
        </row>
        <row r="66">
          <cell r="A66">
            <v>5</v>
          </cell>
          <cell r="B66">
            <v>2.36</v>
          </cell>
          <cell r="C66">
            <v>23.21</v>
          </cell>
          <cell r="D66">
            <v>3.62</v>
          </cell>
          <cell r="E66">
            <v>30.51</v>
          </cell>
          <cell r="F66">
            <v>0.4</v>
          </cell>
          <cell r="G66">
            <v>34.99</v>
          </cell>
          <cell r="H66">
            <v>29.34</v>
          </cell>
          <cell r="I66">
            <v>9.99</v>
          </cell>
          <cell r="J66">
            <v>30.93</v>
          </cell>
          <cell r="K66">
            <v>2.68</v>
          </cell>
          <cell r="L66" t="str">
            <v>Mei</v>
          </cell>
          <cell r="M66">
            <v>3</v>
          </cell>
        </row>
        <row r="67">
          <cell r="A67">
            <v>6</v>
          </cell>
          <cell r="B67">
            <v>2.74</v>
          </cell>
          <cell r="C67">
            <v>22.83</v>
          </cell>
          <cell r="D67">
            <v>3.37</v>
          </cell>
          <cell r="E67">
            <v>29.3</v>
          </cell>
          <cell r="F67">
            <v>1.97</v>
          </cell>
          <cell r="G67">
            <v>33.380000000000003</v>
          </cell>
          <cell r="H67">
            <v>31.45</v>
          </cell>
          <cell r="I67">
            <v>17.61</v>
          </cell>
          <cell r="J67">
            <v>32.21</v>
          </cell>
          <cell r="K67">
            <v>3</v>
          </cell>
          <cell r="L67" t="str">
            <v>Juni</v>
          </cell>
          <cell r="M67">
            <v>3</v>
          </cell>
        </row>
        <row r="68">
          <cell r="A68">
            <v>7</v>
          </cell>
          <cell r="B68">
            <v>2.04</v>
          </cell>
          <cell r="C68">
            <v>23.07</v>
          </cell>
          <cell r="D68">
            <v>3.44</v>
          </cell>
          <cell r="E68">
            <v>28.66</v>
          </cell>
          <cell r="F68">
            <v>1.86</v>
          </cell>
          <cell r="G68">
            <v>35.14</v>
          </cell>
          <cell r="H68">
            <v>28.28</v>
          </cell>
          <cell r="I68">
            <v>9.6300000000000008</v>
          </cell>
          <cell r="J68">
            <v>40.520000000000003</v>
          </cell>
          <cell r="K68">
            <v>2.48</v>
          </cell>
          <cell r="L68" t="str">
            <v>Juli</v>
          </cell>
          <cell r="M68">
            <v>3</v>
          </cell>
        </row>
        <row r="69">
          <cell r="A69">
            <v>8</v>
          </cell>
          <cell r="B69">
            <v>2.61</v>
          </cell>
          <cell r="C69">
            <v>23.44</v>
          </cell>
          <cell r="D69">
            <v>3.69</v>
          </cell>
          <cell r="E69">
            <v>31.95</v>
          </cell>
          <cell r="F69">
            <v>0.56999999999999995</v>
          </cell>
          <cell r="G69">
            <v>29.51</v>
          </cell>
          <cell r="H69">
            <v>16.75</v>
          </cell>
          <cell r="I69">
            <v>8.11</v>
          </cell>
          <cell r="J69">
            <v>35.43</v>
          </cell>
          <cell r="K69">
            <v>1.37</v>
          </cell>
          <cell r="L69" t="str">
            <v>Agust</v>
          </cell>
          <cell r="M69">
            <v>3</v>
          </cell>
        </row>
        <row r="70">
          <cell r="A70">
            <v>9</v>
          </cell>
          <cell r="B70">
            <v>2.56</v>
          </cell>
          <cell r="C70">
            <v>23.9</v>
          </cell>
          <cell r="D70">
            <v>3.8</v>
          </cell>
          <cell r="E70">
            <v>35.700000000000003</v>
          </cell>
          <cell r="F70">
            <v>1.47</v>
          </cell>
          <cell r="G70">
            <v>23.82</v>
          </cell>
          <cell r="H70">
            <v>16.690000000000001</v>
          </cell>
          <cell r="I70">
            <v>11.21</v>
          </cell>
          <cell r="J70">
            <v>32.090000000000003</v>
          </cell>
          <cell r="K70">
            <v>0.9</v>
          </cell>
          <cell r="L70" t="str">
            <v>Sept.</v>
          </cell>
          <cell r="M70">
            <v>3</v>
          </cell>
        </row>
        <row r="71">
          <cell r="A71">
            <v>10</v>
          </cell>
          <cell r="B71">
            <v>2.3199999999999998</v>
          </cell>
          <cell r="C71">
            <v>24.21</v>
          </cell>
          <cell r="D71">
            <v>3.78</v>
          </cell>
          <cell r="E71">
            <v>35.43</v>
          </cell>
          <cell r="F71">
            <v>1.68</v>
          </cell>
          <cell r="G71">
            <v>24.39</v>
          </cell>
          <cell r="H71">
            <v>14.23</v>
          </cell>
          <cell r="I71">
            <v>7.42</v>
          </cell>
          <cell r="J71">
            <v>33.97</v>
          </cell>
          <cell r="K71">
            <v>0.99</v>
          </cell>
          <cell r="L71" t="str">
            <v>Okt.</v>
          </cell>
          <cell r="M71">
            <v>3</v>
          </cell>
        </row>
        <row r="72">
          <cell r="A72">
            <v>11</v>
          </cell>
          <cell r="B72">
            <v>2.39</v>
          </cell>
          <cell r="C72">
            <v>24.05</v>
          </cell>
          <cell r="D72">
            <v>3.52</v>
          </cell>
          <cell r="E72">
            <v>38.020000000000003</v>
          </cell>
          <cell r="F72">
            <v>0</v>
          </cell>
          <cell r="G72">
            <v>38.700000000000003</v>
          </cell>
          <cell r="H72">
            <v>21.7</v>
          </cell>
          <cell r="I72">
            <v>10.8</v>
          </cell>
          <cell r="J72">
            <v>36.75</v>
          </cell>
          <cell r="K72">
            <v>1.27</v>
          </cell>
          <cell r="L72" t="str">
            <v>Nov.</v>
          </cell>
          <cell r="M72">
            <v>3</v>
          </cell>
        </row>
        <row r="73">
          <cell r="A73">
            <v>12</v>
          </cell>
          <cell r="B73">
            <v>2.36</v>
          </cell>
          <cell r="C73">
            <v>23.72</v>
          </cell>
          <cell r="D73">
            <v>3.44</v>
          </cell>
          <cell r="E73">
            <v>40.049999999999997</v>
          </cell>
          <cell r="F73">
            <v>0</v>
          </cell>
          <cell r="G73">
            <v>97.1</v>
          </cell>
          <cell r="H73">
            <v>27.49</v>
          </cell>
          <cell r="I73">
            <v>23.01</v>
          </cell>
          <cell r="J73">
            <v>101.85</v>
          </cell>
          <cell r="K73">
            <v>1.73</v>
          </cell>
          <cell r="L73" t="str">
            <v>Des.</v>
          </cell>
          <cell r="M73">
            <v>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32">
          <cell r="B32">
            <v>92.699025494366509</v>
          </cell>
          <cell r="C32">
            <v>91.495061130591239</v>
          </cell>
          <cell r="D32">
            <v>90.234316588633433</v>
          </cell>
          <cell r="E32">
            <v>63.137755628174247</v>
          </cell>
          <cell r="F32">
            <v>57.32</v>
          </cell>
          <cell r="G32">
            <v>64.37</v>
          </cell>
          <cell r="H32">
            <v>50.691872272065062</v>
          </cell>
          <cell r="I32">
            <v>70.222360611674233</v>
          </cell>
          <cell r="J32">
            <v>57.571915132170858</v>
          </cell>
          <cell r="K32">
            <v>53.38</v>
          </cell>
          <cell r="L32">
            <v>44.77</v>
          </cell>
          <cell r="M32">
            <v>83.31</v>
          </cell>
        </row>
      </sheetData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Kop"/>
      <sheetName val="1"/>
      <sheetName val="2"/>
      <sheetName val="3"/>
      <sheetName val="Adjusment Tanah (2)"/>
      <sheetName val="4"/>
      <sheetName val="FOTO"/>
      <sheetName val="peta &amp; pembanding"/>
      <sheetName val="FORM A"/>
      <sheetName val="BTB MAPPI Prov Jabar"/>
      <sheetName val="Kertas Kerja BTB"/>
      <sheetName val="FORM-B2"/>
      <sheetName val="FORM-C"/>
      <sheetName val="RESUME"/>
      <sheetName val="1 (2)"/>
      <sheetName val="2 (2)"/>
      <sheetName val="3 (2)"/>
      <sheetName val="LIKUIDASI"/>
      <sheetName val="Text Total NP"/>
      <sheetName val="Text Total NP (2)"/>
      <sheetName val="Score"/>
    </sheetNames>
    <sheetDataSet>
      <sheetData sheetId="0">
        <row r="12">
          <cell r="G12" t="str">
            <v>TATANG SURYANA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6">
          <cell r="E36">
            <v>3000000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Nominatif"/>
      <sheetName val="Revisi Luas"/>
      <sheetName val="Sheet1"/>
      <sheetName val="Sheet2"/>
      <sheetName val="Sheet3"/>
      <sheetName val="BIJB"/>
      <sheetName val="data 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ON  per Jam"/>
      <sheetName val="TAXREAL"/>
      <sheetName val="BREAK DOWN"/>
      <sheetName val="LOSSES"/>
      <sheetName val="GRD LTW"/>
      <sheetName val="GRD LTT"/>
      <sheetName val="GRD MMG"/>
      <sheetName val="FFA per jam"/>
      <sheetName val="CPO per PT "/>
      <sheetName val="Karung"/>
      <sheetName val="Analisa"/>
      <sheetName val="DATA LTW"/>
      <sheetName val="PABRIK (2)"/>
      <sheetName val="PO"/>
    </sheetNames>
    <sheetDataSet>
      <sheetData sheetId="0" refreshError="1">
        <row r="7">
          <cell r="C7" t="str">
            <v xml:space="preserve"> 07 - 08</v>
          </cell>
          <cell r="D7" t="str">
            <v xml:space="preserve"> 08 - 09</v>
          </cell>
          <cell r="E7" t="str">
            <v xml:space="preserve"> 09 - 10</v>
          </cell>
          <cell r="F7" t="str">
            <v xml:space="preserve"> 10 - 11</v>
          </cell>
          <cell r="G7" t="str">
            <v xml:space="preserve"> 11 - 12</v>
          </cell>
          <cell r="H7" t="str">
            <v xml:space="preserve"> 12 - 13</v>
          </cell>
          <cell r="I7" t="str">
            <v xml:space="preserve"> 13 - 14</v>
          </cell>
          <cell r="J7" t="str">
            <v xml:space="preserve"> 14 - 15</v>
          </cell>
          <cell r="K7" t="str">
            <v xml:space="preserve"> 15 - 16</v>
          </cell>
          <cell r="L7" t="str">
            <v xml:space="preserve"> 16 - 17</v>
          </cell>
          <cell r="M7" t="str">
            <v xml:space="preserve"> 17 - 18</v>
          </cell>
          <cell r="N7" t="str">
            <v xml:space="preserve"> 18 - 19</v>
          </cell>
          <cell r="O7" t="str">
            <v xml:space="preserve"> 19 - 20</v>
          </cell>
          <cell r="P7" t="str">
            <v xml:space="preserve"> 20 - 21</v>
          </cell>
          <cell r="Q7" t="str">
            <v xml:space="preserve"> 21 - 22</v>
          </cell>
          <cell r="R7" t="str">
            <v xml:space="preserve"> 22 - 23 </v>
          </cell>
          <cell r="S7" t="str">
            <v xml:space="preserve"> 23 - 24</v>
          </cell>
          <cell r="T7" t="str">
            <v xml:space="preserve"> 00 - 01</v>
          </cell>
          <cell r="U7" t="str">
            <v xml:space="preserve"> 01 - 02</v>
          </cell>
          <cell r="V7" t="str">
            <v xml:space="preserve"> 02 - 03</v>
          </cell>
          <cell r="W7" t="str">
            <v xml:space="preserve"> 03 - 04</v>
          </cell>
          <cell r="X7" t="str">
            <v xml:space="preserve"> 04 - 05</v>
          </cell>
          <cell r="Y7" t="str">
            <v xml:space="preserve"> 05 - 06</v>
          </cell>
          <cell r="Z7" t="str">
            <v xml:space="preserve"> 06 - 07</v>
          </cell>
        </row>
        <row r="8">
          <cell r="D8">
            <v>25.63</v>
          </cell>
          <cell r="E8">
            <v>21.89</v>
          </cell>
          <cell r="F8">
            <v>18.73</v>
          </cell>
          <cell r="G8">
            <v>37.619999999999997</v>
          </cell>
          <cell r="H8">
            <v>65.28</v>
          </cell>
          <cell r="I8">
            <v>44.41</v>
          </cell>
          <cell r="J8">
            <v>0</v>
          </cell>
          <cell r="K8">
            <v>67.819999999999993</v>
          </cell>
          <cell r="L8">
            <v>0</v>
          </cell>
          <cell r="M8">
            <v>67.040000000000006</v>
          </cell>
          <cell r="N8">
            <v>0</v>
          </cell>
          <cell r="O8">
            <v>61.23</v>
          </cell>
          <cell r="P8">
            <v>0</v>
          </cell>
          <cell r="Q8">
            <v>0</v>
          </cell>
          <cell r="R8">
            <v>58.11</v>
          </cell>
          <cell r="S8">
            <v>35.229999999999997</v>
          </cell>
          <cell r="T8">
            <v>62.96</v>
          </cell>
          <cell r="U8">
            <v>0</v>
          </cell>
          <cell r="V8">
            <v>38.94</v>
          </cell>
          <cell r="W8">
            <v>0</v>
          </cell>
          <cell r="X8">
            <v>33.869999999999997</v>
          </cell>
        </row>
        <row r="10">
          <cell r="D10">
            <v>64.36</v>
          </cell>
          <cell r="E10">
            <v>62.75</v>
          </cell>
          <cell r="F10">
            <v>19.84</v>
          </cell>
          <cell r="G10">
            <v>0</v>
          </cell>
          <cell r="H10">
            <v>0</v>
          </cell>
          <cell r="I10">
            <v>0</v>
          </cell>
          <cell r="J10">
            <v>66.94</v>
          </cell>
          <cell r="K10">
            <v>0</v>
          </cell>
          <cell r="L10">
            <v>71.67</v>
          </cell>
          <cell r="M10">
            <v>14.57</v>
          </cell>
          <cell r="N10">
            <v>78.03</v>
          </cell>
          <cell r="O10">
            <v>0</v>
          </cell>
          <cell r="P10">
            <v>0</v>
          </cell>
          <cell r="Q10">
            <v>65.58</v>
          </cell>
          <cell r="R10">
            <v>77.87</v>
          </cell>
          <cell r="S10">
            <v>0</v>
          </cell>
          <cell r="T10">
            <v>55.1</v>
          </cell>
          <cell r="U10">
            <v>0</v>
          </cell>
          <cell r="V10">
            <v>66.37</v>
          </cell>
          <cell r="W10">
            <v>0</v>
          </cell>
          <cell r="X10">
            <v>0</v>
          </cell>
          <cell r="Y10">
            <v>63.14</v>
          </cell>
        </row>
        <row r="11">
          <cell r="D11">
            <v>73.52</v>
          </cell>
          <cell r="E11">
            <v>79.63</v>
          </cell>
          <cell r="F11">
            <v>13.95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65.400000000000006</v>
          </cell>
          <cell r="L11">
            <v>0</v>
          </cell>
          <cell r="M11">
            <v>77.239999999999995</v>
          </cell>
          <cell r="N11">
            <v>0</v>
          </cell>
          <cell r="O11">
            <v>80.88</v>
          </cell>
          <cell r="P11">
            <v>0</v>
          </cell>
          <cell r="Q11">
            <v>68.930000000000007</v>
          </cell>
          <cell r="R11">
            <v>0</v>
          </cell>
          <cell r="S11">
            <v>70.16</v>
          </cell>
          <cell r="T11">
            <v>0</v>
          </cell>
          <cell r="U11">
            <v>73.09</v>
          </cell>
          <cell r="V11">
            <v>0</v>
          </cell>
          <cell r="W11">
            <v>55.74</v>
          </cell>
          <cell r="X11">
            <v>0</v>
          </cell>
          <cell r="Y11">
            <v>48.48</v>
          </cell>
          <cell r="Z11">
            <v>16.72</v>
          </cell>
        </row>
        <row r="12">
          <cell r="D12">
            <v>46.9</v>
          </cell>
          <cell r="E12">
            <v>17.04</v>
          </cell>
          <cell r="F12">
            <v>17.21</v>
          </cell>
          <cell r="G12">
            <v>61.03</v>
          </cell>
          <cell r="H12">
            <v>34.19</v>
          </cell>
          <cell r="I12">
            <v>55.92</v>
          </cell>
          <cell r="J12">
            <v>0</v>
          </cell>
          <cell r="K12">
            <v>0</v>
          </cell>
          <cell r="L12">
            <v>64.41</v>
          </cell>
          <cell r="M12">
            <v>86.27</v>
          </cell>
          <cell r="N12">
            <v>0</v>
          </cell>
          <cell r="O12">
            <v>0</v>
          </cell>
          <cell r="P12">
            <v>76.7</v>
          </cell>
          <cell r="Q12">
            <v>0</v>
          </cell>
          <cell r="R12">
            <v>0</v>
          </cell>
          <cell r="S12">
            <v>68.260000000000005</v>
          </cell>
          <cell r="T12">
            <v>0</v>
          </cell>
          <cell r="U12">
            <v>63.08</v>
          </cell>
          <cell r="V12">
            <v>0</v>
          </cell>
          <cell r="W12">
            <v>0</v>
          </cell>
          <cell r="X12">
            <v>62.83</v>
          </cell>
        </row>
        <row r="14">
          <cell r="D14">
            <v>65.989999999999995</v>
          </cell>
          <cell r="E14">
            <v>47.22</v>
          </cell>
          <cell r="F14">
            <v>46.13</v>
          </cell>
          <cell r="G14">
            <v>63.79</v>
          </cell>
          <cell r="H14">
            <v>6.72</v>
          </cell>
          <cell r="I14">
            <v>60.58</v>
          </cell>
          <cell r="J14">
            <v>62.19</v>
          </cell>
          <cell r="K14">
            <v>0</v>
          </cell>
          <cell r="L14">
            <v>58.38</v>
          </cell>
          <cell r="M14">
            <v>78.16</v>
          </cell>
          <cell r="N14">
            <v>69.16</v>
          </cell>
          <cell r="O14">
            <v>17.760000000000002</v>
          </cell>
          <cell r="P14">
            <v>68.19</v>
          </cell>
          <cell r="Q14">
            <v>66.989999999999995</v>
          </cell>
          <cell r="R14">
            <v>71.03</v>
          </cell>
          <cell r="S14">
            <v>44.11</v>
          </cell>
        </row>
        <row r="15">
          <cell r="D15">
            <v>14.66</v>
          </cell>
          <cell r="E15">
            <v>22.63</v>
          </cell>
          <cell r="F15">
            <v>25.78</v>
          </cell>
          <cell r="G15">
            <v>67.3</v>
          </cell>
          <cell r="H15">
            <v>60.26</v>
          </cell>
          <cell r="I15">
            <v>67.819999999999993</v>
          </cell>
          <cell r="J15">
            <v>66.150000000000006</v>
          </cell>
          <cell r="K15">
            <v>28.14</v>
          </cell>
          <cell r="L15">
            <v>71.510000000000005</v>
          </cell>
          <cell r="M15">
            <v>66.2</v>
          </cell>
          <cell r="N15">
            <v>59.15</v>
          </cell>
          <cell r="O15">
            <v>0</v>
          </cell>
          <cell r="P15">
            <v>66.94</v>
          </cell>
          <cell r="Q15">
            <v>37.17</v>
          </cell>
          <cell r="R15">
            <v>24.73</v>
          </cell>
          <cell r="S15">
            <v>53.77</v>
          </cell>
        </row>
        <row r="17">
          <cell r="D17">
            <v>38.57</v>
          </cell>
          <cell r="E17">
            <v>21.57</v>
          </cell>
          <cell r="F17">
            <v>0</v>
          </cell>
          <cell r="G17">
            <v>64.53</v>
          </cell>
          <cell r="H17">
            <v>62.14</v>
          </cell>
          <cell r="I17">
            <v>62.99</v>
          </cell>
          <cell r="J17">
            <v>71.83</v>
          </cell>
          <cell r="K17">
            <v>44.97</v>
          </cell>
          <cell r="L17">
            <v>71.63</v>
          </cell>
          <cell r="M17">
            <v>70.040000000000006</v>
          </cell>
          <cell r="N17">
            <v>78.78</v>
          </cell>
          <cell r="O17">
            <v>66.06</v>
          </cell>
          <cell r="P17">
            <v>64.209999999999994</v>
          </cell>
        </row>
        <row r="18">
          <cell r="D18">
            <v>15.51</v>
          </cell>
          <cell r="E18">
            <v>21.79</v>
          </cell>
          <cell r="F18">
            <v>38.74</v>
          </cell>
          <cell r="G18">
            <v>51.25</v>
          </cell>
          <cell r="H18">
            <v>61.21</v>
          </cell>
          <cell r="I18">
            <v>61.27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67.34</v>
          </cell>
          <cell r="O18">
            <v>60.97</v>
          </cell>
          <cell r="P18">
            <v>62.77</v>
          </cell>
          <cell r="Q18">
            <v>0</v>
          </cell>
          <cell r="R18">
            <v>66.930000000000007</v>
          </cell>
          <cell r="S18">
            <v>16.73</v>
          </cell>
          <cell r="T18">
            <v>65.86</v>
          </cell>
          <cell r="U18">
            <v>76.89</v>
          </cell>
          <cell r="V18">
            <v>31.47</v>
          </cell>
        </row>
        <row r="19">
          <cell r="D19">
            <v>24.47</v>
          </cell>
          <cell r="E19">
            <v>21.78</v>
          </cell>
          <cell r="F19">
            <v>24.76</v>
          </cell>
          <cell r="G19">
            <v>65.06</v>
          </cell>
          <cell r="H19">
            <v>60.27</v>
          </cell>
          <cell r="I19">
            <v>73.61</v>
          </cell>
          <cell r="J19">
            <v>18.579999999999998</v>
          </cell>
          <cell r="K19">
            <v>66.95</v>
          </cell>
          <cell r="L19">
            <v>21.64</v>
          </cell>
          <cell r="M19">
            <v>70.150000000000006</v>
          </cell>
          <cell r="N19">
            <v>60.47</v>
          </cell>
          <cell r="O19">
            <v>69.02</v>
          </cell>
          <cell r="P19">
            <v>49.31</v>
          </cell>
          <cell r="Q19">
            <v>64.489999999999995</v>
          </cell>
          <cell r="R19">
            <v>42.7</v>
          </cell>
        </row>
        <row r="21">
          <cell r="D21">
            <v>70.819999999999993</v>
          </cell>
          <cell r="E21">
            <v>65.92</v>
          </cell>
          <cell r="F21">
            <v>63.18</v>
          </cell>
          <cell r="G21">
            <v>61.34</v>
          </cell>
          <cell r="H21">
            <v>65.87</v>
          </cell>
          <cell r="I21">
            <v>30.3</v>
          </cell>
          <cell r="J21">
            <v>72.34</v>
          </cell>
          <cell r="K21">
            <v>73.760000000000005</v>
          </cell>
          <cell r="L21">
            <v>68.239999999999995</v>
          </cell>
          <cell r="M21">
            <v>0</v>
          </cell>
          <cell r="N21">
            <v>73.760000000000005</v>
          </cell>
          <cell r="O21">
            <v>54.71</v>
          </cell>
          <cell r="P21">
            <v>59.7</v>
          </cell>
          <cell r="Q21">
            <v>73.430000000000007</v>
          </cell>
          <cell r="R21">
            <v>65.58</v>
          </cell>
          <cell r="S21">
            <v>60.39</v>
          </cell>
          <cell r="T21">
            <v>47.07</v>
          </cell>
        </row>
        <row r="22">
          <cell r="D22">
            <v>0</v>
          </cell>
          <cell r="E22">
            <v>51.3</v>
          </cell>
          <cell r="F22">
            <v>0</v>
          </cell>
          <cell r="G22">
            <v>45.26</v>
          </cell>
          <cell r="H22">
            <v>45.73</v>
          </cell>
          <cell r="I22">
            <v>49.26</v>
          </cell>
          <cell r="J22">
            <v>64.7</v>
          </cell>
          <cell r="K22">
            <v>68.89</v>
          </cell>
          <cell r="L22">
            <v>68.91</v>
          </cell>
          <cell r="M22">
            <v>60.37</v>
          </cell>
          <cell r="N22">
            <v>34.4</v>
          </cell>
          <cell r="O22">
            <v>51.39</v>
          </cell>
          <cell r="P22">
            <v>65.31</v>
          </cell>
          <cell r="Q22">
            <v>54.59</v>
          </cell>
          <cell r="R22">
            <v>33.07</v>
          </cell>
        </row>
        <row r="24">
          <cell r="D24">
            <v>18.54</v>
          </cell>
          <cell r="E24">
            <v>20.64</v>
          </cell>
          <cell r="F24">
            <v>40.630000000000003</v>
          </cell>
          <cell r="G24">
            <v>48.56</v>
          </cell>
          <cell r="H24">
            <v>58.59</v>
          </cell>
          <cell r="I24">
            <v>72.349999999999994</v>
          </cell>
          <cell r="J24">
            <v>65.27</v>
          </cell>
          <cell r="K24">
            <v>66.599999999999994</v>
          </cell>
          <cell r="L24">
            <v>66.25</v>
          </cell>
          <cell r="M24">
            <v>56.85</v>
          </cell>
          <cell r="N24">
            <v>58</v>
          </cell>
          <cell r="O24">
            <v>33.4</v>
          </cell>
          <cell r="P24">
            <v>61.3</v>
          </cell>
          <cell r="Q24">
            <v>14.18</v>
          </cell>
        </row>
        <row r="25">
          <cell r="D25">
            <v>31.33</v>
          </cell>
          <cell r="E25">
            <v>19.07</v>
          </cell>
          <cell r="F25">
            <v>60.01</v>
          </cell>
          <cell r="G25">
            <v>59.04</v>
          </cell>
          <cell r="H25">
            <v>12.91</v>
          </cell>
          <cell r="I25">
            <v>7.32</v>
          </cell>
          <cell r="J25">
            <v>62.09</v>
          </cell>
          <cell r="K25">
            <v>76.62</v>
          </cell>
          <cell r="L25">
            <v>53.75</v>
          </cell>
          <cell r="M25">
            <v>44.49</v>
          </cell>
          <cell r="N25">
            <v>45.76</v>
          </cell>
          <cell r="O25">
            <v>60.64</v>
          </cell>
          <cell r="P25">
            <v>64.91</v>
          </cell>
          <cell r="Q25">
            <v>69.319999999999993</v>
          </cell>
        </row>
        <row r="28">
          <cell r="D28">
            <v>151.63</v>
          </cell>
          <cell r="E28">
            <v>73.62</v>
          </cell>
          <cell r="F28">
            <v>67.91</v>
          </cell>
          <cell r="G28">
            <v>50.97</v>
          </cell>
          <cell r="H28">
            <v>44.95</v>
          </cell>
          <cell r="I28">
            <v>34.5</v>
          </cell>
          <cell r="J28">
            <v>19.62</v>
          </cell>
          <cell r="K28">
            <v>0</v>
          </cell>
          <cell r="L28">
            <v>40.340000000000003</v>
          </cell>
          <cell r="M28">
            <v>58.01</v>
          </cell>
          <cell r="N28">
            <v>50.16</v>
          </cell>
          <cell r="O28">
            <v>34.619999999999997</v>
          </cell>
          <cell r="P28">
            <v>43.65</v>
          </cell>
          <cell r="Q28">
            <v>72.25</v>
          </cell>
          <cell r="R28">
            <v>78.41</v>
          </cell>
          <cell r="S28">
            <v>75.81</v>
          </cell>
          <cell r="T28">
            <v>59.11</v>
          </cell>
          <cell r="U28">
            <v>67.790000000000006</v>
          </cell>
          <cell r="V28">
            <v>63.1</v>
          </cell>
          <cell r="W28">
            <v>37.270000000000003</v>
          </cell>
          <cell r="X28">
            <v>24.94</v>
          </cell>
        </row>
        <row r="29">
          <cell r="D29">
            <v>26.65</v>
          </cell>
          <cell r="E29">
            <v>52.33</v>
          </cell>
          <cell r="F29">
            <v>40.94</v>
          </cell>
          <cell r="G29">
            <v>35.24</v>
          </cell>
          <cell r="H29">
            <v>48.18</v>
          </cell>
          <cell r="I29">
            <v>65.53</v>
          </cell>
          <cell r="J29">
            <v>84.52</v>
          </cell>
          <cell r="K29">
            <v>77.41</v>
          </cell>
          <cell r="L29">
            <v>64.73</v>
          </cell>
          <cell r="M29">
            <v>24.39</v>
          </cell>
          <cell r="N29">
            <v>47.15</v>
          </cell>
          <cell r="O29">
            <v>65.66</v>
          </cell>
          <cell r="P29">
            <v>67.650000000000006</v>
          </cell>
          <cell r="Q29">
            <v>60.85</v>
          </cell>
          <cell r="R29">
            <v>32.119999999999997</v>
          </cell>
        </row>
        <row r="31">
          <cell r="D31">
            <v>11.55</v>
          </cell>
          <cell r="E31">
            <v>34.79</v>
          </cell>
          <cell r="F31">
            <v>19.64</v>
          </cell>
          <cell r="G31">
            <v>47.32</v>
          </cell>
          <cell r="H31">
            <v>37.11</v>
          </cell>
          <cell r="I31">
            <v>60.54</v>
          </cell>
          <cell r="J31">
            <v>54.3</v>
          </cell>
          <cell r="K31">
            <v>67.150000000000006</v>
          </cell>
          <cell r="L31">
            <v>65</v>
          </cell>
          <cell r="M31">
            <v>66.400000000000006</v>
          </cell>
          <cell r="N31">
            <v>54.66</v>
          </cell>
          <cell r="O31">
            <v>44.09</v>
          </cell>
          <cell r="P31">
            <v>67.430000000000007</v>
          </cell>
          <cell r="Q31">
            <v>54.58</v>
          </cell>
          <cell r="R31">
            <v>16.559999999999999</v>
          </cell>
        </row>
        <row r="32">
          <cell r="D32">
            <v>0</v>
          </cell>
          <cell r="E32">
            <v>38.090000000000003</v>
          </cell>
          <cell r="F32">
            <v>32.299999999999997</v>
          </cell>
          <cell r="G32">
            <v>30.89</v>
          </cell>
          <cell r="H32">
            <v>0</v>
          </cell>
          <cell r="I32">
            <v>47.18</v>
          </cell>
          <cell r="J32">
            <v>55.7</v>
          </cell>
          <cell r="K32">
            <v>69.5</v>
          </cell>
          <cell r="L32">
            <v>61.42</v>
          </cell>
          <cell r="M32">
            <v>64.52</v>
          </cell>
          <cell r="N32">
            <v>57.89</v>
          </cell>
          <cell r="O32">
            <v>64.22</v>
          </cell>
          <cell r="P32">
            <v>66.63</v>
          </cell>
          <cell r="Q32">
            <v>64.900000000000006</v>
          </cell>
          <cell r="R32">
            <v>56.82</v>
          </cell>
          <cell r="S32">
            <v>31.39</v>
          </cell>
        </row>
        <row r="33">
          <cell r="D33">
            <v>4.75</v>
          </cell>
          <cell r="E33">
            <v>23.89</v>
          </cell>
          <cell r="F33">
            <v>10.71</v>
          </cell>
          <cell r="G33">
            <v>26.78</v>
          </cell>
          <cell r="H33">
            <v>65.81</v>
          </cell>
          <cell r="I33">
            <v>64.209999999999994</v>
          </cell>
          <cell r="J33">
            <v>76.66</v>
          </cell>
          <cell r="K33">
            <v>52.41</v>
          </cell>
          <cell r="L33">
            <v>48.01</v>
          </cell>
          <cell r="M33">
            <v>57.78</v>
          </cell>
          <cell r="N33">
            <v>64.13</v>
          </cell>
          <cell r="O33">
            <v>61.75</v>
          </cell>
          <cell r="P33">
            <v>61.32</v>
          </cell>
          <cell r="Q33">
            <v>19.13</v>
          </cell>
        </row>
        <row r="35">
          <cell r="D35">
            <v>64.459999999999994</v>
          </cell>
          <cell r="E35">
            <v>62.4</v>
          </cell>
          <cell r="F35">
            <v>67.099999999999994</v>
          </cell>
          <cell r="G35">
            <v>0</v>
          </cell>
          <cell r="H35">
            <v>0</v>
          </cell>
          <cell r="I35">
            <v>51.33</v>
          </cell>
          <cell r="J35">
            <v>67.88</v>
          </cell>
          <cell r="K35">
            <v>22.44</v>
          </cell>
          <cell r="L35">
            <v>71.27</v>
          </cell>
          <cell r="M35">
            <v>59.44</v>
          </cell>
          <cell r="N35">
            <v>60.59</v>
          </cell>
          <cell r="O35">
            <v>35.46</v>
          </cell>
          <cell r="P35">
            <v>42.3</v>
          </cell>
          <cell r="Q35">
            <v>39.26</v>
          </cell>
          <cell r="R35">
            <v>38.5</v>
          </cell>
          <cell r="S35">
            <v>68.89</v>
          </cell>
          <cell r="T35">
            <v>63.35</v>
          </cell>
          <cell r="U35">
            <v>65.83</v>
          </cell>
          <cell r="V35">
            <v>62.57</v>
          </cell>
          <cell r="W35">
            <v>34.18</v>
          </cell>
          <cell r="X35">
            <v>67.83</v>
          </cell>
          <cell r="Y35">
            <v>15.32</v>
          </cell>
        </row>
        <row r="36">
          <cell r="D36">
            <v>0</v>
          </cell>
          <cell r="E36">
            <v>47.74</v>
          </cell>
          <cell r="F36">
            <v>32.270000000000003</v>
          </cell>
          <cell r="G36">
            <v>52.04</v>
          </cell>
          <cell r="H36">
            <v>63.47</v>
          </cell>
          <cell r="I36">
            <v>66.239999999999995</v>
          </cell>
          <cell r="J36">
            <v>56.8</v>
          </cell>
          <cell r="K36">
            <v>68.010000000000005</v>
          </cell>
          <cell r="L36">
            <v>76.89</v>
          </cell>
          <cell r="M36">
            <v>41.81</v>
          </cell>
          <cell r="N36">
            <v>66.69</v>
          </cell>
          <cell r="O36">
            <v>63.49</v>
          </cell>
          <cell r="P36">
            <v>72.349999999999994</v>
          </cell>
          <cell r="Q36">
            <v>60.9</v>
          </cell>
          <cell r="R36">
            <v>58.69</v>
          </cell>
        </row>
        <row r="39">
          <cell r="D39">
            <v>0</v>
          </cell>
          <cell r="E39">
            <v>33.6</v>
          </cell>
          <cell r="F39">
            <v>0</v>
          </cell>
          <cell r="G39">
            <v>39.270000000000003</v>
          </cell>
          <cell r="H39">
            <v>65.84</v>
          </cell>
          <cell r="I39">
            <v>71.12</v>
          </cell>
          <cell r="J39">
            <v>61.71</v>
          </cell>
          <cell r="K39">
            <v>43.74</v>
          </cell>
          <cell r="L39">
            <v>46.79</v>
          </cell>
          <cell r="M39">
            <v>52.91</v>
          </cell>
          <cell r="N39">
            <v>70.180000000000007</v>
          </cell>
          <cell r="O39">
            <v>62.15</v>
          </cell>
          <cell r="P39">
            <v>88.09</v>
          </cell>
        </row>
        <row r="40">
          <cell r="D40">
            <v>20.28</v>
          </cell>
          <cell r="E40">
            <v>14</v>
          </cell>
          <cell r="F40">
            <v>0</v>
          </cell>
          <cell r="G40">
            <v>65.790000000000006</v>
          </cell>
          <cell r="H40">
            <v>42.28</v>
          </cell>
          <cell r="I40">
            <v>0</v>
          </cell>
          <cell r="J40">
            <v>72.73</v>
          </cell>
          <cell r="K40">
            <v>73.41</v>
          </cell>
          <cell r="L40">
            <v>36.6</v>
          </cell>
          <cell r="M40">
            <v>0</v>
          </cell>
          <cell r="N40">
            <v>78.819999999999993</v>
          </cell>
          <cell r="O40">
            <v>57.72</v>
          </cell>
          <cell r="P40">
            <v>43.21</v>
          </cell>
          <cell r="Q40">
            <v>76.7</v>
          </cell>
          <cell r="R40">
            <v>53.9</v>
          </cell>
          <cell r="S40">
            <v>15.1</v>
          </cell>
        </row>
        <row r="41">
          <cell r="D41">
            <v>12.5</v>
          </cell>
          <cell r="E41">
            <v>11.55</v>
          </cell>
          <cell r="F41">
            <v>28.33</v>
          </cell>
          <cell r="G41">
            <v>25.82</v>
          </cell>
          <cell r="H41">
            <v>56.43</v>
          </cell>
          <cell r="I41">
            <v>70.17</v>
          </cell>
          <cell r="J41">
            <v>34.15</v>
          </cell>
          <cell r="K41">
            <v>47.89</v>
          </cell>
          <cell r="L41">
            <v>85.71</v>
          </cell>
          <cell r="M41">
            <v>36.049999999999997</v>
          </cell>
          <cell r="N41">
            <v>84.44</v>
          </cell>
          <cell r="O41">
            <v>43.88</v>
          </cell>
          <cell r="P41">
            <v>63.26</v>
          </cell>
          <cell r="Q41">
            <v>20.96</v>
          </cell>
        </row>
        <row r="43">
          <cell r="D43">
            <v>26.3</v>
          </cell>
          <cell r="E43">
            <v>35.33</v>
          </cell>
          <cell r="F43">
            <v>40.22</v>
          </cell>
          <cell r="G43">
            <v>45.66</v>
          </cell>
          <cell r="H43">
            <v>70.48</v>
          </cell>
          <cell r="I43">
            <v>54.69</v>
          </cell>
          <cell r="J43">
            <v>67.59</v>
          </cell>
          <cell r="K43">
            <v>53.24</v>
          </cell>
          <cell r="L43">
            <v>59.71</v>
          </cell>
          <cell r="M43">
            <v>55.78</v>
          </cell>
          <cell r="N43">
            <v>49.94</v>
          </cell>
          <cell r="O43">
            <v>62.57</v>
          </cell>
          <cell r="P43">
            <v>64.819999999999993</v>
          </cell>
          <cell r="Q43">
            <v>43.64</v>
          </cell>
        </row>
        <row r="44">
          <cell r="D44">
            <v>19.309999999999999</v>
          </cell>
          <cell r="E44">
            <v>49.8</v>
          </cell>
          <cell r="F44">
            <v>26.23</v>
          </cell>
          <cell r="G44">
            <v>39.520000000000003</v>
          </cell>
          <cell r="H44">
            <v>59.62</v>
          </cell>
          <cell r="I44">
            <v>63.35</v>
          </cell>
          <cell r="J44">
            <v>67.260000000000005</v>
          </cell>
          <cell r="K44">
            <v>68.22</v>
          </cell>
          <cell r="L44">
            <v>38.799999999999997</v>
          </cell>
          <cell r="M44">
            <v>62.83</v>
          </cell>
          <cell r="N44">
            <v>69.77</v>
          </cell>
          <cell r="O44">
            <v>71.98</v>
          </cell>
          <cell r="P44">
            <v>67.97</v>
          </cell>
          <cell r="Q44">
            <v>53.53</v>
          </cell>
          <cell r="R44">
            <v>0</v>
          </cell>
          <cell r="S44">
            <v>34.049999999999997</v>
          </cell>
        </row>
        <row r="46">
          <cell r="E46">
            <v>34.659999999999997</v>
          </cell>
          <cell r="F46">
            <v>54.44</v>
          </cell>
          <cell r="G46">
            <v>40.909999999999997</v>
          </cell>
          <cell r="H46">
            <v>51.47</v>
          </cell>
          <cell r="I46">
            <v>46.65</v>
          </cell>
          <cell r="J46">
            <v>46.03</v>
          </cell>
          <cell r="K46">
            <v>44.68</v>
          </cell>
          <cell r="L46">
            <v>46.7</v>
          </cell>
          <cell r="M46">
            <v>75.31</v>
          </cell>
          <cell r="N46">
            <v>41.53</v>
          </cell>
          <cell r="O46">
            <v>41.72</v>
          </cell>
          <cell r="P46">
            <v>56.88</v>
          </cell>
          <cell r="Q46">
            <v>53.2</v>
          </cell>
          <cell r="R46">
            <v>61.32</v>
          </cell>
          <cell r="S46">
            <v>12.63</v>
          </cell>
          <cell r="T46">
            <v>43.32</v>
          </cell>
        </row>
        <row r="47">
          <cell r="D47">
            <v>10.34</v>
          </cell>
          <cell r="E47">
            <v>26.52</v>
          </cell>
          <cell r="F47">
            <v>37.51</v>
          </cell>
          <cell r="I47">
            <v>35.39</v>
          </cell>
          <cell r="J47">
            <v>52.92</v>
          </cell>
          <cell r="K47">
            <v>53.41</v>
          </cell>
          <cell r="L47">
            <v>39.24</v>
          </cell>
          <cell r="M47">
            <v>8.23</v>
          </cell>
          <cell r="N47">
            <v>45.33</v>
          </cell>
          <cell r="O47">
            <v>76.25</v>
          </cell>
          <cell r="P47">
            <v>61.42</v>
          </cell>
          <cell r="Q47">
            <v>54.22</v>
          </cell>
          <cell r="R47">
            <v>65.36</v>
          </cell>
          <cell r="S47">
            <v>46.45</v>
          </cell>
          <cell r="U47">
            <v>61.22</v>
          </cell>
        </row>
        <row r="48">
          <cell r="D48">
            <v>21.16</v>
          </cell>
          <cell r="E48">
            <v>4.91</v>
          </cell>
          <cell r="F48">
            <v>24.42</v>
          </cell>
          <cell r="G48">
            <v>60.63</v>
          </cell>
          <cell r="H48">
            <v>43.91</v>
          </cell>
          <cell r="I48">
            <v>64.59</v>
          </cell>
          <cell r="J48">
            <v>41.22</v>
          </cell>
          <cell r="K48">
            <v>75.11</v>
          </cell>
          <cell r="L48">
            <v>67.81</v>
          </cell>
          <cell r="M48">
            <v>71.03</v>
          </cell>
          <cell r="N48">
            <v>27.81</v>
          </cell>
          <cell r="O48">
            <v>38.76</v>
          </cell>
          <cell r="Q48">
            <v>59.84</v>
          </cell>
          <cell r="R48">
            <v>57.73</v>
          </cell>
          <cell r="S48">
            <v>68.819999999999993</v>
          </cell>
          <cell r="T48">
            <v>28.72</v>
          </cell>
        </row>
        <row r="50">
          <cell r="D50">
            <v>71.959999999999994</v>
          </cell>
          <cell r="E50">
            <v>59.23</v>
          </cell>
          <cell r="F50">
            <v>72.66</v>
          </cell>
          <cell r="G50">
            <v>50.93</v>
          </cell>
          <cell r="I50">
            <v>44.91</v>
          </cell>
          <cell r="J50">
            <v>49.88</v>
          </cell>
          <cell r="N50">
            <v>47.47</v>
          </cell>
          <cell r="P50">
            <v>46.91</v>
          </cell>
          <cell r="Q50">
            <v>34.32</v>
          </cell>
          <cell r="R50">
            <v>39.630000000000003</v>
          </cell>
          <cell r="S50">
            <v>41.92</v>
          </cell>
          <cell r="T50">
            <v>82.52</v>
          </cell>
          <cell r="U50">
            <v>40.75</v>
          </cell>
          <cell r="V50">
            <v>42.89</v>
          </cell>
          <cell r="W50">
            <v>45.62</v>
          </cell>
          <cell r="X50">
            <v>29.66</v>
          </cell>
          <cell r="Y50">
            <v>24.09</v>
          </cell>
        </row>
        <row r="51">
          <cell r="F51">
            <v>45.5</v>
          </cell>
          <cell r="G51">
            <v>59.15</v>
          </cell>
          <cell r="H51">
            <v>42.45</v>
          </cell>
          <cell r="I51">
            <v>56.42</v>
          </cell>
          <cell r="J51">
            <v>50.11</v>
          </cell>
          <cell r="K51">
            <v>11.87</v>
          </cell>
          <cell r="L51">
            <v>0</v>
          </cell>
          <cell r="M51">
            <v>39.4</v>
          </cell>
          <cell r="N51">
            <v>46.22</v>
          </cell>
          <cell r="O51">
            <v>79.180000000000007</v>
          </cell>
          <cell r="P51">
            <v>41.91</v>
          </cell>
          <cell r="Q51">
            <v>65.61</v>
          </cell>
          <cell r="R51">
            <v>48.02</v>
          </cell>
          <cell r="S51">
            <v>58.08</v>
          </cell>
          <cell r="V51">
            <v>52.92</v>
          </cell>
          <cell r="X51">
            <v>48.9</v>
          </cell>
          <cell r="Y51">
            <v>5.85</v>
          </cell>
          <cell r="Z51">
            <v>58.4</v>
          </cell>
        </row>
        <row r="55">
          <cell r="C55">
            <v>12.62</v>
          </cell>
          <cell r="E55">
            <v>71.37</v>
          </cell>
          <cell r="F55">
            <v>80.209999999999994</v>
          </cell>
          <cell r="G55">
            <v>18.25</v>
          </cell>
          <cell r="H55">
            <v>62.01</v>
          </cell>
          <cell r="I55">
            <v>57.67</v>
          </cell>
          <cell r="J55">
            <v>70.209999999999994</v>
          </cell>
          <cell r="K55">
            <v>67.7</v>
          </cell>
          <cell r="L55">
            <v>62.42</v>
          </cell>
          <cell r="M55">
            <v>24.24</v>
          </cell>
          <cell r="N55">
            <v>75.709999999999994</v>
          </cell>
          <cell r="O55">
            <v>81.650000000000006</v>
          </cell>
          <cell r="P55">
            <v>41.17</v>
          </cell>
          <cell r="Q55">
            <v>62.21</v>
          </cell>
          <cell r="R55">
            <v>68.84</v>
          </cell>
          <cell r="S55">
            <v>68.75</v>
          </cell>
          <cell r="T55">
            <v>69.91</v>
          </cell>
          <cell r="U55">
            <v>47.82</v>
          </cell>
          <cell r="V55">
            <v>45.07</v>
          </cell>
          <cell r="W55">
            <v>64.900000000000006</v>
          </cell>
          <cell r="X55">
            <v>51.19</v>
          </cell>
          <cell r="Y55">
            <v>29.34</v>
          </cell>
          <cell r="Z55">
            <v>6.24</v>
          </cell>
        </row>
        <row r="57">
          <cell r="D57">
            <v>36.92</v>
          </cell>
          <cell r="E57">
            <v>26.54</v>
          </cell>
          <cell r="F57">
            <v>52.45</v>
          </cell>
          <cell r="G57">
            <v>19.420000000000002</v>
          </cell>
          <cell r="H57">
            <v>48.59</v>
          </cell>
          <cell r="I57">
            <v>42.360000000000007</v>
          </cell>
          <cell r="J57">
            <v>12.15</v>
          </cell>
          <cell r="K57">
            <v>42.59</v>
          </cell>
          <cell r="L57">
            <v>65.33</v>
          </cell>
          <cell r="M57">
            <v>60.960000000000008</v>
          </cell>
          <cell r="N57">
            <v>43.81</v>
          </cell>
          <cell r="O57">
            <v>71.7</v>
          </cell>
          <cell r="P57">
            <v>94.579999999999984</v>
          </cell>
          <cell r="Q57">
            <v>75.900000000000006</v>
          </cell>
          <cell r="R57">
            <v>81.180000000000007</v>
          </cell>
          <cell r="S57">
            <v>24.680000000000003</v>
          </cell>
          <cell r="T57">
            <v>81.34</v>
          </cell>
          <cell r="U57">
            <v>49.65</v>
          </cell>
          <cell r="V57">
            <v>56.910000000000004</v>
          </cell>
          <cell r="W57">
            <v>38.250000000000007</v>
          </cell>
          <cell r="X57">
            <v>31.45</v>
          </cell>
        </row>
        <row r="58">
          <cell r="D58">
            <v>23.63</v>
          </cell>
          <cell r="E58">
            <v>27.6</v>
          </cell>
          <cell r="F58">
            <v>53.52</v>
          </cell>
          <cell r="G58">
            <v>68.19</v>
          </cell>
          <cell r="H58">
            <v>42.69</v>
          </cell>
          <cell r="I58">
            <v>51.62</v>
          </cell>
          <cell r="J58">
            <v>38.58</v>
          </cell>
          <cell r="K58">
            <v>37.9</v>
          </cell>
          <cell r="L58">
            <v>57.39</v>
          </cell>
          <cell r="M58">
            <v>50.63</v>
          </cell>
          <cell r="N58">
            <v>52.18</v>
          </cell>
          <cell r="O58">
            <v>63.06</v>
          </cell>
          <cell r="P58">
            <v>59.1</v>
          </cell>
          <cell r="Q58">
            <v>63.77</v>
          </cell>
          <cell r="R58">
            <v>44.81</v>
          </cell>
        </row>
        <row r="60">
          <cell r="D60">
            <v>14.35</v>
          </cell>
          <cell r="F60">
            <v>34.96</v>
          </cell>
          <cell r="G60">
            <v>55.79</v>
          </cell>
          <cell r="H60">
            <v>63.12</v>
          </cell>
          <cell r="I60">
            <v>66.09</v>
          </cell>
          <cell r="J60">
            <v>36.53</v>
          </cell>
          <cell r="K60">
            <v>74.72</v>
          </cell>
          <cell r="L60">
            <v>71.47</v>
          </cell>
          <cell r="M60">
            <v>63.65</v>
          </cell>
          <cell r="N60">
            <v>53.03</v>
          </cell>
          <cell r="O60">
            <v>59.46</v>
          </cell>
          <cell r="P60">
            <v>61.88</v>
          </cell>
        </row>
        <row r="61">
          <cell r="D61">
            <v>6.25</v>
          </cell>
          <cell r="F61">
            <v>28.29</v>
          </cell>
          <cell r="G61">
            <v>22.77</v>
          </cell>
          <cell r="I61">
            <v>26.72</v>
          </cell>
          <cell r="J61">
            <v>48.63</v>
          </cell>
          <cell r="K61">
            <v>61.51</v>
          </cell>
          <cell r="L61">
            <v>66.790000000000006</v>
          </cell>
          <cell r="M61">
            <v>47.87</v>
          </cell>
          <cell r="N61">
            <v>55.34</v>
          </cell>
          <cell r="O61">
            <v>45.06</v>
          </cell>
          <cell r="P61">
            <v>47.95</v>
          </cell>
          <cell r="Q61">
            <v>39.18</v>
          </cell>
        </row>
        <row r="62">
          <cell r="D62">
            <v>5.89</v>
          </cell>
          <cell r="E62">
            <v>0</v>
          </cell>
          <cell r="F62">
            <v>13.69</v>
          </cell>
          <cell r="G62">
            <v>40.96</v>
          </cell>
          <cell r="H62">
            <v>59.36</v>
          </cell>
          <cell r="I62">
            <v>58.16</v>
          </cell>
          <cell r="J62">
            <v>45.35</v>
          </cell>
          <cell r="K62">
            <v>17.54</v>
          </cell>
          <cell r="L62">
            <v>43.56</v>
          </cell>
          <cell r="M62">
            <v>70.22</v>
          </cell>
          <cell r="N62">
            <v>75.900000000000006</v>
          </cell>
          <cell r="O62">
            <v>15.8</v>
          </cell>
          <cell r="P62">
            <v>10.59</v>
          </cell>
        </row>
        <row r="64">
          <cell r="D64">
            <v>53.96</v>
          </cell>
          <cell r="E64">
            <v>29.38</v>
          </cell>
          <cell r="F64">
            <v>26.51</v>
          </cell>
          <cell r="G64">
            <v>40.83</v>
          </cell>
          <cell r="H64">
            <v>27.47</v>
          </cell>
          <cell r="I64">
            <v>32.07</v>
          </cell>
          <cell r="J64">
            <v>59.57</v>
          </cell>
          <cell r="K64">
            <v>61.28</v>
          </cell>
          <cell r="L64">
            <v>41.05</v>
          </cell>
          <cell r="M64">
            <v>64.510000000000005</v>
          </cell>
          <cell r="N64">
            <v>51.22</v>
          </cell>
          <cell r="O64">
            <v>54.41</v>
          </cell>
          <cell r="P64">
            <v>45.25</v>
          </cell>
          <cell r="Q64">
            <v>7.07</v>
          </cell>
        </row>
        <row r="65">
          <cell r="D65">
            <v>17.809999999999999</v>
          </cell>
          <cell r="E65">
            <v>20.75</v>
          </cell>
          <cell r="G65">
            <v>24.18</v>
          </cell>
          <cell r="H65">
            <v>74.22</v>
          </cell>
          <cell r="I65">
            <v>40.68</v>
          </cell>
          <cell r="J65">
            <v>70.25</v>
          </cell>
          <cell r="K65">
            <v>36.950000000000003</v>
          </cell>
          <cell r="L65">
            <v>70.680000000000007</v>
          </cell>
          <cell r="M65">
            <v>59.53</v>
          </cell>
          <cell r="N65">
            <v>57.26</v>
          </cell>
          <cell r="O65">
            <v>50.44</v>
          </cell>
          <cell r="P65">
            <v>6.81</v>
          </cell>
        </row>
        <row r="67">
          <cell r="D67">
            <v>62.82</v>
          </cell>
          <cell r="E67">
            <v>44.66</v>
          </cell>
          <cell r="F67">
            <v>24.6</v>
          </cell>
          <cell r="G67">
            <v>72.36</v>
          </cell>
          <cell r="H67">
            <v>49.98</v>
          </cell>
          <cell r="I67">
            <v>65.459999999999994</v>
          </cell>
          <cell r="J67">
            <v>62.16</v>
          </cell>
          <cell r="K67">
            <v>66.59</v>
          </cell>
          <cell r="L67">
            <v>56.65</v>
          </cell>
          <cell r="M67">
            <v>56.69</v>
          </cell>
          <cell r="N67">
            <v>65.11</v>
          </cell>
          <cell r="O67">
            <v>0</v>
          </cell>
          <cell r="P67">
            <v>51.65</v>
          </cell>
          <cell r="Q67">
            <v>32.380000000000003</v>
          </cell>
          <cell r="R67">
            <v>35.1</v>
          </cell>
        </row>
        <row r="68">
          <cell r="E68">
            <v>30.41</v>
          </cell>
          <cell r="F68">
            <v>53.14</v>
          </cell>
          <cell r="G68">
            <v>50.730000000000004</v>
          </cell>
          <cell r="H68">
            <v>0</v>
          </cell>
          <cell r="I68">
            <v>0</v>
          </cell>
          <cell r="J68">
            <v>20.03</v>
          </cell>
          <cell r="K68">
            <v>43.58</v>
          </cell>
          <cell r="L68">
            <v>68.319999999999993</v>
          </cell>
          <cell r="M68">
            <v>66.12</v>
          </cell>
          <cell r="N68">
            <v>52.670000000000009</v>
          </cell>
          <cell r="O68">
            <v>78.23</v>
          </cell>
          <cell r="P68">
            <v>33.46</v>
          </cell>
          <cell r="Q68">
            <v>60.4</v>
          </cell>
          <cell r="R68">
            <v>65.22</v>
          </cell>
          <cell r="S68">
            <v>70.5</v>
          </cell>
          <cell r="T68">
            <v>9.14</v>
          </cell>
        </row>
        <row r="69">
          <cell r="E69">
            <v>5.59</v>
          </cell>
          <cell r="F69">
            <v>28.9</v>
          </cell>
          <cell r="G69">
            <v>28.46</v>
          </cell>
          <cell r="H69">
            <v>53.34</v>
          </cell>
          <cell r="I69">
            <v>78.13</v>
          </cell>
          <cell r="J69">
            <v>30.07</v>
          </cell>
          <cell r="K69">
            <v>43.33</v>
          </cell>
          <cell r="L69">
            <v>61.7</v>
          </cell>
          <cell r="M69">
            <v>56.7</v>
          </cell>
          <cell r="N69">
            <v>68.72</v>
          </cell>
          <cell r="O69">
            <v>62.79</v>
          </cell>
          <cell r="P69">
            <v>36.700000000000003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164">
          <cell r="C164">
            <v>0</v>
          </cell>
          <cell r="D164">
            <v>24.56</v>
          </cell>
          <cell r="E164">
            <v>0</v>
          </cell>
          <cell r="F164">
            <v>49.51</v>
          </cell>
          <cell r="G164">
            <v>65.709999999999994</v>
          </cell>
          <cell r="H164">
            <v>70.41</v>
          </cell>
          <cell r="I164">
            <v>58.3</v>
          </cell>
          <cell r="J164">
            <v>46.2</v>
          </cell>
          <cell r="K164">
            <v>0</v>
          </cell>
          <cell r="L164">
            <v>42.19</v>
          </cell>
          <cell r="M164">
            <v>79.779999999999987</v>
          </cell>
          <cell r="N164">
            <v>37.83</v>
          </cell>
          <cell r="O164">
            <v>71.319999999999993</v>
          </cell>
          <cell r="P164">
            <v>53.08</v>
          </cell>
          <cell r="Q164">
            <v>36.65</v>
          </cell>
          <cell r="R164">
            <v>33.56</v>
          </cell>
        </row>
        <row r="166">
          <cell r="C166">
            <v>0</v>
          </cell>
          <cell r="D166">
            <v>5.14</v>
          </cell>
          <cell r="E166">
            <v>12.57</v>
          </cell>
          <cell r="F166">
            <v>5.6</v>
          </cell>
          <cell r="G166">
            <v>59.4</v>
          </cell>
          <cell r="H166">
            <v>42.38</v>
          </cell>
          <cell r="I166">
            <v>47.31</v>
          </cell>
          <cell r="J166">
            <v>44.73</v>
          </cell>
          <cell r="K166">
            <v>59.06</v>
          </cell>
          <cell r="L166">
            <v>0</v>
          </cell>
          <cell r="M166">
            <v>56.39</v>
          </cell>
          <cell r="N166">
            <v>77.209999999999994</v>
          </cell>
          <cell r="O166">
            <v>19.920000000000002</v>
          </cell>
          <cell r="P166">
            <v>81.289999999999992</v>
          </cell>
          <cell r="Q166">
            <v>50.55</v>
          </cell>
          <cell r="R166">
            <v>72.63000000000001</v>
          </cell>
          <cell r="S166">
            <v>51.63</v>
          </cell>
        </row>
        <row r="167">
          <cell r="C167">
            <v>0</v>
          </cell>
          <cell r="D167">
            <v>23.99</v>
          </cell>
          <cell r="E167">
            <v>0</v>
          </cell>
          <cell r="F167">
            <v>28.46</v>
          </cell>
          <cell r="G167">
            <v>36.67</v>
          </cell>
          <cell r="H167">
            <v>0</v>
          </cell>
          <cell r="I167">
            <v>86.19</v>
          </cell>
          <cell r="J167">
            <v>71.760000000000005</v>
          </cell>
          <cell r="K167">
            <v>0</v>
          </cell>
          <cell r="L167">
            <v>85.66</v>
          </cell>
          <cell r="M167">
            <v>46.39</v>
          </cell>
          <cell r="N167">
            <v>40.619999999999997</v>
          </cell>
          <cell r="O167">
            <v>43.35</v>
          </cell>
          <cell r="P167">
            <v>82.36</v>
          </cell>
          <cell r="Q167">
            <v>82.81</v>
          </cell>
          <cell r="R167">
            <v>43.22</v>
          </cell>
          <cell r="S167">
            <v>56.09</v>
          </cell>
          <cell r="T167">
            <v>39.409999999999997</v>
          </cell>
        </row>
        <row r="168">
          <cell r="C168">
            <v>12.08</v>
          </cell>
          <cell r="D168">
            <v>5.05</v>
          </cell>
          <cell r="E168">
            <v>24.3</v>
          </cell>
          <cell r="F168">
            <v>47.89</v>
          </cell>
          <cell r="G168">
            <v>76.84</v>
          </cell>
          <cell r="H168">
            <v>66.540000000000006</v>
          </cell>
          <cell r="I168">
            <v>82.13</v>
          </cell>
          <cell r="J168">
            <v>31.45</v>
          </cell>
          <cell r="K168">
            <v>52.73</v>
          </cell>
          <cell r="L168">
            <v>44.63</v>
          </cell>
          <cell r="M168">
            <v>47.73</v>
          </cell>
          <cell r="N168">
            <v>80.349999999999994</v>
          </cell>
          <cell r="O168">
            <v>57.98</v>
          </cell>
          <cell r="P168">
            <v>60.81</v>
          </cell>
          <cell r="Q168">
            <v>72.09</v>
          </cell>
          <cell r="R168">
            <v>29.19</v>
          </cell>
          <cell r="S168">
            <v>66.08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A LTW"/>
      <sheetName val="REKAP"/>
      <sheetName val="FIXED"/>
      <sheetName val="VARIABLE"/>
      <sheetName val="PKRAWAT"/>
      <sheetName val="PORAWAT"/>
      <sheetName val="PK RM KEBUN"/>
      <sheetName val="PO RM KEBUN"/>
      <sheetName val="PK UMUM"/>
      <sheetName val="OVERHEAD"/>
      <sheetName val="PK PANEN"/>
      <sheetName val="PO PANEN"/>
      <sheetName val="TRANSPOR"/>
      <sheetName val="PK OLAH"/>
      <sheetName val="PO OLAH"/>
      <sheetName val="PK RM PAB"/>
      <sheetName val="PO RM PABR"/>
      <sheetName val="PK O"/>
      <sheetName val="PO O"/>
      <sheetName val="PK RM"/>
      <sheetName val="PO RM PAB"/>
      <sheetName val="dft bns"/>
      <sheetName val="TON  per Jam"/>
    </sheetNames>
    <sheetDataSet>
      <sheetData sheetId="0" refreshError="1">
        <row r="4">
          <cell r="E4" t="str">
            <v>JAN</v>
          </cell>
          <cell r="F4" t="str">
            <v>FEB</v>
          </cell>
          <cell r="G4" t="str">
            <v>MAR</v>
          </cell>
          <cell r="H4" t="str">
            <v>APR</v>
          </cell>
          <cell r="I4" t="str">
            <v>MAY</v>
          </cell>
          <cell r="J4" t="str">
            <v>JUN</v>
          </cell>
          <cell r="K4" t="str">
            <v>JUL</v>
          </cell>
          <cell r="L4" t="str">
            <v>AUG</v>
          </cell>
          <cell r="M4" t="str">
            <v>SEP</v>
          </cell>
          <cell r="N4" t="str">
            <v>OCT</v>
          </cell>
          <cell r="O4" t="str">
            <v>NOV</v>
          </cell>
          <cell r="P4" t="str">
            <v>DEC</v>
          </cell>
          <cell r="R4" t="str">
            <v>JAN</v>
          </cell>
          <cell r="S4" t="str">
            <v>FEB</v>
          </cell>
          <cell r="T4" t="str">
            <v>MAR</v>
          </cell>
          <cell r="U4" t="str">
            <v>APR</v>
          </cell>
          <cell r="V4" t="str">
            <v>MAY</v>
          </cell>
          <cell r="W4" t="str">
            <v>JUN</v>
          </cell>
          <cell r="X4" t="str">
            <v>JUL</v>
          </cell>
          <cell r="Y4" t="str">
            <v>AUG</v>
          </cell>
          <cell r="Z4" t="str">
            <v>SEP</v>
          </cell>
          <cell r="AA4" t="str">
            <v>OCT</v>
          </cell>
          <cell r="AB4" t="str">
            <v>NOV</v>
          </cell>
          <cell r="AC4" t="str">
            <v>DEC</v>
          </cell>
        </row>
        <row r="25">
          <cell r="E25">
            <v>2041.2278913432192</v>
          </cell>
          <cell r="F25">
            <v>2908.4032899270233</v>
          </cell>
          <cell r="G25">
            <v>2850.6330707980633</v>
          </cell>
          <cell r="H25">
            <v>3127.2056903505018</v>
          </cell>
          <cell r="I25">
            <v>2733.2919567857057</v>
          </cell>
          <cell r="J25">
            <v>2789.8447601203907</v>
          </cell>
          <cell r="K25">
            <v>3006.5975710857542</v>
          </cell>
          <cell r="L25">
            <v>3103.537441940487</v>
          </cell>
          <cell r="M25">
            <v>3067.7046610742555</v>
          </cell>
          <cell r="N25">
            <v>2651.727388161552</v>
          </cell>
          <cell r="O25">
            <v>3042.5386117760413</v>
          </cell>
          <cell r="P25">
            <v>4253.3832829951307</v>
          </cell>
          <cell r="R25">
            <v>2041.2278913432192</v>
          </cell>
          <cell r="S25">
            <v>4949.6311812702425</v>
          </cell>
          <cell r="T25">
            <v>7800.2642520683057</v>
          </cell>
          <cell r="U25">
            <v>10927.469942418807</v>
          </cell>
          <cell r="V25">
            <v>13660.761899204514</v>
          </cell>
          <cell r="W25">
            <v>16450.606659324905</v>
          </cell>
          <cell r="X25">
            <v>19457.204230410658</v>
          </cell>
          <cell r="Y25">
            <v>22560.741672351145</v>
          </cell>
          <cell r="Z25">
            <v>25628.4463334254</v>
          </cell>
          <cell r="AA25">
            <v>28280.173721586951</v>
          </cell>
          <cell r="AB25">
            <v>31322.712333362993</v>
          </cell>
          <cell r="AC25">
            <v>35576.095616358121</v>
          </cell>
          <cell r="AE25">
            <v>2041.2278913432192</v>
          </cell>
          <cell r="AF25">
            <v>2908.4032899270233</v>
          </cell>
          <cell r="AG25">
            <v>2850.6330707980633</v>
          </cell>
          <cell r="AH25">
            <v>3127.2056903505018</v>
          </cell>
          <cell r="AI25">
            <v>2258.4875224505977</v>
          </cell>
          <cell r="AJ25">
            <v>2181.7059771982836</v>
          </cell>
          <cell r="AK25">
            <v>2433.6371069749457</v>
          </cell>
          <cell r="AL25">
            <v>2465.5585274128671</v>
          </cell>
          <cell r="AM25">
            <v>2395.3419579061824</v>
          </cell>
          <cell r="AN25">
            <v>0</v>
          </cell>
          <cell r="AO25">
            <v>0</v>
          </cell>
          <cell r="AP25">
            <v>0</v>
          </cell>
          <cell r="AR25">
            <v>2041.2278913432192</v>
          </cell>
          <cell r="AS25">
            <v>4949.6311812702425</v>
          </cell>
          <cell r="AT25">
            <v>7800.2642520683057</v>
          </cell>
          <cell r="AU25">
            <v>10927.469942418807</v>
          </cell>
          <cell r="AV25">
            <v>13185.957464869405</v>
          </cell>
          <cell r="AW25">
            <v>15367.663442067689</v>
          </cell>
          <cell r="AX25">
            <v>17801.300549042637</v>
          </cell>
          <cell r="AY25">
            <v>20266.859076455505</v>
          </cell>
          <cell r="AZ25">
            <v>22662.201034361686</v>
          </cell>
          <cell r="BA25">
            <v>22662.201034361686</v>
          </cell>
          <cell r="BB25">
            <v>22662.201034361686</v>
          </cell>
          <cell r="BC25">
            <v>22662.201034361686</v>
          </cell>
          <cell r="BE25">
            <v>1813.0063079179113</v>
          </cell>
          <cell r="BF25">
            <v>1928.5970514316639</v>
          </cell>
          <cell r="BG25">
            <v>2188.5036506338265</v>
          </cell>
          <cell r="BH25">
            <v>2355.2614158549786</v>
          </cell>
          <cell r="BI25">
            <v>2162.2384756026358</v>
          </cell>
          <cell r="BJ25">
            <v>2178.7387095772024</v>
          </cell>
          <cell r="BK25">
            <v>2068.6612679909517</v>
          </cell>
          <cell r="BL25">
            <v>2399.1973828735836</v>
          </cell>
          <cell r="BM25">
            <v>3053.0904375765549</v>
          </cell>
          <cell r="BN25">
            <v>2707.3313882240809</v>
          </cell>
          <cell r="BO25">
            <v>3344.9518022587436</v>
          </cell>
          <cell r="BP25">
            <v>4329.0978286493855</v>
          </cell>
          <cell r="BR25">
            <v>1813.0063079179113</v>
          </cell>
          <cell r="BS25">
            <v>3741.6033593495749</v>
          </cell>
          <cell r="BT25">
            <v>5930.1070099834014</v>
          </cell>
          <cell r="BU25">
            <v>8285.3684258383801</v>
          </cell>
          <cell r="BV25">
            <v>10447.606901441017</v>
          </cell>
          <cell r="BW25">
            <v>12626.34561101822</v>
          </cell>
          <cell r="BX25">
            <v>14695.006879009172</v>
          </cell>
          <cell r="BY25">
            <v>17094.204261882755</v>
          </cell>
          <cell r="BZ25">
            <v>20147.294699459308</v>
          </cell>
          <cell r="CA25">
            <v>22854.626087683388</v>
          </cell>
          <cell r="CB25">
            <v>26199.577889942131</v>
          </cell>
          <cell r="CC25">
            <v>30528.675718591516</v>
          </cell>
        </row>
        <row r="26">
          <cell r="E26">
            <v>1219.5694910832192</v>
          </cell>
          <cell r="F26">
            <v>1867.957397027023</v>
          </cell>
          <cell r="G26">
            <v>1906.0144667980635</v>
          </cell>
          <cell r="H26">
            <v>2133.2711448505015</v>
          </cell>
          <cell r="I26">
            <v>1708.047216990386</v>
          </cell>
          <cell r="J26">
            <v>1668.7655261306206</v>
          </cell>
          <cell r="K26">
            <v>1890.9441147237194</v>
          </cell>
          <cell r="L26">
            <v>1978.4675815972873</v>
          </cell>
          <cell r="M26">
            <v>1886.5531152472872</v>
          </cell>
          <cell r="N26">
            <v>1484.537170490386</v>
          </cell>
          <cell r="O26">
            <v>1736.0485671148308</v>
          </cell>
          <cell r="P26">
            <v>2457.2628998403861</v>
          </cell>
          <cell r="R26">
            <v>1219.5694910832192</v>
          </cell>
          <cell r="S26">
            <v>3087.526888110242</v>
          </cell>
          <cell r="T26">
            <v>4993.5413549083059</v>
          </cell>
          <cell r="U26">
            <v>7126.8124997588075</v>
          </cell>
          <cell r="V26">
            <v>8834.8597167491935</v>
          </cell>
          <cell r="W26">
            <v>10503.625242879814</v>
          </cell>
          <cell r="X26">
            <v>12394.569357603534</v>
          </cell>
          <cell r="Y26">
            <v>14373.036939200822</v>
          </cell>
          <cell r="Z26">
            <v>16259.590054448108</v>
          </cell>
          <cell r="AA26">
            <v>17744.127224938493</v>
          </cell>
          <cell r="AB26">
            <v>19480.175792053324</v>
          </cell>
          <cell r="AC26">
            <v>21937.438691893709</v>
          </cell>
          <cell r="AE26">
            <v>1219.5694910832192</v>
          </cell>
          <cell r="AF26">
            <v>1867.957397027023</v>
          </cell>
          <cell r="AG26">
            <v>1906.0144667980635</v>
          </cell>
          <cell r="AH26">
            <v>2133.2711448505015</v>
          </cell>
          <cell r="AI26">
            <v>1371.5809911766846</v>
          </cell>
          <cell r="AJ26">
            <v>1354.1348005882837</v>
          </cell>
          <cell r="AK26">
            <v>1494.736087014946</v>
          </cell>
          <cell r="AL26">
            <v>1468.425286182867</v>
          </cell>
          <cell r="AM26">
            <v>1353.8572884505177</v>
          </cell>
          <cell r="AN26">
            <v>0</v>
          </cell>
          <cell r="AO26">
            <v>0</v>
          </cell>
          <cell r="AP26">
            <v>0</v>
          </cell>
          <cell r="AR26">
            <v>1219.5694910832192</v>
          </cell>
          <cell r="AS26">
            <v>3087.526888110242</v>
          </cell>
          <cell r="AT26">
            <v>4993.5413549083059</v>
          </cell>
          <cell r="AU26">
            <v>7126.8124997588075</v>
          </cell>
          <cell r="AV26">
            <v>8498.3934909354921</v>
          </cell>
          <cell r="AW26">
            <v>9852.5282915237767</v>
          </cell>
          <cell r="AX26">
            <v>11347.264378538723</v>
          </cell>
          <cell r="AY26">
            <v>12815.689664721589</v>
          </cell>
          <cell r="AZ26">
            <v>14169.546953172106</v>
          </cell>
          <cell r="BA26">
            <v>14169.546953172106</v>
          </cell>
          <cell r="BB26">
            <v>14169.546953172106</v>
          </cell>
          <cell r="BC26">
            <v>14169.546953172106</v>
          </cell>
          <cell r="BE26">
            <v>863.83070251791128</v>
          </cell>
          <cell r="BF26">
            <v>1070.8930827291638</v>
          </cell>
          <cell r="BG26">
            <v>1296.0196284338267</v>
          </cell>
          <cell r="BH26">
            <v>1293.4326572849789</v>
          </cell>
          <cell r="BI26">
            <v>1294.0568736026357</v>
          </cell>
          <cell r="BJ26">
            <v>1125.7932465772024</v>
          </cell>
          <cell r="BK26">
            <v>1097.8517857709517</v>
          </cell>
          <cell r="BL26">
            <v>1211.9942906535839</v>
          </cell>
          <cell r="BM26">
            <v>1957.501304576555</v>
          </cell>
          <cell r="BN26">
            <v>1748.2628912240807</v>
          </cell>
          <cell r="BO26">
            <v>1940.1990518587436</v>
          </cell>
          <cell r="BP26">
            <v>2217.9590326493853</v>
          </cell>
          <cell r="BR26">
            <v>863.83070251791128</v>
          </cell>
          <cell r="BS26">
            <v>1934.7237852470751</v>
          </cell>
          <cell r="BT26">
            <v>3230.7434136809015</v>
          </cell>
          <cell r="BU26">
            <v>4524.1760709658802</v>
          </cell>
          <cell r="BV26">
            <v>5818.2329445685154</v>
          </cell>
          <cell r="BW26">
            <v>6944.0261911457183</v>
          </cell>
          <cell r="BX26">
            <v>8041.8779769166704</v>
          </cell>
          <cell r="BY26">
            <v>9253.8722675702538</v>
          </cell>
          <cell r="BZ26">
            <v>11211.373572146809</v>
          </cell>
          <cell r="CA26">
            <v>12959.636463370891</v>
          </cell>
          <cell r="CB26">
            <v>14899.835515229635</v>
          </cell>
          <cell r="CC26">
            <v>17117.794547879021</v>
          </cell>
        </row>
        <row r="37">
          <cell r="E37">
            <v>821.65840026000001</v>
          </cell>
          <cell r="F37">
            <v>1040.4458929000002</v>
          </cell>
          <cell r="G37">
            <v>944.618604</v>
          </cell>
          <cell r="H37">
            <v>993.93454550000001</v>
          </cell>
          <cell r="I37">
            <v>1025.2447397953197</v>
          </cell>
          <cell r="J37">
            <v>1121.0792339897698</v>
          </cell>
          <cell r="K37">
            <v>1115.6534563620348</v>
          </cell>
          <cell r="L37">
            <v>1125.0698603431997</v>
          </cell>
          <cell r="M37">
            <v>1181.1515458269685</v>
          </cell>
          <cell r="N37">
            <v>1167.190217671166</v>
          </cell>
          <cell r="O37">
            <v>1306.4900446612105</v>
          </cell>
          <cell r="P37">
            <v>1796.1203831547443</v>
          </cell>
          <cell r="R37">
            <v>821.65840026000001</v>
          </cell>
          <cell r="S37">
            <v>1862.1042931600002</v>
          </cell>
          <cell r="T37">
            <v>2806.7228971600002</v>
          </cell>
          <cell r="U37">
            <v>3800.65744266</v>
          </cell>
          <cell r="V37">
            <v>4825.9021824553201</v>
          </cell>
          <cell r="W37">
            <v>5946.98141644509</v>
          </cell>
          <cell r="X37">
            <v>7062.6348728071243</v>
          </cell>
          <cell r="Y37">
            <v>8187.7047331503236</v>
          </cell>
          <cell r="Z37">
            <v>9368.8562789772914</v>
          </cell>
          <cell r="AA37">
            <v>10536.046496648458</v>
          </cell>
          <cell r="AB37">
            <v>11842.536541309668</v>
          </cell>
          <cell r="AC37">
            <v>13638.656924464412</v>
          </cell>
          <cell r="AE37">
            <v>821.65840026000001</v>
          </cell>
          <cell r="AF37">
            <v>1040.4458929000002</v>
          </cell>
          <cell r="AG37">
            <v>944.618604</v>
          </cell>
          <cell r="AH37">
            <v>993.93454550000001</v>
          </cell>
          <cell r="AI37">
            <v>886.90653127391306</v>
          </cell>
          <cell r="AJ37">
            <v>827.57117660999995</v>
          </cell>
          <cell r="AK37">
            <v>938.90101995999999</v>
          </cell>
          <cell r="AL37">
            <v>996.97087923000004</v>
          </cell>
          <cell r="AM37">
            <v>1041.4846694556647</v>
          </cell>
          <cell r="AN37">
            <v>0</v>
          </cell>
          <cell r="AO37">
            <v>0</v>
          </cell>
          <cell r="AP37">
            <v>0</v>
          </cell>
          <cell r="AR37">
            <v>821.65840026000001</v>
          </cell>
          <cell r="AS37">
            <v>1862.1042931600002</v>
          </cell>
          <cell r="AT37">
            <v>2806.7228971600002</v>
          </cell>
          <cell r="AU37">
            <v>3800.65744266</v>
          </cell>
          <cell r="AV37">
            <v>4687.5639739339131</v>
          </cell>
          <cell r="AW37">
            <v>5515.1351505439134</v>
          </cell>
          <cell r="AX37">
            <v>6454.0361705039131</v>
          </cell>
          <cell r="AY37">
            <v>7451.0070497339129</v>
          </cell>
          <cell r="AZ37">
            <v>8492.4917191895784</v>
          </cell>
          <cell r="BA37">
            <v>8492.4917191895784</v>
          </cell>
          <cell r="BB37">
            <v>8492.4917191895784</v>
          </cell>
          <cell r="BC37">
            <v>8492.4917191895784</v>
          </cell>
          <cell r="BE37">
            <v>949.17560539999999</v>
          </cell>
          <cell r="BF37">
            <v>857.70396870250011</v>
          </cell>
          <cell r="BG37">
            <v>892.48402220000003</v>
          </cell>
          <cell r="BH37">
            <v>1061.82875857</v>
          </cell>
          <cell r="BI37">
            <v>868.18160199999988</v>
          </cell>
          <cell r="BJ37">
            <v>1052.945463</v>
          </cell>
          <cell r="BK37">
            <v>970.80948222000006</v>
          </cell>
          <cell r="BL37">
            <v>1187.2030922199999</v>
          </cell>
          <cell r="BM37">
            <v>1095.5891329999999</v>
          </cell>
          <cell r="BN37">
            <v>959.06849699999998</v>
          </cell>
          <cell r="BO37">
            <v>1404.7527504</v>
          </cell>
          <cell r="BP37">
            <v>2111.1387960000002</v>
          </cell>
          <cell r="BR37">
            <v>949.17560539999999</v>
          </cell>
          <cell r="BS37">
            <v>1806.8795741025001</v>
          </cell>
          <cell r="BT37">
            <v>2699.3635963024999</v>
          </cell>
          <cell r="BU37">
            <v>3761.1923548724999</v>
          </cell>
          <cell r="BV37">
            <v>4629.3739568724995</v>
          </cell>
          <cell r="BW37">
            <v>5682.3194198724996</v>
          </cell>
          <cell r="BX37">
            <v>6653.1289020924996</v>
          </cell>
          <cell r="BY37">
            <v>7840.3319943124998</v>
          </cell>
          <cell r="BZ37">
            <v>8935.9211273125002</v>
          </cell>
          <cell r="CA37">
            <v>9894.9896243125004</v>
          </cell>
          <cell r="CB37">
            <v>11299.742374712499</v>
          </cell>
          <cell r="CC37">
            <v>13410.881170712499</v>
          </cell>
        </row>
        <row r="40">
          <cell r="R40">
            <v>28.466999999999999</v>
          </cell>
          <cell r="S40">
            <v>49.231499999999997</v>
          </cell>
          <cell r="T40">
            <v>69.193899999999999</v>
          </cell>
          <cell r="U40">
            <v>86.014899999999997</v>
          </cell>
          <cell r="V40">
            <v>98.496899999999997</v>
          </cell>
          <cell r="W40">
            <v>111.5749</v>
          </cell>
          <cell r="X40">
            <v>129.70339999999999</v>
          </cell>
          <cell r="Y40">
            <v>144.70439999999999</v>
          </cell>
          <cell r="Z40">
            <v>159.91239999999999</v>
          </cell>
          <cell r="AA40">
            <v>175.34289999999999</v>
          </cell>
          <cell r="AB40">
            <v>190.6069</v>
          </cell>
          <cell r="AC40">
            <v>204.2739</v>
          </cell>
          <cell r="AR40">
            <v>28.466999999999999</v>
          </cell>
          <cell r="AS40">
            <v>49.231499999999997</v>
          </cell>
          <cell r="AT40">
            <v>69.193899999999999</v>
          </cell>
          <cell r="AU40">
            <v>86.014899999999997</v>
          </cell>
          <cell r="AV40">
            <v>96.056248999999994</v>
          </cell>
          <cell r="AW40">
            <v>105.97174899999999</v>
          </cell>
          <cell r="AX40">
            <v>115.88891499999998</v>
          </cell>
          <cell r="AY40">
            <v>130.88108099999999</v>
          </cell>
          <cell r="AZ40">
            <v>140.15402</v>
          </cell>
          <cell r="BA40">
            <v>140.15402</v>
          </cell>
          <cell r="BB40">
            <v>140.15402</v>
          </cell>
          <cell r="BC40">
            <v>140.15402</v>
          </cell>
          <cell r="BR40">
            <v>16.89425</v>
          </cell>
          <cell r="BS40">
            <v>25.405749999999998</v>
          </cell>
          <cell r="BT40">
            <v>35.433749999999996</v>
          </cell>
          <cell r="BU40">
            <v>46.463249999999995</v>
          </cell>
          <cell r="BV40">
            <v>61.232749999999996</v>
          </cell>
          <cell r="BW40">
            <v>81.431349999999995</v>
          </cell>
          <cell r="BX40">
            <v>102.41295</v>
          </cell>
          <cell r="BY40">
            <v>117.41395</v>
          </cell>
          <cell r="BZ40">
            <v>137.83244999999999</v>
          </cell>
          <cell r="CA40">
            <v>162.74564999999998</v>
          </cell>
          <cell r="CB40">
            <v>202.90914999999998</v>
          </cell>
          <cell r="CC40">
            <v>210.44444999999999</v>
          </cell>
        </row>
        <row r="41">
          <cell r="E41">
            <v>158.63320300000001</v>
          </cell>
          <cell r="F41">
            <v>186.86236700000001</v>
          </cell>
          <cell r="G41">
            <v>166.50575599999999</v>
          </cell>
          <cell r="H41">
            <v>197.112853</v>
          </cell>
          <cell r="I41">
            <v>231.76577162884956</v>
          </cell>
          <cell r="J41">
            <v>234.68195633491194</v>
          </cell>
          <cell r="K41">
            <v>242.47700535450443</v>
          </cell>
          <cell r="L41">
            <v>240.79895692405722</v>
          </cell>
          <cell r="M41">
            <v>269.32566343635187</v>
          </cell>
          <cell r="N41">
            <v>283.30933806058101</v>
          </cell>
          <cell r="O41">
            <v>265.41023267268281</v>
          </cell>
          <cell r="P41">
            <v>233.80713129247363</v>
          </cell>
          <cell r="R41">
            <v>158.63320300000001</v>
          </cell>
          <cell r="S41">
            <v>345.49557000000004</v>
          </cell>
          <cell r="T41">
            <v>512.00132600000006</v>
          </cell>
          <cell r="U41">
            <v>709.11417900000004</v>
          </cell>
          <cell r="V41">
            <v>940.87995062884966</v>
          </cell>
          <cell r="W41">
            <v>1175.5619069637617</v>
          </cell>
          <cell r="X41">
            <v>1418.0389123182661</v>
          </cell>
          <cell r="Y41">
            <v>1658.8378692423232</v>
          </cell>
          <cell r="Z41">
            <v>1928.163532678675</v>
          </cell>
          <cell r="AA41">
            <v>2211.472870739256</v>
          </cell>
          <cell r="AB41">
            <v>2476.8831034119389</v>
          </cell>
          <cell r="AC41">
            <v>2710.6902347044124</v>
          </cell>
          <cell r="AE41">
            <v>158.63320300000001</v>
          </cell>
          <cell r="AF41">
            <v>186.86236700000001</v>
          </cell>
          <cell r="AG41">
            <v>166.50575599999999</v>
          </cell>
          <cell r="AH41">
            <v>197.112853</v>
          </cell>
          <cell r="AI41">
            <v>185.34134</v>
          </cell>
          <cell r="AJ41">
            <v>195.62101799999999</v>
          </cell>
          <cell r="AK41">
            <v>221.065428</v>
          </cell>
          <cell r="AL41">
            <v>234.83930699999999</v>
          </cell>
          <cell r="AM41">
            <v>234.46255500000001</v>
          </cell>
          <cell r="AN41">
            <v>0</v>
          </cell>
          <cell r="AO41">
            <v>0</v>
          </cell>
          <cell r="AP41">
            <v>0</v>
          </cell>
          <cell r="AR41">
            <v>158.63320300000001</v>
          </cell>
          <cell r="AS41">
            <v>345.49557000000004</v>
          </cell>
          <cell r="AT41">
            <v>512.00132600000006</v>
          </cell>
          <cell r="AU41">
            <v>709.11417900000004</v>
          </cell>
          <cell r="AV41">
            <v>894.45551900000009</v>
          </cell>
          <cell r="AW41">
            <v>1090.0765370000001</v>
          </cell>
          <cell r="AX41">
            <v>1311.1419650000003</v>
          </cell>
          <cell r="AY41">
            <v>1545.9812720000002</v>
          </cell>
          <cell r="AZ41">
            <v>1780.4438270000003</v>
          </cell>
          <cell r="BA41">
            <v>1780.4438270000003</v>
          </cell>
          <cell r="BB41">
            <v>1780.4438270000003</v>
          </cell>
          <cell r="BC41">
            <v>1780.4438270000003</v>
          </cell>
          <cell r="BE41">
            <v>229.79770600000001</v>
          </cell>
          <cell r="BF41">
            <v>143.05550820249999</v>
          </cell>
          <cell r="BG41">
            <v>159.65114269999998</v>
          </cell>
          <cell r="BH41">
            <v>172.50759932</v>
          </cell>
          <cell r="BI41">
            <v>175.002925</v>
          </cell>
          <cell r="BJ41">
            <v>196.34795800000001</v>
          </cell>
          <cell r="BK41">
            <v>178.81147540000001</v>
          </cell>
          <cell r="BL41">
            <v>228.85843</v>
          </cell>
          <cell r="BM41">
            <v>256.04476199999999</v>
          </cell>
          <cell r="BN41">
            <v>202.133871</v>
          </cell>
          <cell r="BO41">
            <v>252.4287716</v>
          </cell>
          <cell r="BP41">
            <v>184.9663615</v>
          </cell>
          <cell r="BR41">
            <v>229.79770600000001</v>
          </cell>
          <cell r="BS41">
            <v>372.8532142025</v>
          </cell>
          <cell r="BT41">
            <v>532.50435690249992</v>
          </cell>
          <cell r="BU41">
            <v>705.01195622249998</v>
          </cell>
          <cell r="BV41">
            <v>880.01488122249998</v>
          </cell>
          <cell r="BW41">
            <v>1076.3628392225</v>
          </cell>
          <cell r="BX41">
            <v>1255.1743146225001</v>
          </cell>
          <cell r="BY41">
            <v>1484.0327446225001</v>
          </cell>
          <cell r="BZ41">
            <v>1740.0775066225001</v>
          </cell>
          <cell r="CA41">
            <v>1942.2113776225001</v>
          </cell>
          <cell r="CB41">
            <v>2194.6401492225</v>
          </cell>
          <cell r="CC41">
            <v>2379.6065107224999</v>
          </cell>
        </row>
        <row r="43">
          <cell r="E43">
            <v>116.12847816</v>
          </cell>
          <cell r="F43">
            <v>164.372446</v>
          </cell>
          <cell r="G43">
            <v>138.633377</v>
          </cell>
          <cell r="H43">
            <v>160.52124950000001</v>
          </cell>
          <cell r="I43">
            <v>125.602542</v>
          </cell>
          <cell r="J43">
            <v>120.142628</v>
          </cell>
          <cell r="K43">
            <v>116.625214</v>
          </cell>
          <cell r="L43">
            <v>120.142628</v>
          </cell>
          <cell r="M43">
            <v>122.872585</v>
          </cell>
          <cell r="N43">
            <v>122.872585</v>
          </cell>
          <cell r="O43">
            <v>114.682714</v>
          </cell>
          <cell r="P43">
            <v>396.56467900000001</v>
          </cell>
          <cell r="R43">
            <v>116.12847816</v>
          </cell>
          <cell r="S43">
            <v>280.50092416000001</v>
          </cell>
          <cell r="T43">
            <v>419.13430116000001</v>
          </cell>
          <cell r="U43">
            <v>579.65555066000002</v>
          </cell>
          <cell r="V43">
            <v>705.25809265999999</v>
          </cell>
          <cell r="W43">
            <v>825.40072065999993</v>
          </cell>
          <cell r="X43">
            <v>942.02593465999996</v>
          </cell>
          <cell r="Y43">
            <v>1062.1685626599999</v>
          </cell>
          <cell r="Z43">
            <v>1185.04114766</v>
          </cell>
          <cell r="AA43">
            <v>1307.9137326600001</v>
          </cell>
          <cell r="AB43">
            <v>1422.5964466600001</v>
          </cell>
          <cell r="AC43">
            <v>1819.1611256600002</v>
          </cell>
          <cell r="AE43">
            <v>116.12847816</v>
          </cell>
          <cell r="AF43">
            <v>164.372446</v>
          </cell>
          <cell r="AG43">
            <v>138.633377</v>
          </cell>
          <cell r="AH43">
            <v>160.52124950000001</v>
          </cell>
          <cell r="AI43">
            <v>123.01498142391304</v>
          </cell>
          <cell r="AJ43">
            <v>128.41841024999999</v>
          </cell>
          <cell r="AK43">
            <v>148.92450249999999</v>
          </cell>
          <cell r="AL43">
            <v>169.949579</v>
          </cell>
          <cell r="AM43">
            <v>172.03356136092489</v>
          </cell>
          <cell r="AN43">
            <v>0</v>
          </cell>
          <cell r="AO43">
            <v>0</v>
          </cell>
          <cell r="AP43">
            <v>0</v>
          </cell>
          <cell r="AR43">
            <v>116.12847816</v>
          </cell>
          <cell r="AS43">
            <v>280.50092416000001</v>
          </cell>
          <cell r="AT43">
            <v>419.13430116000001</v>
          </cell>
          <cell r="AU43">
            <v>579.65555066000002</v>
          </cell>
          <cell r="AV43">
            <v>702.67053208391303</v>
          </cell>
          <cell r="AW43">
            <v>831.088942333913</v>
          </cell>
          <cell r="AX43">
            <v>980.01344483391301</v>
          </cell>
          <cell r="AY43">
            <v>1149.963023833913</v>
          </cell>
          <cell r="AZ43">
            <v>1321.996585194838</v>
          </cell>
          <cell r="BA43">
            <v>1321.996585194838</v>
          </cell>
          <cell r="BB43">
            <v>1321.996585194838</v>
          </cell>
          <cell r="BC43">
            <v>1321.996585194838</v>
          </cell>
          <cell r="BE43">
            <v>153.69823740000001</v>
          </cell>
          <cell r="BF43">
            <v>136.98499150000001</v>
          </cell>
          <cell r="BG43">
            <v>130.991038</v>
          </cell>
          <cell r="BH43">
            <v>140.59312825000001</v>
          </cell>
          <cell r="BI43">
            <v>167.24027100000001</v>
          </cell>
          <cell r="BJ43">
            <v>171.24872999999999</v>
          </cell>
          <cell r="BK43">
            <v>155.13786300000001</v>
          </cell>
          <cell r="BL43">
            <v>160.60107221999999</v>
          </cell>
          <cell r="BM43">
            <v>129.43560600000001</v>
          </cell>
          <cell r="BN43">
            <v>135.34983700000001</v>
          </cell>
          <cell r="BO43">
            <v>211.011438</v>
          </cell>
          <cell r="BP43">
            <v>336.97599699999995</v>
          </cell>
          <cell r="BR43">
            <v>153.69823740000001</v>
          </cell>
          <cell r="BS43">
            <v>290.68322890000002</v>
          </cell>
          <cell r="BT43">
            <v>421.67426690000002</v>
          </cell>
          <cell r="BU43">
            <v>562.26739515000008</v>
          </cell>
          <cell r="BV43">
            <v>729.50766615000009</v>
          </cell>
          <cell r="BW43">
            <v>900.75639615000011</v>
          </cell>
          <cell r="BX43">
            <v>1055.8942591500002</v>
          </cell>
          <cell r="BY43">
            <v>1216.4953313700003</v>
          </cell>
          <cell r="BZ43">
            <v>1345.9309373700003</v>
          </cell>
          <cell r="CA43">
            <v>1481.2807743700002</v>
          </cell>
          <cell r="CB43">
            <v>1692.2922123700002</v>
          </cell>
          <cell r="CC43">
            <v>2029.2682093700002</v>
          </cell>
        </row>
        <row r="44">
          <cell r="E44">
            <v>84.545042099999989</v>
          </cell>
          <cell r="F44">
            <v>103.4621029</v>
          </cell>
          <cell r="G44">
            <v>89.943706000000006</v>
          </cell>
          <cell r="H44">
            <v>104.750848</v>
          </cell>
          <cell r="I44">
            <v>109.35901930000001</v>
          </cell>
          <cell r="J44">
            <v>109.94612830000003</v>
          </cell>
          <cell r="K44">
            <v>108.47762420000002</v>
          </cell>
          <cell r="L44">
            <v>112.20530910000005</v>
          </cell>
          <cell r="M44">
            <v>117.30328080000001</v>
          </cell>
          <cell r="N44">
            <v>103.35916770000003</v>
          </cell>
          <cell r="O44">
            <v>99.576978600000089</v>
          </cell>
          <cell r="P44">
            <v>103.57992800000007</v>
          </cell>
          <cell r="R44">
            <v>84.545042099999989</v>
          </cell>
          <cell r="S44">
            <v>188.00714499999998</v>
          </cell>
          <cell r="T44">
            <v>277.950851</v>
          </cell>
          <cell r="U44">
            <v>382.70169900000002</v>
          </cell>
          <cell r="V44">
            <v>492.06071830000002</v>
          </cell>
          <cell r="W44">
            <v>602.00684660000002</v>
          </cell>
          <cell r="X44">
            <v>710.48447080000005</v>
          </cell>
          <cell r="Y44">
            <v>822.68977990000008</v>
          </cell>
          <cell r="Z44">
            <v>939.99306070000011</v>
          </cell>
          <cell r="AA44">
            <v>1043.3522284000001</v>
          </cell>
          <cell r="AB44">
            <v>1142.9292070000001</v>
          </cell>
          <cell r="AC44">
            <v>1246.5091350000002</v>
          </cell>
          <cell r="AE44">
            <v>84.545042099999989</v>
          </cell>
          <cell r="AF44">
            <v>103.4621029</v>
          </cell>
          <cell r="AG44">
            <v>89.943706000000006</v>
          </cell>
          <cell r="AH44">
            <v>104.750848</v>
          </cell>
          <cell r="AI44">
            <v>101.05834985</v>
          </cell>
          <cell r="AJ44">
            <v>102.36397969999999</v>
          </cell>
          <cell r="AK44">
            <v>91.524487460000003</v>
          </cell>
          <cell r="AL44">
            <v>91.249956209999993</v>
          </cell>
          <cell r="AM44">
            <v>85.561301329999992</v>
          </cell>
          <cell r="AN44">
            <v>0</v>
          </cell>
          <cell r="AO44">
            <v>0</v>
          </cell>
          <cell r="AP44">
            <v>0</v>
          </cell>
          <cell r="AR44">
            <v>84.545042099999989</v>
          </cell>
          <cell r="AS44">
            <v>188.00714499999998</v>
          </cell>
          <cell r="AT44">
            <v>277.950851</v>
          </cell>
          <cell r="AU44">
            <v>382.70169900000002</v>
          </cell>
          <cell r="AV44">
            <v>483.76004885000003</v>
          </cell>
          <cell r="AW44">
            <v>586.12402855000005</v>
          </cell>
          <cell r="AX44">
            <v>677.64851601000009</v>
          </cell>
          <cell r="AY44">
            <v>768.89847222000003</v>
          </cell>
          <cell r="AZ44">
            <v>854.45977355000002</v>
          </cell>
          <cell r="BA44">
            <v>854.45977355000002</v>
          </cell>
          <cell r="BB44">
            <v>854.45977355000002</v>
          </cell>
          <cell r="BC44">
            <v>854.45977355000002</v>
          </cell>
          <cell r="BE44">
            <v>58.941766999999999</v>
          </cell>
          <cell r="BF44">
            <v>97.312569999999994</v>
          </cell>
          <cell r="BG44">
            <v>124.80298999999999</v>
          </cell>
          <cell r="BH44">
            <v>99.632470999999995</v>
          </cell>
          <cell r="BI44">
            <v>85.836213000000001</v>
          </cell>
          <cell r="BJ44">
            <v>116.338536</v>
          </cell>
          <cell r="BK44">
            <v>111.311072</v>
          </cell>
          <cell r="BL44">
            <v>108.391825</v>
          </cell>
          <cell r="BM44">
            <v>101.14614400000001</v>
          </cell>
          <cell r="BN44">
            <v>102.509815</v>
          </cell>
          <cell r="BO44">
            <v>94.270302000000001</v>
          </cell>
          <cell r="BP44">
            <v>102.27960299999999</v>
          </cell>
          <cell r="BR44">
            <v>58.941766999999999</v>
          </cell>
          <cell r="BS44">
            <v>156.25433699999999</v>
          </cell>
          <cell r="BT44">
            <v>281.05732699999999</v>
          </cell>
          <cell r="BU44">
            <v>380.689798</v>
          </cell>
          <cell r="BV44">
            <v>466.52601099999998</v>
          </cell>
          <cell r="BW44">
            <v>582.86454700000002</v>
          </cell>
          <cell r="BX44">
            <v>694.17561899999998</v>
          </cell>
          <cell r="BY44">
            <v>802.56744400000002</v>
          </cell>
          <cell r="BZ44">
            <v>903.71358800000007</v>
          </cell>
          <cell r="CA44">
            <v>1006.2234030000001</v>
          </cell>
          <cell r="CB44">
            <v>1100.4937050000001</v>
          </cell>
          <cell r="CC44">
            <v>1202.773308</v>
          </cell>
        </row>
        <row r="46">
          <cell r="E46">
            <v>42.785366000000003</v>
          </cell>
          <cell r="F46">
            <v>65.829044999999994</v>
          </cell>
          <cell r="G46">
            <v>60.834662999999999</v>
          </cell>
          <cell r="H46">
            <v>63.344298000000002</v>
          </cell>
          <cell r="I46">
            <v>45.872464999999998</v>
          </cell>
          <cell r="J46">
            <v>66.12397</v>
          </cell>
          <cell r="K46">
            <v>65.240780000000001</v>
          </cell>
          <cell r="L46">
            <v>66.698719999999994</v>
          </cell>
          <cell r="M46">
            <v>70.548720000000003</v>
          </cell>
          <cell r="N46">
            <v>62.162430000000001</v>
          </cell>
          <cell r="O46">
            <v>59.887740000000001</v>
          </cell>
          <cell r="P46">
            <v>62.759481999999998</v>
          </cell>
          <cell r="R46">
            <v>42.785366000000003</v>
          </cell>
          <cell r="S46">
            <v>108.61441099999999</v>
          </cell>
          <cell r="T46">
            <v>169.449074</v>
          </cell>
          <cell r="U46">
            <v>232.79337200000001</v>
          </cell>
          <cell r="V46">
            <v>278.66583700000001</v>
          </cell>
          <cell r="W46">
            <v>344.789807</v>
          </cell>
          <cell r="X46">
            <v>410.03058699999997</v>
          </cell>
          <cell r="Y46">
            <v>476.72930699999995</v>
          </cell>
          <cell r="Z46">
            <v>547.27802699999995</v>
          </cell>
          <cell r="AA46">
            <v>609.44045699999992</v>
          </cell>
          <cell r="AB46">
            <v>669.32819699999993</v>
          </cell>
          <cell r="AC46">
            <v>732.08767899999998</v>
          </cell>
          <cell r="AE46">
            <v>42.785366000000003</v>
          </cell>
          <cell r="AF46">
            <v>65.829044999999994</v>
          </cell>
          <cell r="AG46">
            <v>60.834662999999999</v>
          </cell>
          <cell r="AH46">
            <v>63.344298000000002</v>
          </cell>
          <cell r="AI46">
            <v>45.017166000000003</v>
          </cell>
          <cell r="AJ46">
            <v>33.895305999999998</v>
          </cell>
          <cell r="AK46">
            <v>42.507269000000001</v>
          </cell>
          <cell r="AL46">
            <v>35.346921000000002</v>
          </cell>
          <cell r="AM46">
            <v>39.879167764739876</v>
          </cell>
          <cell r="AN46">
            <v>0</v>
          </cell>
          <cell r="AO46">
            <v>0</v>
          </cell>
          <cell r="AP46">
            <v>0</v>
          </cell>
          <cell r="AR46">
            <v>42.785366000000003</v>
          </cell>
          <cell r="AS46">
            <v>108.61441099999999</v>
          </cell>
          <cell r="AT46">
            <v>169.449074</v>
          </cell>
          <cell r="AU46">
            <v>232.79337200000001</v>
          </cell>
          <cell r="AV46">
            <v>277.81053800000001</v>
          </cell>
          <cell r="AW46">
            <v>311.70584400000001</v>
          </cell>
          <cell r="AX46">
            <v>354.21311300000002</v>
          </cell>
          <cell r="AY46">
            <v>389.56003400000003</v>
          </cell>
          <cell r="AZ46">
            <v>429.43920176473989</v>
          </cell>
          <cell r="BA46">
            <v>429.43920176473989</v>
          </cell>
          <cell r="BB46">
            <v>429.43920176473989</v>
          </cell>
          <cell r="BC46">
            <v>429.43920176473989</v>
          </cell>
          <cell r="BE46">
            <v>56.016530000000003</v>
          </cell>
          <cell r="BF46">
            <v>79.524238999999994</v>
          </cell>
          <cell r="BG46">
            <v>66.041261000000006</v>
          </cell>
          <cell r="BH46">
            <v>64.844740999999999</v>
          </cell>
          <cell r="BI46">
            <v>51.342095999999998</v>
          </cell>
          <cell r="BJ46">
            <v>49.399766999999997</v>
          </cell>
          <cell r="BK46">
            <v>42.183020820000003</v>
          </cell>
          <cell r="BL46">
            <v>65.635493999999994</v>
          </cell>
          <cell r="BM46">
            <v>68.272053999999997</v>
          </cell>
          <cell r="BN46">
            <v>57.878036999999999</v>
          </cell>
          <cell r="BO46">
            <v>64.543093999999996</v>
          </cell>
          <cell r="BP46">
            <v>119.5648475</v>
          </cell>
          <cell r="BR46">
            <v>56.016530000000003</v>
          </cell>
          <cell r="BS46">
            <v>135.54076900000001</v>
          </cell>
          <cell r="BT46">
            <v>201.58203000000003</v>
          </cell>
          <cell r="BU46">
            <v>266.42677100000003</v>
          </cell>
          <cell r="BV46">
            <v>317.768867</v>
          </cell>
          <cell r="BW46">
            <v>367.168634</v>
          </cell>
          <cell r="BX46">
            <v>409.35165482000002</v>
          </cell>
          <cell r="BY46">
            <v>474.98714882000002</v>
          </cell>
          <cell r="BZ46">
            <v>543.25920282000004</v>
          </cell>
          <cell r="CA46">
            <v>601.13723981999999</v>
          </cell>
          <cell r="CB46">
            <v>665.68033381999999</v>
          </cell>
          <cell r="CC46">
            <v>785.24518132000003</v>
          </cell>
        </row>
        <row r="47">
          <cell r="E47">
            <v>145.20849999999999</v>
          </cell>
          <cell r="F47">
            <v>152.81932499999999</v>
          </cell>
          <cell r="G47">
            <v>184.624922</v>
          </cell>
          <cell r="H47">
            <v>158.58945499999999</v>
          </cell>
          <cell r="I47">
            <v>156.81805700000001</v>
          </cell>
          <cell r="J47">
            <v>231.43389500000004</v>
          </cell>
          <cell r="K47">
            <v>228.34272999999996</v>
          </cell>
          <cell r="L47">
            <v>236.189415</v>
          </cell>
          <cell r="M47">
            <v>212.28751199999999</v>
          </cell>
          <cell r="N47">
            <v>187.052403</v>
          </cell>
          <cell r="O47">
            <v>209.60708999999997</v>
          </cell>
          <cell r="P47">
            <v>187.45792000000003</v>
          </cell>
          <cell r="R47">
            <v>145.20849999999999</v>
          </cell>
          <cell r="S47">
            <v>298.02782500000001</v>
          </cell>
          <cell r="T47">
            <v>482.65274699999998</v>
          </cell>
          <cell r="U47">
            <v>641.24220199999991</v>
          </cell>
          <cell r="V47">
            <v>798.06025899999986</v>
          </cell>
          <cell r="W47">
            <v>1029.494154</v>
          </cell>
          <cell r="X47">
            <v>1257.8368839999998</v>
          </cell>
          <cell r="Y47">
            <v>1494.0262989999999</v>
          </cell>
          <cell r="Z47">
            <v>1706.313811</v>
          </cell>
          <cell r="AA47">
            <v>1893.3662139999999</v>
          </cell>
          <cell r="AB47">
            <v>2102.9733040000001</v>
          </cell>
          <cell r="AC47">
            <v>2290.4312239999999</v>
          </cell>
          <cell r="AE47">
            <v>145.20849999999999</v>
          </cell>
          <cell r="AF47">
            <v>152.81932499999999</v>
          </cell>
          <cell r="AG47">
            <v>184.624922</v>
          </cell>
          <cell r="AH47">
            <v>158.58945499999999</v>
          </cell>
          <cell r="AI47">
            <v>156.81805700000001</v>
          </cell>
          <cell r="AJ47">
            <v>94.667131659999995</v>
          </cell>
          <cell r="AK47">
            <v>138.314233</v>
          </cell>
          <cell r="AL47">
            <v>131.50618402000001</v>
          </cell>
          <cell r="AM47">
            <v>141.654427</v>
          </cell>
          <cell r="AN47">
            <v>0</v>
          </cell>
          <cell r="AO47">
            <v>0</v>
          </cell>
          <cell r="AP47">
            <v>0</v>
          </cell>
          <cell r="AR47">
            <v>145.20849999999999</v>
          </cell>
          <cell r="AS47">
            <v>298.02782500000001</v>
          </cell>
          <cell r="AT47">
            <v>482.65274699999998</v>
          </cell>
          <cell r="AU47">
            <v>641.24220199999991</v>
          </cell>
          <cell r="AV47">
            <v>798.06025899999986</v>
          </cell>
          <cell r="AW47">
            <v>892.72739065999986</v>
          </cell>
          <cell r="AX47">
            <v>1031.0416236599999</v>
          </cell>
          <cell r="AY47">
            <v>1162.54780768</v>
          </cell>
          <cell r="AZ47">
            <v>1304.2022346799999</v>
          </cell>
          <cell r="BA47">
            <v>1304.2022346799999</v>
          </cell>
          <cell r="BB47">
            <v>1304.2022346799999</v>
          </cell>
          <cell r="BC47">
            <v>1304.2022346799999</v>
          </cell>
          <cell r="BE47">
            <v>127.73336</v>
          </cell>
          <cell r="BF47">
            <v>126.912111</v>
          </cell>
          <cell r="BG47">
            <v>145.45622</v>
          </cell>
          <cell r="BH47">
            <v>303.06466799999998</v>
          </cell>
          <cell r="BI47">
            <v>124.205476</v>
          </cell>
          <cell r="BJ47">
            <v>213.168826</v>
          </cell>
          <cell r="BK47">
            <v>193.63756900000001</v>
          </cell>
          <cell r="BL47">
            <v>295.82260500000001</v>
          </cell>
          <cell r="BM47">
            <v>197.15364400000001</v>
          </cell>
          <cell r="BN47">
            <v>157.40340699999999</v>
          </cell>
          <cell r="BO47">
            <v>182.558741</v>
          </cell>
          <cell r="BP47">
            <v>585.36727800000006</v>
          </cell>
          <cell r="BR47">
            <v>127.73336</v>
          </cell>
          <cell r="BS47">
            <v>254.64547099999999</v>
          </cell>
          <cell r="BT47">
            <v>400.10169099999996</v>
          </cell>
          <cell r="BU47">
            <v>703.16635899999994</v>
          </cell>
          <cell r="BV47">
            <v>827.37183499999992</v>
          </cell>
          <cell r="BW47">
            <v>1040.540661</v>
          </cell>
          <cell r="BX47">
            <v>1234.17823</v>
          </cell>
          <cell r="BY47">
            <v>1530.0008350000001</v>
          </cell>
          <cell r="BZ47">
            <v>1727.154479</v>
          </cell>
          <cell r="CA47">
            <v>1884.5578860000001</v>
          </cell>
          <cell r="CB47">
            <v>2067.1166269999999</v>
          </cell>
          <cell r="CC47">
            <v>2652.483905</v>
          </cell>
        </row>
        <row r="53">
          <cell r="E53">
            <v>766.01448337940406</v>
          </cell>
          <cell r="F53">
            <v>1198.9096953044466</v>
          </cell>
          <cell r="G53">
            <v>1135.0449532933978</v>
          </cell>
          <cell r="H53">
            <v>1231.2667562389213</v>
          </cell>
          <cell r="I53">
            <v>919.79861926703779</v>
          </cell>
          <cell r="J53">
            <v>896.29362140620822</v>
          </cell>
          <cell r="K53">
            <v>945.06486887851111</v>
          </cell>
          <cell r="L53">
            <v>978.67268597730663</v>
          </cell>
          <cell r="M53">
            <v>871.305680439978</v>
          </cell>
          <cell r="N53">
            <v>712.54952050619784</v>
          </cell>
          <cell r="O53">
            <v>894.80141175117956</v>
          </cell>
          <cell r="P53">
            <v>1384.8915362447026</v>
          </cell>
          <cell r="R53">
            <v>766.01448337940406</v>
          </cell>
          <cell r="S53">
            <v>973.87698797143071</v>
          </cell>
          <cell r="T53">
            <v>1027.4097097060699</v>
          </cell>
          <cell r="U53">
            <v>1078.8917321372883</v>
          </cell>
          <cell r="V53">
            <v>1042.6885024818926</v>
          </cell>
          <cell r="W53">
            <v>1014.825235374688</v>
          </cell>
          <cell r="X53">
            <v>1003.3730745027437</v>
          </cell>
          <cell r="Y53">
            <v>999.90462403166805</v>
          </cell>
          <cell r="Z53">
            <v>982.51326741547848</v>
          </cell>
          <cell r="AA53">
            <v>948.90011130264566</v>
          </cell>
          <cell r="AB53">
            <v>943.18621611057119</v>
          </cell>
          <cell r="AC53">
            <v>980.46297546770097</v>
          </cell>
          <cell r="AE53">
            <v>918.3693075665692</v>
          </cell>
          <cell r="AF53">
            <v>1123.8696596748835</v>
          </cell>
          <cell r="AG53">
            <v>1257.0986233422568</v>
          </cell>
          <cell r="AH53">
            <v>1188.0300943658983</v>
          </cell>
          <cell r="AI53">
            <v>920.31311835290489</v>
          </cell>
          <cell r="AJ53">
            <v>831.49934214283462</v>
          </cell>
          <cell r="AK53">
            <v>848.02723047032748</v>
          </cell>
          <cell r="AL53">
            <v>778.61539878786277</v>
          </cell>
          <cell r="AM53">
            <v>609.65634002429431</v>
          </cell>
          <cell r="AN53">
            <v>0</v>
          </cell>
          <cell r="AO53">
            <v>0</v>
          </cell>
          <cell r="AP53">
            <v>0</v>
          </cell>
          <cell r="AR53">
            <v>918.3693075665692</v>
          </cell>
          <cell r="AS53">
            <v>1029.7374266980478</v>
          </cell>
          <cell r="AT53">
            <v>1102.9251692580274</v>
          </cell>
          <cell r="AU53">
            <v>1126.209775641466</v>
          </cell>
          <cell r="AV53">
            <v>1085.0600180192625</v>
          </cell>
          <cell r="AW53">
            <v>1039.8795023614086</v>
          </cell>
          <cell r="AX53">
            <v>1008.5580496426511</v>
          </cell>
          <cell r="AY53">
            <v>973.59913583656464</v>
          </cell>
          <cell r="AZ53">
            <v>916.13033142763197</v>
          </cell>
          <cell r="BA53">
            <v>916.13033142763197</v>
          </cell>
          <cell r="BB53">
            <v>916.13033142763197</v>
          </cell>
          <cell r="BC53">
            <v>916.13033142763197</v>
          </cell>
          <cell r="BE53">
            <v>639.77822929259912</v>
          </cell>
          <cell r="BF53">
            <v>976.90030526900273</v>
          </cell>
          <cell r="BG53">
            <v>946.79716398937489</v>
          </cell>
          <cell r="BH53">
            <v>892.08741474205681</v>
          </cell>
          <cell r="BI53">
            <v>836.53941487861653</v>
          </cell>
          <cell r="BJ53">
            <v>787.64221565155526</v>
          </cell>
          <cell r="BK53">
            <v>706.78531287737064</v>
          </cell>
          <cell r="BL53">
            <v>694.81113195435523</v>
          </cell>
          <cell r="BM53">
            <v>867.12857726837717</v>
          </cell>
          <cell r="BN53">
            <v>952.77519461014072</v>
          </cell>
          <cell r="BO53">
            <v>975.23070732201472</v>
          </cell>
          <cell r="BP53">
            <v>1978.2193357719957</v>
          </cell>
          <cell r="BR53">
            <v>639.77822929259912</v>
          </cell>
          <cell r="BS53">
            <v>777.62604030685907</v>
          </cell>
          <cell r="BT53">
            <v>832.7946765296108</v>
          </cell>
          <cell r="BU53">
            <v>848.35571438100919</v>
          </cell>
          <cell r="BV53">
            <v>845.83071900017944</v>
          </cell>
          <cell r="BW53">
            <v>835.42556414823741</v>
          </cell>
          <cell r="BX53">
            <v>814.62189843539772</v>
          </cell>
          <cell r="BY53">
            <v>795.29646900481589</v>
          </cell>
          <cell r="BZ53">
            <v>806.25269057924402</v>
          </cell>
          <cell r="CA53">
            <v>821.91161365754988</v>
          </cell>
          <cell r="CB53">
            <v>839.44856236185262</v>
          </cell>
          <cell r="CC53">
            <v>911.60587071626037</v>
          </cell>
        </row>
        <row r="54">
          <cell r="E54">
            <v>509.99954732903188</v>
          </cell>
          <cell r="F54">
            <v>841.59950785094782</v>
          </cell>
          <cell r="G54">
            <v>830.52128586494155</v>
          </cell>
          <cell r="H54">
            <v>914.24726881144545</v>
          </cell>
          <cell r="I54">
            <v>626.05207474506415</v>
          </cell>
          <cell r="J54">
            <v>593.26696559955349</v>
          </cell>
          <cell r="K54">
            <v>650.64287918613309</v>
          </cell>
          <cell r="L54">
            <v>685.50224934255414</v>
          </cell>
          <cell r="M54">
            <v>584.42104412623212</v>
          </cell>
          <cell r="N54">
            <v>437.18447762100482</v>
          </cell>
          <cell r="O54">
            <v>545.73116415209347</v>
          </cell>
          <cell r="P54">
            <v>876.85628129631141</v>
          </cell>
          <cell r="R54">
            <v>509.99954732903188</v>
          </cell>
          <cell r="S54">
            <v>669.62245841046183</v>
          </cell>
          <cell r="T54">
            <v>723.09289730365026</v>
          </cell>
          <cell r="U54">
            <v>771.36915030963041</v>
          </cell>
          <cell r="V54">
            <v>738.24046141422878</v>
          </cell>
          <cell r="W54">
            <v>710.65052942593888</v>
          </cell>
          <cell r="X54">
            <v>700.79002565104804</v>
          </cell>
          <cell r="Y54">
            <v>698.64529592445967</v>
          </cell>
          <cell r="Z54">
            <v>683.15320519320437</v>
          </cell>
          <cell r="AA54">
            <v>652.44222659928801</v>
          </cell>
          <cell r="AB54">
            <v>641.26744913088692</v>
          </cell>
          <cell r="AC54">
            <v>661.16510473420988</v>
          </cell>
          <cell r="AE54">
            <v>612.10329691326808</v>
          </cell>
          <cell r="AF54">
            <v>788.46207644420974</v>
          </cell>
          <cell r="AG54">
            <v>920.1767091875688</v>
          </cell>
          <cell r="AH54">
            <v>880.88420513477695</v>
          </cell>
          <cell r="AI54">
            <v>620.46064037709118</v>
          </cell>
          <cell r="AJ54">
            <v>561.39244730162147</v>
          </cell>
          <cell r="AK54">
            <v>565.92577690061671</v>
          </cell>
          <cell r="AL54">
            <v>507.06569420337428</v>
          </cell>
          <cell r="AM54">
            <v>379.4862883237011</v>
          </cell>
          <cell r="AN54">
            <v>0</v>
          </cell>
          <cell r="AO54">
            <v>0</v>
          </cell>
          <cell r="AP54">
            <v>0</v>
          </cell>
          <cell r="AR54">
            <v>612.10329691326808</v>
          </cell>
          <cell r="AS54">
            <v>707.89842944938164</v>
          </cell>
          <cell r="AT54">
            <v>776.25085944146349</v>
          </cell>
          <cell r="AU54">
            <v>804.86803004881904</v>
          </cell>
          <cell r="AV54">
            <v>768.02753189667226</v>
          </cell>
          <cell r="AW54">
            <v>731.04506677568941</v>
          </cell>
          <cell r="AX54">
            <v>703.98822645235339</v>
          </cell>
          <cell r="AY54">
            <v>673.99668316031716</v>
          </cell>
          <cell r="AZ54">
            <v>627.46876969209825</v>
          </cell>
          <cell r="BA54">
            <v>627.46876969209825</v>
          </cell>
          <cell r="BB54">
            <v>627.46876969209825</v>
          </cell>
          <cell r="BC54">
            <v>627.46876969209825</v>
          </cell>
          <cell r="BE54">
            <v>349.06326537438571</v>
          </cell>
          <cell r="BF54">
            <v>630.38416295562081</v>
          </cell>
          <cell r="BG54">
            <v>640.16775916711617</v>
          </cell>
          <cell r="BH54">
            <v>574.77650509686714</v>
          </cell>
          <cell r="BI54">
            <v>566.47360282876571</v>
          </cell>
          <cell r="BJ54">
            <v>481.08965713564294</v>
          </cell>
          <cell r="BK54">
            <v>434.50087001223847</v>
          </cell>
          <cell r="BL54">
            <v>407.82749000314249</v>
          </cell>
          <cell r="BM54">
            <v>605.02474791473071</v>
          </cell>
          <cell r="BN54">
            <v>671.90865028801932</v>
          </cell>
          <cell r="BO54">
            <v>615.12250546697578</v>
          </cell>
          <cell r="BP54">
            <v>1177.3401083705662</v>
          </cell>
          <cell r="BR54">
            <v>349.06326537438571</v>
          </cell>
          <cell r="BS54">
            <v>463.57284875262121</v>
          </cell>
          <cell r="BT54">
            <v>521.25534067530441</v>
          </cell>
          <cell r="BU54">
            <v>535.5114032519939</v>
          </cell>
          <cell r="BV54">
            <v>542.10154924953622</v>
          </cell>
          <cell r="BW54">
            <v>531.18016685875307</v>
          </cell>
          <cell r="BX54">
            <v>515.52076289423769</v>
          </cell>
          <cell r="BY54">
            <v>498.28743740193892</v>
          </cell>
          <cell r="BZ54">
            <v>514.12374824169444</v>
          </cell>
          <cell r="CA54">
            <v>530.9434143694034</v>
          </cell>
          <cell r="CB54">
            <v>540.57648126864865</v>
          </cell>
          <cell r="CC54">
            <v>581.31382128913299</v>
          </cell>
        </row>
        <row r="65">
          <cell r="BE65">
            <v>290.71496391821341</v>
          </cell>
          <cell r="BF65">
            <v>346.51614231338192</v>
          </cell>
          <cell r="BG65">
            <v>306.62940482225866</v>
          </cell>
          <cell r="BH65">
            <v>317.31090964518961</v>
          </cell>
          <cell r="BI65">
            <v>270.06581204985076</v>
          </cell>
          <cell r="BJ65">
            <v>306.55255851591232</v>
          </cell>
          <cell r="BK65">
            <v>272.28444286513223</v>
          </cell>
          <cell r="BL65">
            <v>286.98364195121269</v>
          </cell>
          <cell r="BM65">
            <v>262.10382935364646</v>
          </cell>
          <cell r="BN65">
            <v>280.8665443221214</v>
          </cell>
          <cell r="BO65">
            <v>360.10820185503889</v>
          </cell>
          <cell r="BP65">
            <v>800.87922740142949</v>
          </cell>
        </row>
        <row r="68">
          <cell r="E68">
            <v>11.904329535925463</v>
          </cell>
          <cell r="F68">
            <v>9.3553487935989548</v>
          </cell>
          <cell r="G68">
            <v>8.698359013403449</v>
          </cell>
          <cell r="H68">
            <v>7.2089070092189571</v>
          </cell>
          <cell r="I68">
            <v>4.5750386284619173</v>
          </cell>
          <cell r="J68">
            <v>4.6493921732079526</v>
          </cell>
          <cell r="K68">
            <v>6.2377197419444483</v>
          </cell>
          <cell r="L68">
            <v>5.197567722633921</v>
          </cell>
          <cell r="M68">
            <v>4.7111714837176617</v>
          </cell>
          <cell r="N68">
            <v>4.5441604400531928</v>
          </cell>
          <cell r="O68">
            <v>4.7982761815594781</v>
          </cell>
          <cell r="P68">
            <v>4.8769689223139778</v>
          </cell>
          <cell r="R68">
            <v>11.904329535925463</v>
          </cell>
          <cell r="S68">
            <v>10.677321771086568</v>
          </cell>
          <cell r="T68">
            <v>10.019666218956907</v>
          </cell>
          <cell r="U68">
            <v>9.3098057973621842</v>
          </cell>
          <cell r="V68">
            <v>8.2303963203873689</v>
          </cell>
          <cell r="W68">
            <v>7.548894778914141</v>
          </cell>
          <cell r="X68">
            <v>7.3334414767115765</v>
          </cell>
          <cell r="Y68">
            <v>7.0337986875856906</v>
          </cell>
          <cell r="Z68">
            <v>6.7187836989931924</v>
          </cell>
          <cell r="AA68">
            <v>6.4472662218962888</v>
          </cell>
          <cell r="AB68">
            <v>6.2745840619984614</v>
          </cell>
          <cell r="AC68">
            <v>6.1565425382987957</v>
          </cell>
          <cell r="AE68">
            <v>14.287619262887088</v>
          </cell>
          <cell r="AF68">
            <v>8.7646649823935707</v>
          </cell>
          <cell r="AG68">
            <v>9.6373536819707972</v>
          </cell>
          <cell r="AH68">
            <v>6.9458367963864616</v>
          </cell>
          <cell r="AI68">
            <v>4.5423944126295446</v>
          </cell>
          <cell r="AJ68">
            <v>4.110733147690282</v>
          </cell>
          <cell r="AK68">
            <v>3.7547630795551026</v>
          </cell>
          <cell r="AL68">
            <v>5.1769832159206794</v>
          </cell>
          <cell r="AM68">
            <v>2.5992054206758488</v>
          </cell>
          <cell r="AN68">
            <v>0</v>
          </cell>
          <cell r="AO68">
            <v>0</v>
          </cell>
          <cell r="AP68">
            <v>0</v>
          </cell>
          <cell r="AR68">
            <v>14.287619262887088</v>
          </cell>
          <cell r="AS68">
            <v>11.287643085358891</v>
          </cell>
          <cell r="AT68">
            <v>10.756259040552788</v>
          </cell>
          <cell r="AU68">
            <v>9.7141103572163754</v>
          </cell>
          <cell r="AV68">
            <v>8.6809164486688477</v>
          </cell>
          <cell r="AW68">
            <v>7.8629689793116224</v>
          </cell>
          <cell r="AX68">
            <v>7.1897885705950033</v>
          </cell>
          <cell r="AY68">
            <v>6.8832358452987839</v>
          </cell>
          <cell r="AZ68">
            <v>6.2064278263402262</v>
          </cell>
          <cell r="BA68">
            <v>6.2064278263402262</v>
          </cell>
          <cell r="BB68">
            <v>6.2064278263402262</v>
          </cell>
          <cell r="BC68">
            <v>6.2064278263402262</v>
          </cell>
          <cell r="BE68">
            <v>6.8267567404840408</v>
          </cell>
          <cell r="BF68">
            <v>5.0103179201818993</v>
          </cell>
          <cell r="BG68">
            <v>4.9533218078537908</v>
          </cell>
          <cell r="BH68">
            <v>4.9012968918482551</v>
          </cell>
          <cell r="BI68">
            <v>6.4653509808167469</v>
          </cell>
          <cell r="BJ68">
            <v>8.6315472029735805</v>
          </cell>
          <cell r="BK68">
            <v>8.3039655920829301</v>
          </cell>
          <cell r="BL68">
            <v>5.0477301953609253</v>
          </cell>
          <cell r="BM68">
            <v>6.3109525324016431</v>
          </cell>
          <cell r="BN68">
            <v>9.5748726752617053</v>
          </cell>
          <cell r="BO68">
            <v>12.733473261238128</v>
          </cell>
          <cell r="BP68">
            <v>3.9998984598049399</v>
          </cell>
          <cell r="BR68">
            <v>6.8267567404840408</v>
          </cell>
          <cell r="BS68">
            <v>6.0873888004084575</v>
          </cell>
          <cell r="BT68">
            <v>5.7169601737607501</v>
          </cell>
          <cell r="BU68">
            <v>5.499697584014708</v>
          </cell>
          <cell r="BV68">
            <v>5.7052319761101025</v>
          </cell>
          <cell r="BW68">
            <v>6.2290545700543758</v>
          </cell>
          <cell r="BX68">
            <v>6.5651334508922616</v>
          </cell>
          <cell r="BY68">
            <v>6.3223150881140269</v>
          </cell>
          <cell r="BZ68">
            <v>6.3206292580764245</v>
          </cell>
          <cell r="CA68">
            <v>6.6675273900617107</v>
          </cell>
          <cell r="CB68">
            <v>7.3616862556701808</v>
          </cell>
          <cell r="CC68">
            <v>7.1466138383900448</v>
          </cell>
        </row>
        <row r="69">
          <cell r="E69">
            <v>66.337229910119078</v>
          </cell>
          <cell r="F69">
            <v>84.189969403669494</v>
          </cell>
          <cell r="G69">
            <v>72.552741328004416</v>
          </cell>
          <cell r="H69">
            <v>84.475847309841612</v>
          </cell>
          <cell r="I69">
            <v>84.949315651119193</v>
          </cell>
          <cell r="J69">
            <v>83.432363585920655</v>
          </cell>
          <cell r="K69">
            <v>83.432363585920626</v>
          </cell>
          <cell r="L69">
            <v>83.432363585920655</v>
          </cell>
          <cell r="M69">
            <v>83.432363585920655</v>
          </cell>
          <cell r="N69">
            <v>83.432363585920655</v>
          </cell>
          <cell r="O69">
            <v>83.432363585920669</v>
          </cell>
          <cell r="P69">
            <v>83.432363585920683</v>
          </cell>
          <cell r="R69">
            <v>66.337229910119078</v>
          </cell>
          <cell r="S69">
            <v>74.931037473466446</v>
          </cell>
          <cell r="T69">
            <v>74.140674108315082</v>
          </cell>
          <cell r="U69">
            <v>76.750833804909689</v>
          </cell>
          <cell r="V69">
            <v>78.619884316987978</v>
          </cell>
          <cell r="W69">
            <v>79.535748109736971</v>
          </cell>
          <cell r="X69">
            <v>80.176042996449937</v>
          </cell>
          <cell r="Y69">
            <v>80.632873828260216</v>
          </cell>
          <cell r="Z69">
            <v>81.012565081598481</v>
          </cell>
          <cell r="AA69">
            <v>81.314694465286166</v>
          </cell>
          <cell r="AB69">
            <v>81.536456676551794</v>
          </cell>
          <cell r="AC69">
            <v>81.696583548406622</v>
          </cell>
          <cell r="AE69">
            <v>79.618182699837632</v>
          </cell>
          <cell r="AF69">
            <v>78.874330928848565</v>
          </cell>
          <cell r="AG69">
            <v>80.384866581970655</v>
          </cell>
          <cell r="AH69">
            <v>81.39312213353044</v>
          </cell>
          <cell r="AI69">
            <v>83.842665686181476</v>
          </cell>
          <cell r="AJ69">
            <v>81.099874245123019</v>
          </cell>
          <cell r="AK69">
            <v>83.698135860632647</v>
          </cell>
          <cell r="AL69">
            <v>81.092962202889424</v>
          </cell>
          <cell r="AM69">
            <v>65.71986981705686</v>
          </cell>
          <cell r="AN69">
            <v>0</v>
          </cell>
          <cell r="AO69">
            <v>0</v>
          </cell>
          <cell r="AP69">
            <v>0</v>
          </cell>
          <cell r="AR69">
            <v>79.618182699837632</v>
          </cell>
          <cell r="AS69">
            <v>79.214134887879283</v>
          </cell>
          <cell r="AT69">
            <v>79.591104007181499</v>
          </cell>
          <cell r="AU69">
            <v>80.083955113275579</v>
          </cell>
          <cell r="AV69">
            <v>80.834861951456503</v>
          </cell>
          <cell r="AW69">
            <v>80.882292463687094</v>
          </cell>
          <cell r="AX69">
            <v>81.34370327295305</v>
          </cell>
          <cell r="AY69">
            <v>81.305515100314693</v>
          </cell>
          <cell r="AZ69">
            <v>78.843233402284753</v>
          </cell>
          <cell r="BA69">
            <v>78.843233402284753</v>
          </cell>
          <cell r="BB69">
            <v>78.843233402284753</v>
          </cell>
          <cell r="BC69">
            <v>78.843233402284753</v>
          </cell>
          <cell r="BE69">
            <v>92.858400839532379</v>
          </cell>
          <cell r="BF69">
            <v>84.210018954087346</v>
          </cell>
          <cell r="BG69">
            <v>78.859541960978007</v>
          </cell>
          <cell r="BH69">
            <v>76.65904713425995</v>
          </cell>
          <cell r="BI69">
            <v>76.607558332682189</v>
          </cell>
          <cell r="BJ69">
            <v>83.906145360791058</v>
          </cell>
          <cell r="BK69">
            <v>70.768880313759837</v>
          </cell>
          <cell r="BL69">
            <v>77.009239888933706</v>
          </cell>
          <cell r="BM69">
            <v>79.138347045673086</v>
          </cell>
          <cell r="BN69">
            <v>77.68596881102286</v>
          </cell>
          <cell r="BO69">
            <v>80.030251684633726</v>
          </cell>
          <cell r="BP69">
            <v>98.184102090105725</v>
          </cell>
          <cell r="BR69">
            <v>92.858400839532379</v>
          </cell>
          <cell r="BS69">
            <v>89.338141181921202</v>
          </cell>
          <cell r="BT69">
            <v>85.91543939790941</v>
          </cell>
          <cell r="BU69">
            <v>83.44987817981665</v>
          </cell>
          <cell r="BV69">
            <v>81.993525356991825</v>
          </cell>
          <cell r="BW69">
            <v>82.335892290814485</v>
          </cell>
          <cell r="BX69">
            <v>80.462352462544473</v>
          </cell>
          <cell r="BY69">
            <v>79.90977743770739</v>
          </cell>
          <cell r="BZ69">
            <v>79.795322506991994</v>
          </cell>
          <cell r="CA69">
            <v>79.570468135937944</v>
          </cell>
          <cell r="CB69">
            <v>79.623083644444975</v>
          </cell>
          <cell r="CC69">
            <v>80.810536079485416</v>
          </cell>
        </row>
        <row r="71">
          <cell r="E71">
            <v>22.393063315948396</v>
          </cell>
          <cell r="F71">
            <v>36.397948972770251</v>
          </cell>
          <cell r="G71">
            <v>29.091350659434095</v>
          </cell>
          <cell r="H71">
            <v>32.898833043288072</v>
          </cell>
          <cell r="I71">
            <v>22.493175089169483</v>
          </cell>
          <cell r="J71">
            <v>20.960248695395244</v>
          </cell>
          <cell r="K71">
            <v>20.014868553053198</v>
          </cell>
          <cell r="L71">
            <v>19.933530910001693</v>
          </cell>
          <cell r="M71">
            <v>19.500482177248497</v>
          </cell>
          <cell r="N71">
            <v>18.517468023490633</v>
          </cell>
          <cell r="O71">
            <v>21.440737469131534</v>
          </cell>
          <cell r="P71">
            <v>71.275346160156133</v>
          </cell>
          <cell r="R71">
            <v>22.393063315948396</v>
          </cell>
          <cell r="S71">
            <v>28.911975760609206</v>
          </cell>
          <cell r="T71">
            <v>28.971060697803281</v>
          </cell>
          <cell r="U71">
            <v>29.961651038686814</v>
          </cell>
          <cell r="V71">
            <v>28.288840628272755</v>
          </cell>
          <cell r="W71">
            <v>26.918864111677113</v>
          </cell>
          <cell r="X71">
            <v>25.816379121320036</v>
          </cell>
          <cell r="Y71">
            <v>24.982425880496987</v>
          </cell>
          <cell r="Z71">
            <v>24.274858991421059</v>
          </cell>
          <cell r="AA71">
            <v>23.58593222204599</v>
          </cell>
          <cell r="AB71">
            <v>23.397216775860144</v>
          </cell>
          <cell r="AC71">
            <v>27.411126340710652</v>
          </cell>
          <cell r="AE71">
            <v>26.576242217027279</v>
          </cell>
          <cell r="AF71">
            <v>34.321977410933222</v>
          </cell>
          <cell r="AG71">
            <v>32.092775562767358</v>
          </cell>
          <cell r="AH71">
            <v>32.256798752661084</v>
          </cell>
          <cell r="AI71">
            <v>26.373406114479025</v>
          </cell>
          <cell r="AJ71">
            <v>27.156859099284524</v>
          </cell>
          <cell r="AK71">
            <v>30.444542400184798</v>
          </cell>
          <cell r="AL71">
            <v>29.792716159838928</v>
          </cell>
          <cell r="AM71">
            <v>24.026553849682177</v>
          </cell>
          <cell r="AN71">
            <v>0</v>
          </cell>
          <cell r="AO71">
            <v>0</v>
          </cell>
          <cell r="AP71">
            <v>0</v>
          </cell>
          <cell r="AR71">
            <v>26.576242217027279</v>
          </cell>
          <cell r="AS71">
            <v>30.626497517241955</v>
          </cell>
          <cell r="AT71">
            <v>31.0964285925733</v>
          </cell>
          <cell r="AU71">
            <v>31.40932197749876</v>
          </cell>
          <cell r="AV71">
            <v>30.393315252751457</v>
          </cell>
          <cell r="AW71">
            <v>29.843744903905847</v>
          </cell>
          <cell r="AX71">
            <v>29.933510607961143</v>
          </cell>
          <cell r="AY71">
            <v>29.9126192778727</v>
          </cell>
          <cell r="AZ71">
            <v>28.988470796980479</v>
          </cell>
          <cell r="BA71">
            <v>28.988470796980479</v>
          </cell>
          <cell r="BB71">
            <v>28.988470796980479</v>
          </cell>
          <cell r="BC71">
            <v>28.988470796980479</v>
          </cell>
          <cell r="BE71">
            <v>26.11118862823459</v>
          </cell>
          <cell r="BF71">
            <v>31.412300776610913</v>
          </cell>
          <cell r="BG71">
            <v>27.080551546601686</v>
          </cell>
          <cell r="BH71">
            <v>26.747953519829839</v>
          </cell>
          <cell r="BI71">
            <v>30.297205429719984</v>
          </cell>
          <cell r="BJ71">
            <v>28.541721389399637</v>
          </cell>
          <cell r="BK71">
            <v>26.825265930682175</v>
          </cell>
          <cell r="BL71">
            <v>25.382420471054115</v>
          </cell>
          <cell r="BM71">
            <v>20.037439269512706</v>
          </cell>
          <cell r="BN71">
            <v>25.814145367666537</v>
          </cell>
          <cell r="BO71">
            <v>34.33136266808237</v>
          </cell>
          <cell r="BP71">
            <v>84.701663513378662</v>
          </cell>
          <cell r="BR71">
            <v>26.11118862823459</v>
          </cell>
          <cell r="BS71">
            <v>28.367174280037737</v>
          </cell>
          <cell r="BT71">
            <v>27.954591263289185</v>
          </cell>
          <cell r="BU71">
            <v>27.64278180434108</v>
          </cell>
          <cell r="BV71">
            <v>28.209376031013829</v>
          </cell>
          <cell r="BW71">
            <v>28.27196321723649</v>
          </cell>
          <cell r="BX71">
            <v>28.049704249206631</v>
          </cell>
          <cell r="BY71">
            <v>27.665891974067787</v>
          </cell>
          <cell r="BZ71">
            <v>26.688759140427159</v>
          </cell>
          <cell r="CA71">
            <v>26.606389937520603</v>
          </cell>
          <cell r="CB71">
            <v>27.374425933825183</v>
          </cell>
          <cell r="CC71">
            <v>30.84060935497131</v>
          </cell>
        </row>
        <row r="72">
          <cell r="E72">
            <v>16.302826927486041</v>
          </cell>
          <cell r="F72">
            <v>22.910216606314329</v>
          </cell>
          <cell r="G72">
            <v>18.874126472840999</v>
          </cell>
          <cell r="H72">
            <v>21.468688228064444</v>
          </cell>
          <cell r="I72">
            <v>19.584249884805399</v>
          </cell>
          <cell r="J72">
            <v>19.181353285062428</v>
          </cell>
          <cell r="K72">
            <v>18.616603690094863</v>
          </cell>
          <cell r="L72">
            <v>18.616606232478496</v>
          </cell>
          <cell r="M72">
            <v>18.61660627204332</v>
          </cell>
          <cell r="N72">
            <v>15.57670559970197</v>
          </cell>
          <cell r="O72">
            <v>18.616614323689014</v>
          </cell>
          <cell r="P72">
            <v>18.616623250614946</v>
          </cell>
          <cell r="R72">
            <v>16.302826927486041</v>
          </cell>
          <cell r="S72">
            <v>19.37839611523275</v>
          </cell>
          <cell r="T72">
            <v>19.212292940570158</v>
          </cell>
          <cell r="U72">
            <v>19.781359368153833</v>
          </cell>
          <cell r="V72">
            <v>19.737210227423464</v>
          </cell>
          <cell r="W72">
            <v>19.633300640889523</v>
          </cell>
          <cell r="X72">
            <v>19.470946375381224</v>
          </cell>
          <cell r="Y72">
            <v>19.349835018204239</v>
          </cell>
          <cell r="Z72">
            <v>19.255195523348668</v>
          </cell>
          <cell r="AA72">
            <v>18.815029101892726</v>
          </cell>
          <cell r="AB72">
            <v>18.797574307474783</v>
          </cell>
          <cell r="AC72">
            <v>18.782404099548121</v>
          </cell>
          <cell r="AE72">
            <v>19.348307604639743</v>
          </cell>
          <cell r="AF72">
            <v>21.603523248789816</v>
          </cell>
          <cell r="AG72">
            <v>20.821415682181154</v>
          </cell>
          <cell r="AH72">
            <v>21.049717926015713</v>
          </cell>
          <cell r="AI72">
            <v>21.666083846069245</v>
          </cell>
          <cell r="AJ72">
            <v>21.647084465094604</v>
          </cell>
          <cell r="AK72">
            <v>18.710293419520756</v>
          </cell>
          <cell r="AL72">
            <v>15.99641529539924</v>
          </cell>
          <cell r="AM72">
            <v>11.949663760905333</v>
          </cell>
          <cell r="AN72">
            <v>0</v>
          </cell>
          <cell r="AO72">
            <v>0</v>
          </cell>
          <cell r="AP72">
            <v>0</v>
          </cell>
          <cell r="AR72">
            <v>19.348307604639743</v>
          </cell>
          <cell r="AS72">
            <v>20.527562883471418</v>
          </cell>
          <cell r="AT72">
            <v>20.621740493310288</v>
          </cell>
          <cell r="AU72">
            <v>20.737144449907017</v>
          </cell>
          <cell r="AV72">
            <v>20.924559946721448</v>
          </cell>
          <cell r="AW72">
            <v>21.047249095834896</v>
          </cell>
          <cell r="AX72">
            <v>20.698082408340987</v>
          </cell>
          <cell r="AY72">
            <v>20.000440697801647</v>
          </cell>
          <cell r="AZ72">
            <v>18.736419193623082</v>
          </cell>
          <cell r="BA72">
            <v>18.736419193623082</v>
          </cell>
          <cell r="BB72">
            <v>18.736419193623082</v>
          </cell>
          <cell r="BC72">
            <v>18.736419193623082</v>
          </cell>
          <cell r="BE72">
            <v>10.013384813341085</v>
          </cell>
          <cell r="BF72">
            <v>22.314938919312219</v>
          </cell>
          <cell r="BG72">
            <v>25.801259807293189</v>
          </cell>
          <cell r="BH72">
            <v>18.95515617687235</v>
          </cell>
          <cell r="BI72">
            <v>15.550066757367315</v>
          </cell>
          <cell r="BJ72">
            <v>19.389936972745083</v>
          </cell>
          <cell r="BK72">
            <v>19.247068701915211</v>
          </cell>
          <cell r="BL72">
            <v>17.130937170868382</v>
          </cell>
          <cell r="BM72">
            <v>15.658054073199823</v>
          </cell>
          <cell r="BN72">
            <v>19.55084191215246</v>
          </cell>
          <cell r="BO72">
            <v>15.337689546438952</v>
          </cell>
          <cell r="BP72">
            <v>25.708811887832933</v>
          </cell>
          <cell r="BR72">
            <v>10.013384813341085</v>
          </cell>
          <cell r="BS72">
            <v>15.248537132548512</v>
          </cell>
          <cell r="BT72">
            <v>18.632492695364931</v>
          </cell>
          <cell r="BU72">
            <v>18.715872753826137</v>
          </cell>
          <cell r="BV72">
            <v>18.040122514410797</v>
          </cell>
          <cell r="BW72">
            <v>18.294319200894201</v>
          </cell>
          <cell r="BX72">
            <v>18.440691992808567</v>
          </cell>
          <cell r="BY72">
            <v>18.252223115893216</v>
          </cell>
          <cell r="BZ72">
            <v>17.919934531850977</v>
          </cell>
          <cell r="CA72">
            <v>18.073529804545842</v>
          </cell>
          <cell r="CB72">
            <v>17.801525763670412</v>
          </cell>
          <cell r="CC72">
            <v>18.279624922587612</v>
          </cell>
        </row>
        <row r="74">
          <cell r="E74">
            <v>8.250305394633493</v>
          </cell>
          <cell r="F74">
            <v>14.576909203116662</v>
          </cell>
          <cell r="G74">
            <v>12.765775110430305</v>
          </cell>
          <cell r="H74">
            <v>12.982415042478761</v>
          </cell>
          <cell r="I74">
            <v>8.2149403235549094</v>
          </cell>
          <cell r="J74">
            <v>11.536079067014034</v>
          </cell>
          <cell r="K74">
            <v>11.196426494862955</v>
          </cell>
          <cell r="L74">
            <v>11.066355205560745</v>
          </cell>
          <cell r="M74">
            <v>11.196428047702378</v>
          </cell>
          <cell r="N74">
            <v>9.3681662983445388</v>
          </cell>
          <cell r="O74">
            <v>11.196432890135537</v>
          </cell>
          <cell r="P74">
            <v>11.27988457182312</v>
          </cell>
          <cell r="R74">
            <v>8.250305394633493</v>
          </cell>
          <cell r="S74">
            <v>11.19517601408549</v>
          </cell>
          <cell r="T74">
            <v>11.712521247853097</v>
          </cell>
          <cell r="U74">
            <v>12.032790452953593</v>
          </cell>
          <cell r="V74">
            <v>11.177657560375755</v>
          </cell>
          <cell r="W74">
            <v>11.244659387143379</v>
          </cell>
          <cell r="X74">
            <v>11.236957174804285</v>
          </cell>
          <cell r="Y74">
            <v>11.212772619971181</v>
          </cell>
          <cell r="Z74">
            <v>11.210662989011883</v>
          </cell>
          <cell r="AA74">
            <v>10.990190677898015</v>
          </cell>
          <cell r="AB74">
            <v>11.008334061407547</v>
          </cell>
          <cell r="AC74">
            <v>11.031099762681054</v>
          </cell>
          <cell r="AE74">
            <v>9.7915194289683232</v>
          </cell>
          <cell r="AF74">
            <v>13.745509362763308</v>
          </cell>
          <cell r="AG74">
            <v>14.082850958002615</v>
          </cell>
          <cell r="AH74">
            <v>12.729057860433562</v>
          </cell>
          <cell r="AI74">
            <v>9.6513122816285293</v>
          </cell>
          <cell r="AJ74">
            <v>7.167897868982795</v>
          </cell>
          <cell r="AK74">
            <v>8.6897342724818625</v>
          </cell>
          <cell r="AL74">
            <v>6.1964306747547164</v>
          </cell>
          <cell r="AM74">
            <v>5.5696049317366816</v>
          </cell>
          <cell r="AN74">
            <v>0</v>
          </cell>
          <cell r="AO74">
            <v>0</v>
          </cell>
          <cell r="AP74">
            <v>0</v>
          </cell>
          <cell r="AR74">
            <v>9.7915194289683232</v>
          </cell>
          <cell r="AS74">
            <v>11.859066057588981</v>
          </cell>
          <cell r="AT74">
            <v>12.571772377339228</v>
          </cell>
          <cell r="AU74">
            <v>12.614184349740603</v>
          </cell>
          <cell r="AV74">
            <v>12.016418615036148</v>
          </cell>
          <cell r="AW74">
            <v>11.193109689642755</v>
          </cell>
          <cell r="AX74">
            <v>10.819078076282258</v>
          </cell>
          <cell r="AY74">
            <v>10.133161450763422</v>
          </cell>
          <cell r="AZ74">
            <v>9.416655004143637</v>
          </cell>
          <cell r="BA74">
            <v>9.416655004143637</v>
          </cell>
          <cell r="BB74">
            <v>9.416655004143637</v>
          </cell>
          <cell r="BC74">
            <v>9.416655004143637</v>
          </cell>
          <cell r="BE74">
            <v>9.5164278125232542</v>
          </cell>
          <cell r="BF74">
            <v>18.235861368061563</v>
          </cell>
          <cell r="BG74">
            <v>13.653100242728634</v>
          </cell>
          <cell r="BH74">
            <v>12.336763111133095</v>
          </cell>
          <cell r="BI74">
            <v>9.3011211976833295</v>
          </cell>
          <cell r="BJ74">
            <v>8.2333713447992185</v>
          </cell>
          <cell r="BK74">
            <v>7.2939689214102614</v>
          </cell>
          <cell r="BL74">
            <v>10.373453199933746</v>
          </cell>
          <cell r="BM74">
            <v>10.568939862110986</v>
          </cell>
          <cell r="BN74">
            <v>11.038595197666785</v>
          </cell>
          <cell r="BO74">
            <v>10.501100740492234</v>
          </cell>
          <cell r="BP74">
            <v>30.053598983708728</v>
          </cell>
          <cell r="BR74">
            <v>9.5164278125232542</v>
          </cell>
          <cell r="BS74">
            <v>13.22714293089145</v>
          </cell>
          <cell r="BT74">
            <v>13.363735226485787</v>
          </cell>
          <cell r="BU74">
            <v>13.09835349002123</v>
          </cell>
          <cell r="BV74">
            <v>12.287823522760686</v>
          </cell>
          <cell r="BW74">
            <v>11.524290206918856</v>
          </cell>
          <cell r="BX74">
            <v>10.87437757343954</v>
          </cell>
          <cell r="BY74">
            <v>10.80229640793231</v>
          </cell>
          <cell r="BZ74">
            <v>10.772405635622636</v>
          </cell>
          <cell r="CA74">
            <v>10.797474783548829</v>
          </cell>
          <cell r="CB74">
            <v>10.768008539281423</v>
          </cell>
          <cell r="CC74">
            <v>11.934075433272666</v>
          </cell>
        </row>
        <row r="75">
          <cell r="E75">
            <v>28.000566149104287</v>
          </cell>
          <cell r="F75">
            <v>33.839674037601121</v>
          </cell>
          <cell r="G75">
            <v>38.742389910711537</v>
          </cell>
          <cell r="H75">
            <v>32.502911724911819</v>
          </cell>
          <cell r="I75">
            <v>28.083317081626902</v>
          </cell>
          <cell r="J75">
            <v>40.376276734549123</v>
          </cell>
          <cell r="K75">
            <v>39.187492732020338</v>
          </cell>
          <cell r="L75">
            <v>39.187498083675322</v>
          </cell>
          <cell r="M75">
            <v>33.691069852631699</v>
          </cell>
          <cell r="N75">
            <v>28.189664043200388</v>
          </cell>
          <cell r="O75">
            <v>39.187515115474369</v>
          </cell>
          <cell r="P75">
            <v>33.692178971044612</v>
          </cell>
          <cell r="R75">
            <v>28.000566149104287</v>
          </cell>
          <cell r="S75">
            <v>30.718520012690291</v>
          </cell>
          <cell r="T75">
            <v>33.361531114487917</v>
          </cell>
          <cell r="U75">
            <v>33.144985958863721</v>
          </cell>
          <cell r="V75">
            <v>32.011259017899569</v>
          </cell>
          <cell r="W75">
            <v>33.574980662886389</v>
          </cell>
          <cell r="X75">
            <v>34.471231284990118</v>
          </cell>
          <cell r="Y75">
            <v>35.139809810232791</v>
          </cell>
          <cell r="Z75">
            <v>34.952817662854052</v>
          </cell>
          <cell r="AA75">
            <v>34.143541794682427</v>
          </cell>
          <cell r="AB75">
            <v>34.587266391010829</v>
          </cell>
          <cell r="AC75">
            <v>34.512225866191187</v>
          </cell>
          <cell r="AE75">
            <v>33.231265311633578</v>
          </cell>
          <cell r="AF75">
            <v>31.909614708806252</v>
          </cell>
          <cell r="AG75">
            <v>42.739535840921121</v>
          </cell>
          <cell r="AH75">
            <v>31.868604002046474</v>
          </cell>
          <cell r="AI75">
            <v>33.620509107686225</v>
          </cell>
          <cell r="AJ75">
            <v>20.019418951061475</v>
          </cell>
          <cell r="AK75">
            <v>28.275491678191369</v>
          </cell>
          <cell r="AL75">
            <v>23.05346348502226</v>
          </cell>
          <cell r="AM75">
            <v>19.783742726925986</v>
          </cell>
          <cell r="AN75">
            <v>0</v>
          </cell>
          <cell r="AO75">
            <v>0</v>
          </cell>
          <cell r="AP75">
            <v>0</v>
          </cell>
          <cell r="AR75">
            <v>33.231265311633578</v>
          </cell>
          <cell r="AS75">
            <v>32.540172442444764</v>
          </cell>
          <cell r="AT75">
            <v>35.808991630025069</v>
          </cell>
          <cell r="AU75">
            <v>34.746467562064446</v>
          </cell>
          <cell r="AV75">
            <v>34.519303051665261</v>
          </cell>
          <cell r="AW75">
            <v>32.057132706841195</v>
          </cell>
          <cell r="AX75">
            <v>31.492114257990124</v>
          </cell>
          <cell r="AY75">
            <v>30.239972279734694</v>
          </cell>
          <cell r="AZ75">
            <v>28.598279917497539</v>
          </cell>
          <cell r="BA75">
            <v>28.598279917497539</v>
          </cell>
          <cell r="BB75">
            <v>28.598279917497539</v>
          </cell>
          <cell r="BC75">
            <v>28.598279917497539</v>
          </cell>
          <cell r="BE75">
            <v>21.700117798996924</v>
          </cell>
          <cell r="BF75">
            <v>29.102468520623518</v>
          </cell>
          <cell r="BG75">
            <v>30.071024122152807</v>
          </cell>
          <cell r="BH75">
            <v>57.658292080620669</v>
          </cell>
          <cell r="BI75">
            <v>22.501032791726075</v>
          </cell>
          <cell r="BJ75">
            <v>35.528469265713149</v>
          </cell>
          <cell r="BK75">
            <v>33.482343911078743</v>
          </cell>
          <cell r="BL75">
            <v>46.753696231036017</v>
          </cell>
          <cell r="BM75">
            <v>30.520613998694675</v>
          </cell>
          <cell r="BN75">
            <v>30.020238810217258</v>
          </cell>
          <cell r="BO75">
            <v>29.70213560413497</v>
          </cell>
          <cell r="BP75">
            <v>147.13683661242609</v>
          </cell>
          <cell r="BR75">
            <v>21.700117798996924</v>
          </cell>
          <cell r="BS75">
            <v>24.850324123667715</v>
          </cell>
          <cell r="BT75">
            <v>26.524452909781836</v>
          </cell>
          <cell r="BU75">
            <v>34.569805045879448</v>
          </cell>
          <cell r="BV75">
            <v>31.993691490811376</v>
          </cell>
          <cell r="BW75">
            <v>32.65935986640725</v>
          </cell>
          <cell r="BX75">
            <v>32.785796534377639</v>
          </cell>
          <cell r="BY75">
            <v>34.795725663552993</v>
          </cell>
          <cell r="BZ75">
            <v>34.248124185638765</v>
          </cell>
          <cell r="CA75">
            <v>33.849951232959839</v>
          </cell>
          <cell r="CB75">
            <v>33.437565089981113</v>
          </cell>
          <cell r="CC75">
            <v>40.312177343896053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pril"/>
      <sheetName val="Data Prod_Graf"/>
      <sheetName val="GRAFTANKOS"/>
      <sheetName val="Data SRL"/>
      <sheetName val="Data Cost1"/>
      <sheetName val="land"/>
      <sheetName val="Dt Breakdown"/>
      <sheetName val="PK Olah"/>
      <sheetName val="PK RM"/>
      <sheetName val="Graf SRL"/>
      <sheetName val="KPI"/>
      <sheetName val="PCr"/>
      <sheetName val="Janload"/>
      <sheetName val="Feb"/>
      <sheetName val="Mar"/>
      <sheetName val="GRAF COST"/>
      <sheetName val="DATA COST"/>
      <sheetName val="CPO"/>
      <sheetName val="PABRIK"/>
      <sheetName val="LA02"/>
      <sheetName val="LA03"/>
      <sheetName val="LAJan"/>
      <sheetName val="LAFeb"/>
      <sheetName val="LAMar"/>
      <sheetName val="Peta"/>
      <sheetName val="Slow"/>
      <sheetName val="Fast"/>
      <sheetName val="Insurance"/>
      <sheetName val="Dead"/>
      <sheetName val="Olah"/>
      <sheetName val="Sheet1"/>
      <sheetName val="Bagan"/>
      <sheetName val="REKAP"/>
      <sheetName val="MONITOR"/>
      <sheetName val="BBM"/>
      <sheetName val="SOlar"/>
      <sheetName val="po-ho"/>
      <sheetName val="SPB-HO"/>
      <sheetName val="LAY"/>
      <sheetName val="Data"/>
      <sheetName val="% Lbr vs GP"/>
      <sheetName val="RESUME (3)"/>
      <sheetName val="DATA LTW"/>
      <sheetName val="TB"/>
      <sheetName val="tribune timur"/>
      <sheetName val="Q-1 LTT"/>
    </sheetNames>
    <sheetDataSet>
      <sheetData sheetId="0"/>
      <sheetData sheetId="1" refreshError="1">
        <row r="3">
          <cell r="B3">
            <v>20.010000000000002</v>
          </cell>
          <cell r="C3">
            <v>21.69</v>
          </cell>
          <cell r="D3">
            <v>21.87</v>
          </cell>
          <cell r="E3">
            <v>22.58</v>
          </cell>
          <cell r="F3">
            <v>22.95</v>
          </cell>
          <cell r="G3">
            <v>23.4</v>
          </cell>
          <cell r="H3">
            <v>21.86</v>
          </cell>
          <cell r="I3">
            <v>22.8</v>
          </cell>
          <cell r="J3">
            <v>23.92</v>
          </cell>
          <cell r="K3">
            <v>23.65</v>
          </cell>
          <cell r="L3">
            <v>23.79</v>
          </cell>
          <cell r="M3">
            <v>23.65</v>
          </cell>
        </row>
        <row r="4">
          <cell r="B4">
            <v>23.28</v>
          </cell>
          <cell r="C4">
            <v>24.01</v>
          </cell>
          <cell r="D4">
            <v>23.49</v>
          </cell>
          <cell r="E4">
            <v>21.08</v>
          </cell>
          <cell r="F4">
            <v>19.649999999999999</v>
          </cell>
          <cell r="G4">
            <v>19.28</v>
          </cell>
          <cell r="H4">
            <v>18.649999999999999</v>
          </cell>
          <cell r="I4">
            <v>17.489999999999998</v>
          </cell>
          <cell r="J4">
            <v>20.5</v>
          </cell>
          <cell r="K4">
            <v>19.04</v>
          </cell>
          <cell r="L4">
            <v>19.239999999999998</v>
          </cell>
          <cell r="M4">
            <v>19.29</v>
          </cell>
        </row>
        <row r="5">
          <cell r="B5">
            <v>16.309999999999999</v>
          </cell>
          <cell r="C5">
            <v>16.72</v>
          </cell>
          <cell r="D5">
            <v>18.14</v>
          </cell>
          <cell r="E5">
            <v>20.14</v>
          </cell>
          <cell r="F5">
            <v>19.149999999999999</v>
          </cell>
          <cell r="G5">
            <v>21.02</v>
          </cell>
          <cell r="H5">
            <v>20.100000000000001</v>
          </cell>
          <cell r="I5">
            <v>22.01</v>
          </cell>
          <cell r="J5">
            <v>21.53</v>
          </cell>
          <cell r="K5">
            <v>21.6</v>
          </cell>
          <cell r="L5">
            <v>21.84</v>
          </cell>
          <cell r="M5">
            <v>22.67</v>
          </cell>
        </row>
        <row r="6">
          <cell r="B6">
            <v>21.52</v>
          </cell>
          <cell r="C6">
            <v>22.66</v>
          </cell>
          <cell r="D6">
            <v>21.93</v>
          </cell>
          <cell r="E6">
            <v>20.83</v>
          </cell>
          <cell r="F6">
            <v>22.03</v>
          </cell>
          <cell r="G6">
            <v>20.55</v>
          </cell>
          <cell r="H6">
            <v>18.38</v>
          </cell>
          <cell r="I6">
            <v>20.7</v>
          </cell>
          <cell r="J6">
            <v>20.96</v>
          </cell>
          <cell r="K6">
            <v>19.739999999999998</v>
          </cell>
          <cell r="L6">
            <v>20.64</v>
          </cell>
          <cell r="M6">
            <v>20.53</v>
          </cell>
        </row>
        <row r="7">
          <cell r="B7">
            <v>21.64</v>
          </cell>
          <cell r="C7">
            <v>20.77</v>
          </cell>
          <cell r="D7">
            <v>21.7</v>
          </cell>
          <cell r="E7">
            <v>20.84</v>
          </cell>
          <cell r="F7">
            <v>21.43</v>
          </cell>
          <cell r="G7">
            <v>21.01</v>
          </cell>
          <cell r="H7">
            <v>21.38</v>
          </cell>
          <cell r="I7">
            <v>20.99</v>
          </cell>
        </row>
        <row r="11"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  <cell r="J11">
            <v>9</v>
          </cell>
          <cell r="K11">
            <v>10</v>
          </cell>
          <cell r="L11">
            <v>11</v>
          </cell>
          <cell r="M11">
            <v>12</v>
          </cell>
        </row>
        <row r="12">
          <cell r="F12">
            <v>1.58</v>
          </cell>
          <cell r="G12">
            <v>3.84</v>
          </cell>
          <cell r="H12">
            <v>4.21</v>
          </cell>
          <cell r="I12">
            <v>4.1500000000000004</v>
          </cell>
          <cell r="J12">
            <v>4.8099999999999996</v>
          </cell>
          <cell r="K12">
            <v>4.83</v>
          </cell>
          <cell r="L12">
            <v>4.8600000000000003</v>
          </cell>
          <cell r="M12">
            <v>4.32</v>
          </cell>
        </row>
        <row r="13">
          <cell r="B13">
            <v>5.62</v>
          </cell>
          <cell r="C13">
            <v>4.91</v>
          </cell>
          <cell r="D13">
            <v>4.6500000000000004</v>
          </cell>
          <cell r="E13">
            <v>4.17</v>
          </cell>
          <cell r="F13">
            <v>3.79</v>
          </cell>
          <cell r="G13">
            <v>3.4</v>
          </cell>
          <cell r="H13">
            <v>4.0599999999999996</v>
          </cell>
          <cell r="I13">
            <v>4.04</v>
          </cell>
          <cell r="J13">
            <v>4.3</v>
          </cell>
          <cell r="K13">
            <v>4.2</v>
          </cell>
          <cell r="L13">
            <v>4.3899999999999997</v>
          </cell>
          <cell r="M13">
            <v>3.84</v>
          </cell>
        </row>
        <row r="14">
          <cell r="B14">
            <v>4.01</v>
          </cell>
          <cell r="C14">
            <v>4.1900000000000004</v>
          </cell>
          <cell r="D14">
            <v>3.68</v>
          </cell>
          <cell r="E14">
            <v>3.79</v>
          </cell>
          <cell r="F14">
            <v>3.34</v>
          </cell>
          <cell r="G14">
            <v>3.11</v>
          </cell>
          <cell r="H14">
            <v>3.17</v>
          </cell>
          <cell r="I14">
            <v>3.49</v>
          </cell>
          <cell r="J14">
            <v>4.1900000000000004</v>
          </cell>
          <cell r="K14">
            <v>3.68</v>
          </cell>
          <cell r="L14">
            <v>3.78</v>
          </cell>
          <cell r="M14">
            <v>3.44</v>
          </cell>
        </row>
        <row r="15">
          <cell r="B15">
            <v>3.28</v>
          </cell>
          <cell r="C15">
            <v>3.57</v>
          </cell>
          <cell r="D15">
            <v>4.45</v>
          </cell>
          <cell r="E15">
            <v>4.3499999999999996</v>
          </cell>
          <cell r="F15">
            <v>4</v>
          </cell>
          <cell r="G15">
            <v>3.6</v>
          </cell>
          <cell r="H15">
            <v>3.41</v>
          </cell>
          <cell r="I15">
            <v>3.42</v>
          </cell>
          <cell r="J15">
            <v>3.59</v>
          </cell>
          <cell r="K15">
            <v>3.53</v>
          </cell>
          <cell r="L15">
            <v>3.26</v>
          </cell>
          <cell r="M15">
            <v>3.92</v>
          </cell>
        </row>
        <row r="16">
          <cell r="B16">
            <v>3.35</v>
          </cell>
          <cell r="C16">
            <v>4.03</v>
          </cell>
          <cell r="D16">
            <v>3.76</v>
          </cell>
          <cell r="E16">
            <v>3.49</v>
          </cell>
          <cell r="F16">
            <v>3.46</v>
          </cell>
          <cell r="G16">
            <v>3.58</v>
          </cell>
          <cell r="H16">
            <v>3.84</v>
          </cell>
          <cell r="I16">
            <v>3.8</v>
          </cell>
        </row>
        <row r="20">
          <cell r="B20">
            <v>1</v>
          </cell>
          <cell r="C20">
            <v>2</v>
          </cell>
          <cell r="D20">
            <v>3</v>
          </cell>
          <cell r="E20">
            <v>4</v>
          </cell>
          <cell r="F20">
            <v>5</v>
          </cell>
          <cell r="G20">
            <v>6</v>
          </cell>
          <cell r="H20">
            <v>7</v>
          </cell>
          <cell r="I20">
            <v>8</v>
          </cell>
          <cell r="J20">
            <v>9</v>
          </cell>
          <cell r="K20">
            <v>10</v>
          </cell>
          <cell r="L20">
            <v>11</v>
          </cell>
          <cell r="M20">
            <v>12</v>
          </cell>
        </row>
        <row r="21">
          <cell r="B21">
            <v>21.97</v>
          </cell>
          <cell r="C21">
            <v>16.59</v>
          </cell>
          <cell r="D21">
            <v>16.55</v>
          </cell>
          <cell r="E21">
            <v>14.82</v>
          </cell>
          <cell r="F21">
            <v>19.670000000000002</v>
          </cell>
          <cell r="G21">
            <v>22.93</v>
          </cell>
          <cell r="H21">
            <v>22.76</v>
          </cell>
          <cell r="I21">
            <v>20.99</v>
          </cell>
          <cell r="J21">
            <v>21.71</v>
          </cell>
          <cell r="K21">
            <v>22.12</v>
          </cell>
          <cell r="L21">
            <v>21.22</v>
          </cell>
          <cell r="M21">
            <v>21.81</v>
          </cell>
        </row>
        <row r="22">
          <cell r="B22">
            <v>21.96</v>
          </cell>
          <cell r="C22">
            <v>22.98</v>
          </cell>
          <cell r="D22">
            <v>22.43</v>
          </cell>
          <cell r="E22">
            <v>22.2</v>
          </cell>
          <cell r="F22">
            <v>20.63</v>
          </cell>
          <cell r="G22">
            <v>21.07</v>
          </cell>
          <cell r="H22">
            <v>24.45</v>
          </cell>
          <cell r="I22">
            <v>26.07</v>
          </cell>
          <cell r="J22">
            <v>25.24</v>
          </cell>
          <cell r="K22">
            <v>27.6</v>
          </cell>
          <cell r="L22">
            <v>27.42</v>
          </cell>
          <cell r="M22">
            <v>26.37</v>
          </cell>
        </row>
        <row r="23">
          <cell r="B23">
            <v>27.95</v>
          </cell>
          <cell r="C23">
            <v>28.67</v>
          </cell>
          <cell r="D23">
            <v>28.03</v>
          </cell>
          <cell r="E23">
            <v>22.25</v>
          </cell>
          <cell r="F23">
            <v>20.48</v>
          </cell>
          <cell r="G23">
            <v>19.78</v>
          </cell>
          <cell r="H23">
            <v>20.3</v>
          </cell>
          <cell r="I23">
            <v>21.18</v>
          </cell>
          <cell r="J23">
            <v>21.81</v>
          </cell>
          <cell r="K23">
            <v>20.49</v>
          </cell>
          <cell r="L23">
            <v>21.03</v>
          </cell>
          <cell r="M23">
            <v>21.15</v>
          </cell>
        </row>
        <row r="24">
          <cell r="B24">
            <v>19.79</v>
          </cell>
          <cell r="C24">
            <v>17.940000000000001</v>
          </cell>
          <cell r="D24">
            <v>20.72</v>
          </cell>
          <cell r="E24">
            <v>20.149999999999999</v>
          </cell>
          <cell r="F24">
            <v>20.3</v>
          </cell>
          <cell r="G24">
            <v>19.07</v>
          </cell>
          <cell r="H24">
            <v>18.75</v>
          </cell>
          <cell r="I24">
            <v>21.79</v>
          </cell>
          <cell r="J24">
            <v>20.59</v>
          </cell>
          <cell r="K24">
            <v>18.760000000000002</v>
          </cell>
          <cell r="L24">
            <v>20.29</v>
          </cell>
          <cell r="M24">
            <v>20.59</v>
          </cell>
        </row>
        <row r="25">
          <cell r="B25">
            <v>21.14</v>
          </cell>
          <cell r="C25">
            <v>24.11</v>
          </cell>
          <cell r="D25">
            <v>24.35</v>
          </cell>
          <cell r="E25">
            <v>24.3</v>
          </cell>
          <cell r="F25">
            <v>24.03</v>
          </cell>
          <cell r="G25">
            <v>24.82</v>
          </cell>
          <cell r="H25">
            <v>25.08</v>
          </cell>
          <cell r="I25">
            <v>25.81</v>
          </cell>
        </row>
        <row r="28">
          <cell r="B28" t="str">
            <v>JAN</v>
          </cell>
          <cell r="C28" t="str">
            <v>FEB</v>
          </cell>
          <cell r="D28" t="str">
            <v>MAR</v>
          </cell>
          <cell r="E28" t="str">
            <v>APR</v>
          </cell>
          <cell r="F28" t="str">
            <v>MEI</v>
          </cell>
          <cell r="G28" t="str">
            <v>JUNI</v>
          </cell>
          <cell r="H28" t="str">
            <v>JULI</v>
          </cell>
          <cell r="I28" t="str">
            <v>AGT</v>
          </cell>
          <cell r="J28" t="str">
            <v>SEP</v>
          </cell>
          <cell r="K28" t="str">
            <v>OKT</v>
          </cell>
          <cell r="L28" t="str">
            <v>NOV</v>
          </cell>
          <cell r="M28" t="str">
            <v>DES</v>
          </cell>
        </row>
        <row r="29">
          <cell r="B29">
            <v>21.52</v>
          </cell>
          <cell r="C29">
            <v>22.66</v>
          </cell>
          <cell r="D29">
            <v>21.93</v>
          </cell>
          <cell r="E29">
            <v>20.83</v>
          </cell>
          <cell r="F29">
            <v>22.03</v>
          </cell>
          <cell r="G29">
            <v>20.55</v>
          </cell>
          <cell r="H29">
            <v>18.38</v>
          </cell>
          <cell r="I29">
            <v>20.7</v>
          </cell>
          <cell r="J29">
            <v>21.01</v>
          </cell>
          <cell r="K29">
            <v>19.739999999999998</v>
          </cell>
          <cell r="L29">
            <v>20.64</v>
          </cell>
          <cell r="M29">
            <v>20.53</v>
          </cell>
        </row>
        <row r="30">
          <cell r="B30">
            <v>21.64</v>
          </cell>
          <cell r="C30">
            <v>20.77</v>
          </cell>
          <cell r="D30">
            <v>21.7</v>
          </cell>
          <cell r="E30">
            <v>20.84</v>
          </cell>
          <cell r="F30">
            <v>21.43</v>
          </cell>
          <cell r="G30">
            <v>21.01</v>
          </cell>
          <cell r="H30">
            <v>21.38</v>
          </cell>
          <cell r="I30">
            <v>20.99</v>
          </cell>
        </row>
        <row r="31">
          <cell r="B31">
            <v>5.8</v>
          </cell>
          <cell r="C31">
            <v>4.47</v>
          </cell>
          <cell r="D31">
            <v>3.14</v>
          </cell>
          <cell r="E31">
            <v>4.45</v>
          </cell>
          <cell r="F31">
            <v>3.32</v>
          </cell>
          <cell r="G31">
            <v>6.12</v>
          </cell>
          <cell r="H31">
            <v>8.67</v>
          </cell>
          <cell r="I31">
            <v>5.93</v>
          </cell>
          <cell r="J31">
            <v>3.05</v>
          </cell>
          <cell r="K31">
            <v>4.4400000000000004</v>
          </cell>
          <cell r="L31">
            <v>4.25</v>
          </cell>
          <cell r="M31">
            <v>4.49</v>
          </cell>
        </row>
        <row r="32">
          <cell r="B32">
            <v>5.75</v>
          </cell>
          <cell r="C32">
            <v>4.49</v>
          </cell>
          <cell r="D32">
            <v>3.56</v>
          </cell>
          <cell r="E32">
            <v>3.56</v>
          </cell>
          <cell r="F32">
            <v>3.12</v>
          </cell>
          <cell r="G32">
            <v>3.14</v>
          </cell>
          <cell r="H32">
            <v>2.58</v>
          </cell>
          <cell r="I32">
            <v>2.63</v>
          </cell>
        </row>
      </sheetData>
      <sheetData sheetId="2"/>
      <sheetData sheetId="3" refreshError="1">
        <row r="8">
          <cell r="B8" t="str">
            <v>JAN/1</v>
          </cell>
          <cell r="S8">
            <v>227.49700000000001</v>
          </cell>
          <cell r="T8">
            <v>227.49700000000001</v>
          </cell>
          <cell r="AB8">
            <v>17.631</v>
          </cell>
          <cell r="AQ8">
            <v>36.159999999999997</v>
          </cell>
          <cell r="CS8">
            <v>40</v>
          </cell>
          <cell r="CT8">
            <v>3</v>
          </cell>
        </row>
        <row r="9">
          <cell r="B9">
            <v>2</v>
          </cell>
          <cell r="C9">
            <v>370.59</v>
          </cell>
          <cell r="D9">
            <v>233</v>
          </cell>
          <cell r="F9">
            <v>4.8099999999999996</v>
          </cell>
          <cell r="G9">
            <v>5.14</v>
          </cell>
          <cell r="H9">
            <v>5.14</v>
          </cell>
          <cell r="J9">
            <v>45.330739299610897</v>
          </cell>
          <cell r="L9">
            <v>7.53</v>
          </cell>
          <cell r="M9">
            <v>52.122999999999998</v>
          </cell>
          <cell r="N9">
            <v>22.370386266094417</v>
          </cell>
          <cell r="S9">
            <v>124</v>
          </cell>
          <cell r="U9">
            <v>124</v>
          </cell>
          <cell r="V9">
            <v>7.7590000000000003</v>
          </cell>
          <cell r="W9">
            <v>3.3300429184549354</v>
          </cell>
          <cell r="Y9">
            <v>12.8</v>
          </cell>
          <cell r="AB9">
            <v>12.59</v>
          </cell>
          <cell r="AC9">
            <v>2.88</v>
          </cell>
          <cell r="AE9">
            <v>2.79</v>
          </cell>
          <cell r="AH9">
            <v>10.199999999999999</v>
          </cell>
          <cell r="AI9">
            <v>7.68</v>
          </cell>
          <cell r="AK9">
            <v>2.5</v>
          </cell>
          <cell r="AL9">
            <v>4.7</v>
          </cell>
          <cell r="AM9">
            <v>8.25</v>
          </cell>
          <cell r="AN9">
            <v>51.57</v>
          </cell>
          <cell r="AO9">
            <v>87.73</v>
          </cell>
          <cell r="AQ9">
            <v>0</v>
          </cell>
          <cell r="AS9">
            <v>6.76</v>
          </cell>
          <cell r="AT9">
            <v>5.96</v>
          </cell>
          <cell r="AU9">
            <v>1.71</v>
          </cell>
          <cell r="AX9">
            <v>6.92</v>
          </cell>
          <cell r="AY9">
            <v>92.7</v>
          </cell>
          <cell r="AZ9">
            <v>0.06</v>
          </cell>
          <cell r="BA9">
            <v>0.45</v>
          </cell>
          <cell r="BB9">
            <v>1.6</v>
          </cell>
          <cell r="BC9">
            <v>2.1100000000000003</v>
          </cell>
          <cell r="BD9">
            <v>4.5599999999999996</v>
          </cell>
          <cell r="BE9">
            <v>145.63999999999999</v>
          </cell>
          <cell r="BH9">
            <v>1.82</v>
          </cell>
          <cell r="BJ9">
            <v>12.15</v>
          </cell>
          <cell r="BL9">
            <v>5.17</v>
          </cell>
          <cell r="BM9">
            <v>5.62</v>
          </cell>
          <cell r="BN9">
            <v>4.29</v>
          </cell>
          <cell r="BO9">
            <v>9.52</v>
          </cell>
          <cell r="BP9">
            <v>7.53</v>
          </cell>
          <cell r="CS9">
            <v>40</v>
          </cell>
          <cell r="CT9">
            <v>3</v>
          </cell>
          <cell r="CV9">
            <v>12.54</v>
          </cell>
          <cell r="CW9">
            <v>3.79</v>
          </cell>
        </row>
        <row r="10">
          <cell r="B10">
            <v>3</v>
          </cell>
          <cell r="C10">
            <v>337.55</v>
          </cell>
          <cell r="D10">
            <v>320</v>
          </cell>
          <cell r="F10">
            <v>7.67</v>
          </cell>
          <cell r="G10">
            <v>8.09</v>
          </cell>
          <cell r="H10">
            <v>8.09</v>
          </cell>
          <cell r="J10">
            <v>39.555006180469718</v>
          </cell>
          <cell r="L10">
            <v>8.08</v>
          </cell>
          <cell r="M10">
            <v>73.679000000000002</v>
          </cell>
          <cell r="N10">
            <v>23.024687500000002</v>
          </cell>
          <cell r="S10">
            <v>99.859000000000009</v>
          </cell>
          <cell r="U10">
            <v>99.859000000000009</v>
          </cell>
          <cell r="V10">
            <v>11.85</v>
          </cell>
          <cell r="W10">
            <v>3.703125</v>
          </cell>
          <cell r="Y10">
            <v>12.94</v>
          </cell>
          <cell r="AB10">
            <v>11.499999999999998</v>
          </cell>
          <cell r="AC10">
            <v>2.4700000000000002</v>
          </cell>
          <cell r="AE10">
            <v>2.4500000000000002</v>
          </cell>
          <cell r="AH10">
            <v>5</v>
          </cell>
          <cell r="AI10">
            <v>7.35</v>
          </cell>
          <cell r="AK10">
            <v>2.73</v>
          </cell>
          <cell r="AL10">
            <v>11</v>
          </cell>
          <cell r="AM10">
            <v>7.68</v>
          </cell>
          <cell r="AN10">
            <v>82.71</v>
          </cell>
          <cell r="AO10">
            <v>82.71</v>
          </cell>
          <cell r="AQ10">
            <v>0</v>
          </cell>
          <cell r="AS10">
            <v>6.93</v>
          </cell>
          <cell r="AT10">
            <v>6.66</v>
          </cell>
          <cell r="AU10">
            <v>1.01</v>
          </cell>
          <cell r="AX10">
            <v>4.47</v>
          </cell>
          <cell r="AY10">
            <v>96.2</v>
          </cell>
          <cell r="AZ10">
            <v>0.14000000000000001</v>
          </cell>
          <cell r="BA10">
            <v>0.5</v>
          </cell>
          <cell r="BB10">
            <v>1.4</v>
          </cell>
          <cell r="BC10">
            <v>2.04</v>
          </cell>
          <cell r="BD10">
            <v>4.78</v>
          </cell>
          <cell r="BE10">
            <v>197.32</v>
          </cell>
          <cell r="BH10">
            <v>1.51</v>
          </cell>
          <cell r="BJ10">
            <v>10.61</v>
          </cell>
          <cell r="BL10">
            <v>5.92</v>
          </cell>
          <cell r="BM10">
            <v>5.8</v>
          </cell>
          <cell r="BN10">
            <v>3.52</v>
          </cell>
          <cell r="BO10">
            <v>12.49</v>
          </cell>
          <cell r="BP10">
            <v>15.48</v>
          </cell>
          <cell r="CS10">
            <v>40</v>
          </cell>
          <cell r="CT10">
            <v>3</v>
          </cell>
          <cell r="CV10">
            <v>6.86</v>
          </cell>
          <cell r="CW10">
            <v>4.0599999999999996</v>
          </cell>
        </row>
        <row r="11">
          <cell r="B11">
            <v>4</v>
          </cell>
          <cell r="C11">
            <v>369.55</v>
          </cell>
          <cell r="D11">
            <v>408</v>
          </cell>
          <cell r="F11">
            <v>8.8000000000000007</v>
          </cell>
          <cell r="G11">
            <v>10.74</v>
          </cell>
          <cell r="H11">
            <v>10.74</v>
          </cell>
          <cell r="J11">
            <v>37.988826815642454</v>
          </cell>
          <cell r="L11">
            <v>8.48</v>
          </cell>
          <cell r="M11">
            <v>97.977999999999994</v>
          </cell>
          <cell r="N11">
            <v>24.014215686274511</v>
          </cell>
          <cell r="S11">
            <v>120.89699999999999</v>
          </cell>
          <cell r="U11">
            <v>120.89699999999999</v>
          </cell>
          <cell r="V11">
            <v>14.972</v>
          </cell>
          <cell r="W11">
            <v>3.6696078431372547</v>
          </cell>
          <cell r="Y11">
            <v>12.56</v>
          </cell>
          <cell r="AB11">
            <v>13.911999999999997</v>
          </cell>
          <cell r="AC11">
            <v>2.16</v>
          </cell>
          <cell r="AE11">
            <v>2.35</v>
          </cell>
          <cell r="AH11">
            <v>6.6</v>
          </cell>
          <cell r="AI11">
            <v>7.41</v>
          </cell>
          <cell r="AK11">
            <v>2.56</v>
          </cell>
          <cell r="AL11">
            <v>4.9000000000000004</v>
          </cell>
          <cell r="AM11">
            <v>7.35</v>
          </cell>
          <cell r="AN11">
            <v>92.74</v>
          </cell>
          <cell r="AO11">
            <v>92.74</v>
          </cell>
          <cell r="AQ11">
            <v>0</v>
          </cell>
          <cell r="AS11">
            <v>6.58</v>
          </cell>
          <cell r="AT11">
            <v>6.95</v>
          </cell>
          <cell r="AU11">
            <v>1.24</v>
          </cell>
          <cell r="AX11">
            <v>3.77</v>
          </cell>
          <cell r="AY11">
            <v>95.93</v>
          </cell>
          <cell r="AZ11">
            <v>0.18</v>
          </cell>
          <cell r="BA11">
            <v>0.59</v>
          </cell>
          <cell r="BB11">
            <v>0.82</v>
          </cell>
          <cell r="BC11">
            <v>1.5899999999999999</v>
          </cell>
          <cell r="BD11">
            <v>7.11</v>
          </cell>
          <cell r="BE11">
            <v>114.69</v>
          </cell>
          <cell r="BH11">
            <v>1.48</v>
          </cell>
          <cell r="BJ11">
            <v>8</v>
          </cell>
          <cell r="BL11">
            <v>4.13</v>
          </cell>
          <cell r="BM11">
            <v>5.29</v>
          </cell>
          <cell r="BN11">
            <v>4.18</v>
          </cell>
          <cell r="BO11">
            <v>18.170000000000002</v>
          </cell>
          <cell r="BP11">
            <v>14.77</v>
          </cell>
          <cell r="CS11">
            <v>40</v>
          </cell>
          <cell r="CT11">
            <v>3</v>
          </cell>
          <cell r="CV11">
            <v>6.76</v>
          </cell>
          <cell r="CW11">
            <v>5.89</v>
          </cell>
        </row>
        <row r="12">
          <cell r="B12">
            <v>5</v>
          </cell>
          <cell r="J12" t="e">
            <v>#DIV/0!</v>
          </cell>
          <cell r="N12" t="e">
            <v>#DIV/0!</v>
          </cell>
          <cell r="S12">
            <v>33.326999999999998</v>
          </cell>
          <cell r="U12">
            <v>33.326999999999998</v>
          </cell>
          <cell r="W12" t="e">
            <v>#DIV/0!</v>
          </cell>
          <cell r="AB12">
            <v>13.911999999999997</v>
          </cell>
          <cell r="AE12">
            <v>2.35</v>
          </cell>
          <cell r="AK12">
            <v>2.34</v>
          </cell>
          <cell r="AQ12">
            <v>0</v>
          </cell>
          <cell r="BC12">
            <v>0</v>
          </cell>
          <cell r="CS12">
            <v>40</v>
          </cell>
          <cell r="CT12">
            <v>3</v>
          </cell>
          <cell r="CV12">
            <v>6</v>
          </cell>
          <cell r="CW12">
            <v>5.82</v>
          </cell>
        </row>
        <row r="13">
          <cell r="B13">
            <v>6</v>
          </cell>
          <cell r="C13">
            <v>508.19</v>
          </cell>
          <cell r="D13">
            <v>500</v>
          </cell>
          <cell r="F13">
            <v>8.4499999999999993</v>
          </cell>
          <cell r="G13">
            <v>11.02</v>
          </cell>
          <cell r="H13">
            <v>11.02</v>
          </cell>
          <cell r="J13">
            <v>45.37205081669692</v>
          </cell>
          <cell r="L13">
            <v>10.029999999999999</v>
          </cell>
          <cell r="M13">
            <v>115.056</v>
          </cell>
          <cell r="N13">
            <v>23.011199999999999</v>
          </cell>
          <cell r="S13">
            <v>105.89299999999997</v>
          </cell>
          <cell r="U13">
            <v>105.89299999999997</v>
          </cell>
          <cell r="V13">
            <v>17.088000000000001</v>
          </cell>
          <cell r="W13">
            <v>3.4176000000000006</v>
          </cell>
          <cell r="Y13">
            <v>25.15</v>
          </cell>
          <cell r="AB13">
            <v>5.8500000000000014</v>
          </cell>
          <cell r="AC13">
            <v>2.44</v>
          </cell>
          <cell r="AE13">
            <v>2.4500000000000002</v>
          </cell>
          <cell r="AH13">
            <v>6.8</v>
          </cell>
          <cell r="AI13">
            <v>7.39</v>
          </cell>
          <cell r="AK13">
            <v>2.5099999999999998</v>
          </cell>
          <cell r="AL13">
            <v>6.33</v>
          </cell>
          <cell r="AM13">
            <v>7.44</v>
          </cell>
          <cell r="AN13">
            <v>109.18</v>
          </cell>
          <cell r="AO13">
            <v>109.18</v>
          </cell>
          <cell r="AQ13">
            <v>0</v>
          </cell>
          <cell r="AS13">
            <v>7.32</v>
          </cell>
          <cell r="AT13">
            <v>7.25</v>
          </cell>
          <cell r="AU13">
            <v>2.06</v>
          </cell>
          <cell r="AX13">
            <v>4.9800000000000004</v>
          </cell>
          <cell r="AY13">
            <v>97.2</v>
          </cell>
          <cell r="AZ13">
            <v>0.11</v>
          </cell>
          <cell r="BA13">
            <v>0.16</v>
          </cell>
          <cell r="BB13">
            <v>1.29</v>
          </cell>
          <cell r="BC13">
            <v>1.56</v>
          </cell>
          <cell r="BD13">
            <v>7.41</v>
          </cell>
          <cell r="BE13">
            <v>60.97</v>
          </cell>
          <cell r="BH13">
            <v>1.19</v>
          </cell>
          <cell r="BJ13">
            <v>12.11</v>
          </cell>
          <cell r="BL13">
            <v>7.65</v>
          </cell>
          <cell r="BM13">
            <v>5.62</v>
          </cell>
          <cell r="BN13">
            <v>5.19</v>
          </cell>
          <cell r="BO13">
            <v>14.77</v>
          </cell>
          <cell r="BP13">
            <v>12.76</v>
          </cell>
          <cell r="CS13">
            <v>40</v>
          </cell>
          <cell r="CT13">
            <v>3</v>
          </cell>
        </row>
        <row r="14">
          <cell r="B14">
            <v>7</v>
          </cell>
          <cell r="C14">
            <v>512.04</v>
          </cell>
          <cell r="D14">
            <v>480</v>
          </cell>
          <cell r="F14">
            <v>10.79</v>
          </cell>
          <cell r="G14">
            <v>10.82</v>
          </cell>
          <cell r="H14">
            <v>10.82</v>
          </cell>
          <cell r="J14">
            <v>44.362292051756008</v>
          </cell>
          <cell r="L14">
            <v>6.33</v>
          </cell>
          <cell r="M14">
            <v>110.44799999999999</v>
          </cell>
          <cell r="N14">
            <v>23.01</v>
          </cell>
          <cell r="S14">
            <v>135.71099999999996</v>
          </cell>
          <cell r="U14">
            <v>135.71099999999996</v>
          </cell>
          <cell r="V14">
            <v>17.38</v>
          </cell>
          <cell r="W14">
            <v>3.6208333333333327</v>
          </cell>
          <cell r="Y14">
            <v>11.92</v>
          </cell>
          <cell r="AB14">
            <v>11.31</v>
          </cell>
          <cell r="AC14">
            <v>2.4500000000000002</v>
          </cell>
          <cell r="AE14">
            <v>2.46</v>
          </cell>
          <cell r="AH14">
            <v>3</v>
          </cell>
          <cell r="AI14">
            <v>7.16</v>
          </cell>
          <cell r="AK14">
            <v>2.46</v>
          </cell>
          <cell r="AL14">
            <v>5.2</v>
          </cell>
          <cell r="AM14">
            <v>7.39</v>
          </cell>
          <cell r="AN14">
            <v>107.98</v>
          </cell>
          <cell r="AO14">
            <v>107.98</v>
          </cell>
          <cell r="AQ14">
            <v>0</v>
          </cell>
          <cell r="AS14">
            <v>7.03</v>
          </cell>
          <cell r="AT14">
            <v>6.8</v>
          </cell>
          <cell r="AU14">
            <v>1.03</v>
          </cell>
          <cell r="AX14">
            <v>4.9000000000000004</v>
          </cell>
          <cell r="AY14">
            <v>94.87</v>
          </cell>
          <cell r="AZ14">
            <v>0.11</v>
          </cell>
          <cell r="BA14">
            <v>0.33</v>
          </cell>
          <cell r="BB14">
            <v>1.41</v>
          </cell>
          <cell r="BC14">
            <v>1.8499999999999999</v>
          </cell>
          <cell r="BD14">
            <v>6.67</v>
          </cell>
          <cell r="BE14">
            <v>62.44</v>
          </cell>
          <cell r="BH14">
            <v>1.3</v>
          </cell>
          <cell r="BJ14">
            <v>8.32</v>
          </cell>
          <cell r="BL14">
            <v>5.56</v>
          </cell>
          <cell r="BM14">
            <v>4.12</v>
          </cell>
          <cell r="BN14">
            <v>5.83</v>
          </cell>
          <cell r="BO14">
            <v>10.63</v>
          </cell>
          <cell r="BP14">
            <v>9.7200000000000006</v>
          </cell>
          <cell r="CS14">
            <v>40</v>
          </cell>
          <cell r="CT14">
            <v>3</v>
          </cell>
          <cell r="CV14">
            <v>7</v>
          </cell>
          <cell r="CW14">
            <v>5.13</v>
          </cell>
        </row>
        <row r="15">
          <cell r="B15">
            <v>8</v>
          </cell>
          <cell r="C15">
            <v>550.87</v>
          </cell>
          <cell r="D15">
            <v>536</v>
          </cell>
          <cell r="F15">
            <v>9.86</v>
          </cell>
          <cell r="G15">
            <v>12.91</v>
          </cell>
          <cell r="H15">
            <v>12.91</v>
          </cell>
          <cell r="J15">
            <v>41.518202943454689</v>
          </cell>
          <cell r="L15">
            <v>6.82</v>
          </cell>
          <cell r="M15">
            <v>125.72</v>
          </cell>
          <cell r="N15">
            <v>23.455223880597014</v>
          </cell>
          <cell r="S15">
            <v>158.80099999999993</v>
          </cell>
          <cell r="U15">
            <v>158.80099999999993</v>
          </cell>
          <cell r="V15">
            <v>20.07</v>
          </cell>
          <cell r="W15">
            <v>3.7444029850746268</v>
          </cell>
          <cell r="Y15">
            <v>25.92</v>
          </cell>
          <cell r="AB15">
            <v>5.4600000000000009</v>
          </cell>
          <cell r="AC15">
            <v>2.4500000000000002</v>
          </cell>
          <cell r="AE15">
            <v>2.41</v>
          </cell>
          <cell r="AH15">
            <v>5.6</v>
          </cell>
          <cell r="AI15">
            <v>7.85</v>
          </cell>
          <cell r="AK15">
            <v>2.39</v>
          </cell>
          <cell r="AL15">
            <v>3.47</v>
          </cell>
          <cell r="AM15">
            <v>7.17</v>
          </cell>
          <cell r="AN15">
            <v>122.64</v>
          </cell>
          <cell r="AO15">
            <v>122.64</v>
          </cell>
          <cell r="AQ15">
            <v>0</v>
          </cell>
          <cell r="AS15">
            <v>7.6</v>
          </cell>
          <cell r="AT15">
            <v>7.89</v>
          </cell>
          <cell r="AU15">
            <v>2.17</v>
          </cell>
          <cell r="AX15">
            <v>5.27</v>
          </cell>
          <cell r="AY15">
            <v>91.2</v>
          </cell>
          <cell r="AZ15">
            <v>0.19</v>
          </cell>
          <cell r="BA15">
            <v>0.26</v>
          </cell>
          <cell r="BB15">
            <v>2.56</v>
          </cell>
          <cell r="BC15">
            <v>3.0100000000000002</v>
          </cell>
          <cell r="BD15">
            <v>6.42</v>
          </cell>
          <cell r="BE15">
            <v>65.569999999999993</v>
          </cell>
          <cell r="BH15">
            <v>1.21</v>
          </cell>
          <cell r="BJ15">
            <v>7.29</v>
          </cell>
          <cell r="BL15">
            <v>5.17</v>
          </cell>
          <cell r="BM15">
            <v>4.76</v>
          </cell>
          <cell r="BN15">
            <v>4.01</v>
          </cell>
          <cell r="BO15">
            <v>10.09</v>
          </cell>
          <cell r="BP15">
            <v>11.1</v>
          </cell>
          <cell r="CS15">
            <v>40</v>
          </cell>
          <cell r="CT15">
            <v>3</v>
          </cell>
          <cell r="CV15">
            <v>7.67</v>
          </cell>
          <cell r="CW15">
            <v>4.4800000000000004</v>
          </cell>
        </row>
        <row r="16">
          <cell r="B16">
            <v>9</v>
          </cell>
          <cell r="C16">
            <v>537.20000000000005</v>
          </cell>
          <cell r="D16">
            <v>575</v>
          </cell>
          <cell r="F16">
            <v>11.08</v>
          </cell>
          <cell r="G16">
            <v>13.08</v>
          </cell>
          <cell r="H16">
            <v>13.08</v>
          </cell>
          <cell r="J16">
            <v>43.960244648318046</v>
          </cell>
          <cell r="L16">
            <v>6.93</v>
          </cell>
          <cell r="M16">
            <v>134.56399999999999</v>
          </cell>
          <cell r="N16">
            <v>23.402434782608694</v>
          </cell>
          <cell r="S16">
            <v>183.62499999999989</v>
          </cell>
          <cell r="U16">
            <v>183.62499999999989</v>
          </cell>
          <cell r="V16">
            <v>21.678000000000001</v>
          </cell>
          <cell r="W16">
            <v>3.7700869565217392</v>
          </cell>
          <cell r="Y16">
            <v>19.739999999999998</v>
          </cell>
          <cell r="AB16">
            <v>7.3980000000000032</v>
          </cell>
          <cell r="AC16">
            <v>2.33</v>
          </cell>
          <cell r="AE16">
            <v>2.36</v>
          </cell>
          <cell r="AH16">
            <v>4.2</v>
          </cell>
          <cell r="AI16">
            <v>7.74</v>
          </cell>
          <cell r="AK16">
            <v>2.31</v>
          </cell>
          <cell r="AL16">
            <v>5</v>
          </cell>
          <cell r="AM16">
            <v>7.12</v>
          </cell>
          <cell r="AN16">
            <v>127.05</v>
          </cell>
          <cell r="AO16">
            <v>127.05</v>
          </cell>
          <cell r="AQ16">
            <v>0</v>
          </cell>
          <cell r="AS16">
            <v>6.88</v>
          </cell>
          <cell r="AT16">
            <v>7.98</v>
          </cell>
          <cell r="AU16">
            <v>1.19</v>
          </cell>
          <cell r="AX16">
            <v>4.41</v>
          </cell>
          <cell r="AY16">
            <v>92.5</v>
          </cell>
          <cell r="AZ16">
            <v>0.25</v>
          </cell>
          <cell r="BA16">
            <v>0.28999999999999998</v>
          </cell>
          <cell r="BB16">
            <v>1.1299999999999999</v>
          </cell>
          <cell r="BC16">
            <v>1.67</v>
          </cell>
          <cell r="BD16">
            <v>7.21</v>
          </cell>
          <cell r="BE16">
            <v>81.19</v>
          </cell>
          <cell r="BH16">
            <v>1.24</v>
          </cell>
          <cell r="BJ16">
            <v>11.44</v>
          </cell>
          <cell r="BL16">
            <v>6.93</v>
          </cell>
          <cell r="BM16">
            <v>4.8099999999999996</v>
          </cell>
          <cell r="BN16">
            <v>3.61</v>
          </cell>
          <cell r="BO16">
            <v>9.84</v>
          </cell>
          <cell r="BP16">
            <v>9.11</v>
          </cell>
          <cell r="CS16">
            <v>40</v>
          </cell>
          <cell r="CT16">
            <v>3</v>
          </cell>
          <cell r="CV16">
            <v>8.32</v>
          </cell>
          <cell r="CW16">
            <v>3.47</v>
          </cell>
        </row>
        <row r="17">
          <cell r="B17">
            <v>10</v>
          </cell>
          <cell r="C17">
            <v>427.61</v>
          </cell>
          <cell r="D17">
            <v>292</v>
          </cell>
          <cell r="F17">
            <v>7.1</v>
          </cell>
          <cell r="G17">
            <v>7.56</v>
          </cell>
          <cell r="H17">
            <v>7.56</v>
          </cell>
          <cell r="J17">
            <v>38.624338624338627</v>
          </cell>
          <cell r="L17">
            <v>7.68</v>
          </cell>
          <cell r="M17">
            <v>70.637</v>
          </cell>
          <cell r="N17">
            <v>24.190753424657537</v>
          </cell>
          <cell r="S17">
            <v>127.20199999999988</v>
          </cell>
          <cell r="U17">
            <v>127.20199999999988</v>
          </cell>
          <cell r="V17">
            <v>11.252000000000001</v>
          </cell>
          <cell r="W17">
            <v>3.853424657534247</v>
          </cell>
          <cell r="Y17">
            <v>18.260000000000002</v>
          </cell>
          <cell r="AB17">
            <v>0.39000000000000412</v>
          </cell>
          <cell r="AC17">
            <v>2.31</v>
          </cell>
          <cell r="AE17">
            <v>2.36</v>
          </cell>
          <cell r="AH17">
            <v>5.8</v>
          </cell>
          <cell r="AI17">
            <v>7.64</v>
          </cell>
          <cell r="AK17">
            <v>2.34</v>
          </cell>
          <cell r="AL17">
            <v>4.2</v>
          </cell>
          <cell r="AM17">
            <v>7.35</v>
          </cell>
          <cell r="AN17">
            <v>71.62</v>
          </cell>
          <cell r="AO17">
            <v>71.62</v>
          </cell>
          <cell r="AQ17">
            <v>0</v>
          </cell>
          <cell r="AS17">
            <v>5.72</v>
          </cell>
          <cell r="AT17">
            <v>7.77</v>
          </cell>
          <cell r="AU17">
            <v>2.96</v>
          </cell>
          <cell r="AX17">
            <v>5.86</v>
          </cell>
          <cell r="AY17">
            <v>91.2</v>
          </cell>
          <cell r="AZ17">
            <v>0.38</v>
          </cell>
          <cell r="BA17">
            <v>0.2</v>
          </cell>
          <cell r="BB17">
            <v>1.62</v>
          </cell>
          <cell r="BC17">
            <v>2.2000000000000002</v>
          </cell>
          <cell r="BD17">
            <v>4</v>
          </cell>
          <cell r="BE17">
            <v>118.74</v>
          </cell>
          <cell r="BH17">
            <v>1.79</v>
          </cell>
          <cell r="BJ17">
            <v>10.4</v>
          </cell>
          <cell r="BL17">
            <v>5.96</v>
          </cell>
          <cell r="BM17">
            <v>5.71</v>
          </cell>
          <cell r="BN17">
            <v>3.81</v>
          </cell>
          <cell r="BO17">
            <v>11.63</v>
          </cell>
          <cell r="BP17">
            <v>8.1</v>
          </cell>
          <cell r="CS17">
            <v>40</v>
          </cell>
          <cell r="CT17">
            <v>3</v>
          </cell>
          <cell r="CV17">
            <v>8.44</v>
          </cell>
          <cell r="CW17">
            <v>3.13</v>
          </cell>
        </row>
        <row r="18">
          <cell r="B18">
            <v>11</v>
          </cell>
          <cell r="C18">
            <v>468.11</v>
          </cell>
          <cell r="D18">
            <v>622</v>
          </cell>
          <cell r="F18">
            <v>13.48</v>
          </cell>
          <cell r="G18">
            <v>13.88</v>
          </cell>
          <cell r="H18">
            <v>13.88</v>
          </cell>
          <cell r="J18">
            <v>44.812680115273771</v>
          </cell>
          <cell r="L18">
            <v>8.83</v>
          </cell>
          <cell r="M18">
            <v>149.90199999999999</v>
          </cell>
          <cell r="N18">
            <v>24.099999999999998</v>
          </cell>
          <cell r="S18">
            <v>149.93399999999986</v>
          </cell>
          <cell r="U18">
            <v>149.93399999999986</v>
          </cell>
          <cell r="V18">
            <v>24.024999999999999</v>
          </cell>
          <cell r="W18">
            <v>3.862540192926045</v>
          </cell>
          <cell r="Y18">
            <v>20.54</v>
          </cell>
          <cell r="AB18">
            <v>3.8750000000000036</v>
          </cell>
          <cell r="AC18">
            <v>2.14</v>
          </cell>
          <cell r="AE18">
            <v>2.21</v>
          </cell>
          <cell r="AH18">
            <v>5.4</v>
          </cell>
          <cell r="AI18">
            <v>7.16</v>
          </cell>
          <cell r="AK18">
            <v>2.33</v>
          </cell>
          <cell r="AL18">
            <v>6.27</v>
          </cell>
          <cell r="AM18">
            <v>7.03</v>
          </cell>
          <cell r="AN18">
            <v>137.94</v>
          </cell>
          <cell r="AO18">
            <v>137.94</v>
          </cell>
          <cell r="AQ18">
            <v>0</v>
          </cell>
          <cell r="AS18">
            <v>7.4</v>
          </cell>
          <cell r="AT18">
            <v>7.86</v>
          </cell>
          <cell r="AU18">
            <v>1.47</v>
          </cell>
          <cell r="AX18">
            <v>4.9800000000000004</v>
          </cell>
          <cell r="AY18">
            <v>96.2</v>
          </cell>
          <cell r="AZ18">
            <v>0.17</v>
          </cell>
          <cell r="BA18">
            <v>0.22</v>
          </cell>
          <cell r="BB18">
            <v>0.94</v>
          </cell>
          <cell r="BC18">
            <v>1.33</v>
          </cell>
          <cell r="BD18">
            <v>4.87</v>
          </cell>
          <cell r="BE18">
            <v>120.49</v>
          </cell>
          <cell r="BH18">
            <v>1.24</v>
          </cell>
          <cell r="BJ18">
            <v>8.82</v>
          </cell>
          <cell r="BL18">
            <v>4.33</v>
          </cell>
          <cell r="BM18">
            <v>5.46</v>
          </cell>
          <cell r="BN18">
            <v>2.8</v>
          </cell>
          <cell r="BO18">
            <v>12.23</v>
          </cell>
          <cell r="BP18">
            <v>9.76</v>
          </cell>
          <cell r="CS18">
            <v>40</v>
          </cell>
          <cell r="CT18">
            <v>3</v>
          </cell>
          <cell r="CV18">
            <v>8.67</v>
          </cell>
          <cell r="CW18">
            <v>4.08</v>
          </cell>
        </row>
        <row r="19">
          <cell r="B19">
            <v>12</v>
          </cell>
          <cell r="J19" t="e">
            <v>#DIV/0!</v>
          </cell>
          <cell r="N19" t="e">
            <v>#DIV/0!</v>
          </cell>
          <cell r="S19">
            <v>149.93399999999986</v>
          </cell>
          <cell r="U19">
            <v>149.93399999999986</v>
          </cell>
          <cell r="W19" t="e">
            <v>#DIV/0!</v>
          </cell>
          <cell r="AB19">
            <v>3.8750000000000036</v>
          </cell>
          <cell r="AE19">
            <v>2.21</v>
          </cell>
          <cell r="AQ19">
            <v>0</v>
          </cell>
          <cell r="BC19">
            <v>0</v>
          </cell>
          <cell r="CS19">
            <v>40</v>
          </cell>
          <cell r="CT19">
            <v>3</v>
          </cell>
          <cell r="CV19">
            <v>4.09</v>
          </cell>
          <cell r="CW19">
            <v>4.8600000000000003</v>
          </cell>
        </row>
        <row r="20">
          <cell r="B20">
            <v>13</v>
          </cell>
          <cell r="C20">
            <v>490.48</v>
          </cell>
          <cell r="D20">
            <v>472</v>
          </cell>
          <cell r="F20">
            <v>9.34</v>
          </cell>
          <cell r="G20">
            <v>11.71</v>
          </cell>
          <cell r="H20">
            <v>11.71</v>
          </cell>
          <cell r="J20">
            <v>40.307429547395387</v>
          </cell>
          <cell r="L20">
            <v>6.71</v>
          </cell>
          <cell r="M20">
            <v>113.85</v>
          </cell>
          <cell r="N20">
            <v>24.120762711864405</v>
          </cell>
          <cell r="S20">
            <v>129.94399999999987</v>
          </cell>
          <cell r="U20">
            <v>129.94399999999987</v>
          </cell>
          <cell r="V20">
            <v>18.43</v>
          </cell>
          <cell r="W20">
            <v>3.9046610169491527</v>
          </cell>
          <cell r="Y20">
            <v>19.190000000000001</v>
          </cell>
          <cell r="AB20">
            <v>3.115000000000002</v>
          </cell>
          <cell r="AC20">
            <v>2.54</v>
          </cell>
          <cell r="AE20">
            <v>2.5</v>
          </cell>
          <cell r="AH20">
            <v>7.8</v>
          </cell>
          <cell r="AI20">
            <v>7.24</v>
          </cell>
          <cell r="AK20">
            <v>2.2400000000000002</v>
          </cell>
          <cell r="AL20">
            <v>5.4</v>
          </cell>
          <cell r="AM20">
            <v>7.22</v>
          </cell>
          <cell r="AN20">
            <v>107.51</v>
          </cell>
          <cell r="AO20">
            <v>107.51</v>
          </cell>
          <cell r="AQ20">
            <v>0</v>
          </cell>
          <cell r="AS20">
            <v>6.84</v>
          </cell>
          <cell r="AT20">
            <v>6.15</v>
          </cell>
          <cell r="AU20">
            <v>1.21</v>
          </cell>
          <cell r="AX20">
            <v>5.24</v>
          </cell>
          <cell r="AY20">
            <v>94.7</v>
          </cell>
          <cell r="AZ20">
            <v>0.22</v>
          </cell>
          <cell r="BA20">
            <v>0.37</v>
          </cell>
          <cell r="BB20">
            <v>0.53</v>
          </cell>
          <cell r="BC20">
            <v>1.1200000000000001</v>
          </cell>
          <cell r="BD20">
            <v>6.33</v>
          </cell>
          <cell r="BE20">
            <v>105.88</v>
          </cell>
          <cell r="BH20">
            <v>1.49</v>
          </cell>
          <cell r="BJ20">
            <v>13.93</v>
          </cell>
          <cell r="BL20">
            <v>4.75</v>
          </cell>
          <cell r="BM20">
            <v>4.6900000000000004</v>
          </cell>
          <cell r="BN20">
            <v>4.71</v>
          </cell>
          <cell r="BO20">
            <v>10.51</v>
          </cell>
          <cell r="BP20">
            <v>18.329999999999998</v>
          </cell>
          <cell r="CS20">
            <v>40</v>
          </cell>
          <cell r="CT20">
            <v>3</v>
          </cell>
        </row>
        <row r="21">
          <cell r="B21">
            <v>14</v>
          </cell>
          <cell r="C21">
            <v>357.14</v>
          </cell>
          <cell r="D21">
            <v>352</v>
          </cell>
          <cell r="G21">
            <v>9.19</v>
          </cell>
          <cell r="H21">
            <v>9.19</v>
          </cell>
          <cell r="J21">
            <v>38.302502720348208</v>
          </cell>
          <cell r="L21">
            <v>8.39</v>
          </cell>
          <cell r="M21">
            <v>85.078000000000003</v>
          </cell>
          <cell r="N21">
            <v>24.169886363636365</v>
          </cell>
          <cell r="S21">
            <v>119.34199999999987</v>
          </cell>
          <cell r="U21">
            <v>119.34199999999987</v>
          </cell>
          <cell r="V21">
            <v>14.19</v>
          </cell>
          <cell r="W21">
            <v>4.03125</v>
          </cell>
          <cell r="Y21">
            <v>13.38</v>
          </cell>
          <cell r="AB21">
            <v>3.9249999999999989</v>
          </cell>
          <cell r="AC21">
            <v>2.36</v>
          </cell>
          <cell r="AE21">
            <v>2.35</v>
          </cell>
          <cell r="AH21">
            <v>6.8</v>
          </cell>
          <cell r="AI21">
            <v>7.54</v>
          </cell>
          <cell r="AK21">
            <v>2.52</v>
          </cell>
          <cell r="AL21">
            <v>7.4</v>
          </cell>
          <cell r="AM21">
            <v>7.34</v>
          </cell>
          <cell r="AN21">
            <v>81.55</v>
          </cell>
          <cell r="AO21">
            <v>81.55</v>
          </cell>
          <cell r="AQ21">
            <v>0</v>
          </cell>
          <cell r="AS21">
            <v>6.14</v>
          </cell>
          <cell r="AT21">
            <v>6.04</v>
          </cell>
          <cell r="AU21">
            <v>2.2200000000000002</v>
          </cell>
          <cell r="AX21">
            <v>4.87</v>
          </cell>
          <cell r="AY21">
            <v>89</v>
          </cell>
          <cell r="AZ21">
            <v>7.0000000000000007E-2</v>
          </cell>
          <cell r="BA21">
            <v>0.14000000000000001</v>
          </cell>
          <cell r="BB21">
            <v>1.44</v>
          </cell>
          <cell r="BC21">
            <v>1.65</v>
          </cell>
          <cell r="BD21">
            <v>5.05</v>
          </cell>
          <cell r="BE21">
            <v>144.01</v>
          </cell>
          <cell r="BH21">
            <v>1.23</v>
          </cell>
          <cell r="BJ21">
            <v>11.12</v>
          </cell>
          <cell r="BL21">
            <v>7.96</v>
          </cell>
          <cell r="BM21">
            <v>4.38</v>
          </cell>
          <cell r="BN21">
            <v>3.75</v>
          </cell>
          <cell r="BO21">
            <v>16.95</v>
          </cell>
          <cell r="BP21">
            <v>9.4499999999999993</v>
          </cell>
          <cell r="CS21">
            <v>40</v>
          </cell>
          <cell r="CT21">
            <v>3</v>
          </cell>
          <cell r="CV21">
            <v>5.81</v>
          </cell>
          <cell r="CW21">
            <v>4.49</v>
          </cell>
        </row>
        <row r="22">
          <cell r="B22">
            <v>15</v>
          </cell>
          <cell r="C22">
            <v>279.57</v>
          </cell>
          <cell r="D22">
            <v>293</v>
          </cell>
          <cell r="F22">
            <v>6.35</v>
          </cell>
          <cell r="G22">
            <v>6.66</v>
          </cell>
          <cell r="H22">
            <v>6.66</v>
          </cell>
          <cell r="J22">
            <v>43.993993993993996</v>
          </cell>
          <cell r="L22">
            <v>10.210000000000001</v>
          </cell>
          <cell r="M22">
            <v>70.643000000000001</v>
          </cell>
          <cell r="N22">
            <v>24.11023890784983</v>
          </cell>
          <cell r="S22">
            <v>121.35499999999988</v>
          </cell>
          <cell r="U22">
            <v>121.35499999999988</v>
          </cell>
          <cell r="V22">
            <v>11.895</v>
          </cell>
          <cell r="W22">
            <v>4.0597269624573373</v>
          </cell>
          <cell r="Y22">
            <v>14</v>
          </cell>
          <cell r="AB22">
            <v>1.8199999999999985</v>
          </cell>
          <cell r="AC22">
            <v>2.39</v>
          </cell>
          <cell r="AE22">
            <v>2.37</v>
          </cell>
          <cell r="AH22">
            <v>5</v>
          </cell>
          <cell r="AI22">
            <v>8.76</v>
          </cell>
          <cell r="AK22">
            <v>2.38</v>
          </cell>
          <cell r="AL22">
            <v>6.8</v>
          </cell>
          <cell r="AM22">
            <v>7.54</v>
          </cell>
          <cell r="AN22">
            <v>66.930000000000007</v>
          </cell>
          <cell r="AO22">
            <v>66.930000000000007</v>
          </cell>
          <cell r="AQ22">
            <v>0</v>
          </cell>
          <cell r="AS22">
            <v>6.69</v>
          </cell>
          <cell r="AT22">
            <v>6.6</v>
          </cell>
          <cell r="AU22">
            <v>1.18</v>
          </cell>
          <cell r="AX22">
            <v>4.9000000000000004</v>
          </cell>
          <cell r="AY22">
            <v>92.1</v>
          </cell>
          <cell r="AZ22">
            <v>0.24</v>
          </cell>
          <cell r="BA22">
            <v>0.14000000000000001</v>
          </cell>
          <cell r="BB22">
            <v>2.91</v>
          </cell>
          <cell r="BC22">
            <v>3.29</v>
          </cell>
          <cell r="BD22">
            <v>6</v>
          </cell>
          <cell r="BE22">
            <v>95.74</v>
          </cell>
          <cell r="BH22">
            <v>1.42</v>
          </cell>
          <cell r="BJ22">
            <v>10.97</v>
          </cell>
          <cell r="BL22">
            <v>6.31</v>
          </cell>
          <cell r="BM22">
            <v>5.07</v>
          </cell>
          <cell r="BN22">
            <v>2.85</v>
          </cell>
          <cell r="BO22">
            <v>14.97</v>
          </cell>
          <cell r="BP22">
            <v>4</v>
          </cell>
          <cell r="CS22">
            <v>40</v>
          </cell>
          <cell r="CT22">
            <v>3</v>
          </cell>
          <cell r="CV22">
            <v>2.78</v>
          </cell>
          <cell r="CW22">
            <v>5.42</v>
          </cell>
        </row>
        <row r="23">
          <cell r="B23">
            <v>16</v>
          </cell>
          <cell r="C23">
            <v>375.65</v>
          </cell>
          <cell r="D23">
            <v>352</v>
          </cell>
          <cell r="F23">
            <v>7.79</v>
          </cell>
          <cell r="G23">
            <v>7.85</v>
          </cell>
          <cell r="H23">
            <v>7.85</v>
          </cell>
          <cell r="J23">
            <v>44.840764331210195</v>
          </cell>
          <cell r="L23">
            <v>7.56</v>
          </cell>
          <cell r="M23">
            <v>84.484999999999999</v>
          </cell>
          <cell r="N23">
            <v>24.001420454545457</v>
          </cell>
          <cell r="S23">
            <v>131.03999999999985</v>
          </cell>
          <cell r="U23">
            <v>131.03999999999985</v>
          </cell>
          <cell r="V23">
            <v>14.57</v>
          </cell>
          <cell r="W23">
            <v>4.139204545454545</v>
          </cell>
          <cell r="Y23">
            <v>13.48</v>
          </cell>
          <cell r="AB23">
            <v>2.91</v>
          </cell>
          <cell r="AC23">
            <v>2.5499999999999998</v>
          </cell>
          <cell r="AE23">
            <v>2.48</v>
          </cell>
          <cell r="AH23">
            <v>8</v>
          </cell>
          <cell r="AI23">
            <v>6.55</v>
          </cell>
          <cell r="AK23">
            <v>2.39</v>
          </cell>
          <cell r="AL23">
            <v>5.3</v>
          </cell>
          <cell r="AM23">
            <v>7.78</v>
          </cell>
          <cell r="AN23">
            <v>77.03</v>
          </cell>
          <cell r="AO23">
            <v>77.03</v>
          </cell>
          <cell r="AQ23">
            <v>0</v>
          </cell>
          <cell r="AS23">
            <v>6.61</v>
          </cell>
          <cell r="AT23">
            <v>8.6199999999999992</v>
          </cell>
          <cell r="AU23">
            <v>1.84</v>
          </cell>
          <cell r="AX23">
            <v>4.49</v>
          </cell>
          <cell r="AY23">
            <v>94.3</v>
          </cell>
          <cell r="AZ23">
            <v>0.1</v>
          </cell>
          <cell r="BA23">
            <v>0.13</v>
          </cell>
          <cell r="BB23">
            <v>2.89</v>
          </cell>
          <cell r="BC23">
            <v>3.12</v>
          </cell>
          <cell r="BD23">
            <v>5.78</v>
          </cell>
          <cell r="BE23">
            <v>81.99</v>
          </cell>
          <cell r="BH23">
            <v>1.38</v>
          </cell>
          <cell r="BJ23">
            <v>15.36</v>
          </cell>
          <cell r="BL23">
            <v>4.5</v>
          </cell>
          <cell r="BM23">
            <v>6.02</v>
          </cell>
          <cell r="BN23">
            <v>4.08</v>
          </cell>
          <cell r="BO23">
            <v>10.76</v>
          </cell>
          <cell r="BP23">
            <v>8.98</v>
          </cell>
          <cell r="CS23">
            <v>40</v>
          </cell>
          <cell r="CT23">
            <v>3</v>
          </cell>
          <cell r="CV23">
            <v>1.32</v>
          </cell>
          <cell r="CW23">
            <v>5.64</v>
          </cell>
        </row>
        <row r="24">
          <cell r="B24">
            <v>17</v>
          </cell>
          <cell r="C24">
            <v>452.76</v>
          </cell>
          <cell r="D24">
            <v>359</v>
          </cell>
          <cell r="F24">
            <v>7.92</v>
          </cell>
          <cell r="G24">
            <v>8.24</v>
          </cell>
          <cell r="H24">
            <v>8.24</v>
          </cell>
          <cell r="J24">
            <v>43.567961165048544</v>
          </cell>
          <cell r="L24">
            <v>8.0500000000000007</v>
          </cell>
          <cell r="M24">
            <v>84.840999999999994</v>
          </cell>
          <cell r="N24">
            <v>23.63259052924791</v>
          </cell>
          <cell r="S24">
            <v>139.90099999999984</v>
          </cell>
          <cell r="U24">
            <v>139.90099999999984</v>
          </cell>
          <cell r="V24">
            <v>14.432</v>
          </cell>
          <cell r="W24">
            <v>4.0200557103064067</v>
          </cell>
          <cell r="Y24">
            <v>7.12</v>
          </cell>
          <cell r="AB24">
            <v>10.221999999999998</v>
          </cell>
          <cell r="AC24">
            <v>2.41</v>
          </cell>
          <cell r="AE24">
            <v>2.4500000000000002</v>
          </cell>
          <cell r="AH24">
            <v>6.2</v>
          </cell>
          <cell r="AI24">
            <v>6.4</v>
          </cell>
          <cell r="AK24">
            <v>2.4300000000000002</v>
          </cell>
          <cell r="AL24">
            <v>6.2</v>
          </cell>
          <cell r="AM24">
            <v>6.55</v>
          </cell>
          <cell r="AN24">
            <v>75.959999999999994</v>
          </cell>
          <cell r="AO24">
            <v>75.959999999999994</v>
          </cell>
          <cell r="AQ24">
            <v>0</v>
          </cell>
          <cell r="AS24">
            <v>7.93</v>
          </cell>
          <cell r="AT24">
            <v>8.75</v>
          </cell>
          <cell r="AU24">
            <v>1.64</v>
          </cell>
          <cell r="AX24">
            <v>4.91</v>
          </cell>
          <cell r="AY24">
            <v>93.2</v>
          </cell>
          <cell r="AZ24">
            <v>0.18</v>
          </cell>
          <cell r="BA24">
            <v>0.09</v>
          </cell>
          <cell r="BB24">
            <v>2.19</v>
          </cell>
          <cell r="BC24">
            <v>2.46</v>
          </cell>
          <cell r="BD24">
            <v>7.52</v>
          </cell>
          <cell r="BE24">
            <v>85.66</v>
          </cell>
          <cell r="BH24">
            <v>1.28</v>
          </cell>
          <cell r="BJ24">
            <v>9.35</v>
          </cell>
          <cell r="BL24">
            <v>6.08</v>
          </cell>
          <cell r="BM24">
            <v>4.16</v>
          </cell>
          <cell r="BN24">
            <v>4.3499999999999996</v>
          </cell>
          <cell r="BO24">
            <v>9.9700000000000006</v>
          </cell>
          <cell r="BP24">
            <v>11.07</v>
          </cell>
          <cell r="CS24">
            <v>40</v>
          </cell>
          <cell r="CT24">
            <v>3</v>
          </cell>
          <cell r="CV24">
            <v>2.81</v>
          </cell>
          <cell r="CW24">
            <v>5.69</v>
          </cell>
        </row>
        <row r="25">
          <cell r="B25">
            <v>18</v>
          </cell>
          <cell r="C25">
            <v>501.09</v>
          </cell>
          <cell r="D25">
            <v>598</v>
          </cell>
          <cell r="F25">
            <v>11.37</v>
          </cell>
          <cell r="G25">
            <v>11.31</v>
          </cell>
          <cell r="H25">
            <v>11.37</v>
          </cell>
          <cell r="J25">
            <v>52.594547053649961</v>
          </cell>
          <cell r="L25">
            <v>10.63</v>
          </cell>
          <cell r="M25">
            <v>138.85499999999999</v>
          </cell>
          <cell r="N25">
            <v>23.219899665551839</v>
          </cell>
          <cell r="S25">
            <v>136.10599999999985</v>
          </cell>
          <cell r="U25">
            <v>136.10599999999985</v>
          </cell>
          <cell r="V25">
            <v>23.943999999999999</v>
          </cell>
          <cell r="W25">
            <v>4.0040133779264213</v>
          </cell>
          <cell r="Y25">
            <v>19.079999999999998</v>
          </cell>
          <cell r="AB25">
            <v>15.085999999999999</v>
          </cell>
          <cell r="AC25">
            <v>2.2999999999999998</v>
          </cell>
          <cell r="AE25">
            <v>2.29</v>
          </cell>
          <cell r="AH25">
            <v>9.1999999999999993</v>
          </cell>
          <cell r="AI25">
            <v>8.4700000000000006</v>
          </cell>
          <cell r="AK25">
            <v>2.48</v>
          </cell>
          <cell r="AL25">
            <v>7.7</v>
          </cell>
          <cell r="AM25">
            <v>6.4</v>
          </cell>
          <cell r="AN25">
            <v>131.51</v>
          </cell>
          <cell r="AO25">
            <v>131.51</v>
          </cell>
          <cell r="AQ25">
            <v>0</v>
          </cell>
          <cell r="AS25">
            <v>8.27</v>
          </cell>
          <cell r="AT25">
            <v>9.01</v>
          </cell>
          <cell r="AU25">
            <v>1.67</v>
          </cell>
          <cell r="AX25">
            <v>4.4000000000000004</v>
          </cell>
          <cell r="AY25">
            <v>96.6</v>
          </cell>
          <cell r="AZ25">
            <v>0.04</v>
          </cell>
          <cell r="BA25">
            <v>0.12</v>
          </cell>
          <cell r="BB25">
            <v>0.88</v>
          </cell>
          <cell r="BC25">
            <v>1.04</v>
          </cell>
          <cell r="BD25">
            <v>3.6</v>
          </cell>
          <cell r="BE25">
            <v>106.28</v>
          </cell>
          <cell r="BH25">
            <v>1.18</v>
          </cell>
          <cell r="BJ25">
            <v>8.82</v>
          </cell>
          <cell r="BL25">
            <v>3.92</v>
          </cell>
          <cell r="BM25">
            <v>5.17</v>
          </cell>
          <cell r="BN25">
            <v>3.44</v>
          </cell>
          <cell r="BO25">
            <v>15.03</v>
          </cell>
          <cell r="BP25">
            <v>12.42</v>
          </cell>
          <cell r="CS25">
            <v>40</v>
          </cell>
          <cell r="CT25">
            <v>3</v>
          </cell>
          <cell r="CV25">
            <v>4.54</v>
          </cell>
          <cell r="CW25">
            <v>4.42</v>
          </cell>
        </row>
        <row r="26">
          <cell r="B26">
            <v>19</v>
          </cell>
          <cell r="J26" t="e">
            <v>#DIV/0!</v>
          </cell>
          <cell r="N26" t="e">
            <v>#DIV/0!</v>
          </cell>
          <cell r="S26">
            <v>136.10599999999985</v>
          </cell>
          <cell r="U26">
            <v>136.10599999999985</v>
          </cell>
          <cell r="W26" t="e">
            <v>#DIV/0!</v>
          </cell>
          <cell r="AB26">
            <v>15.085999999999999</v>
          </cell>
          <cell r="AE26">
            <v>2.29</v>
          </cell>
          <cell r="AQ26">
            <v>0</v>
          </cell>
          <cell r="BC26">
            <v>0</v>
          </cell>
          <cell r="CS26">
            <v>40</v>
          </cell>
          <cell r="CT26">
            <v>3</v>
          </cell>
          <cell r="CV26">
            <v>6.29</v>
          </cell>
          <cell r="CW26">
            <v>4.47</v>
          </cell>
        </row>
        <row r="27">
          <cell r="B27">
            <v>20</v>
          </cell>
          <cell r="C27">
            <v>798.19</v>
          </cell>
          <cell r="D27">
            <v>746</v>
          </cell>
          <cell r="F27">
            <v>15.24</v>
          </cell>
          <cell r="G27">
            <v>16.14</v>
          </cell>
          <cell r="H27">
            <v>16.14</v>
          </cell>
          <cell r="J27">
            <v>46.220570012391569</v>
          </cell>
          <cell r="L27">
            <v>7.91</v>
          </cell>
          <cell r="M27">
            <v>175.51300000000001</v>
          </cell>
          <cell r="N27">
            <v>23.52721179624665</v>
          </cell>
          <cell r="S27">
            <v>221.52899999999985</v>
          </cell>
          <cell r="U27">
            <v>221.52899999999985</v>
          </cell>
          <cell r="V27">
            <v>28.699000000000002</v>
          </cell>
          <cell r="W27">
            <v>3.8470509383378015</v>
          </cell>
          <cell r="Y27">
            <v>13.51</v>
          </cell>
          <cell r="AB27">
            <v>30.274999999999999</v>
          </cell>
          <cell r="AC27">
            <v>2.4700000000000002</v>
          </cell>
          <cell r="AE27">
            <v>2.46</v>
          </cell>
          <cell r="AH27">
            <v>6</v>
          </cell>
          <cell r="AI27">
            <v>7.48</v>
          </cell>
          <cell r="AK27">
            <v>2.31</v>
          </cell>
          <cell r="AL27">
            <v>5</v>
          </cell>
          <cell r="AM27">
            <v>8.4700000000000006</v>
          </cell>
          <cell r="AN27">
            <v>168.81</v>
          </cell>
          <cell r="AO27">
            <v>168.81</v>
          </cell>
          <cell r="AQ27">
            <v>0</v>
          </cell>
          <cell r="AS27">
            <v>8.75</v>
          </cell>
          <cell r="AT27">
            <v>9.09</v>
          </cell>
          <cell r="AU27">
            <v>1.07</v>
          </cell>
          <cell r="AX27">
            <v>6.27</v>
          </cell>
          <cell r="AY27">
            <v>94</v>
          </cell>
          <cell r="AZ27">
            <v>0.34</v>
          </cell>
          <cell r="BA27">
            <v>0.33</v>
          </cell>
          <cell r="BB27">
            <v>1.06</v>
          </cell>
          <cell r="BC27">
            <v>1.73</v>
          </cell>
          <cell r="BD27">
            <v>8.1999999999999993</v>
          </cell>
          <cell r="BE27">
            <v>61.18</v>
          </cell>
          <cell r="BH27">
            <v>1.32</v>
          </cell>
          <cell r="BJ27">
            <v>11.88</v>
          </cell>
          <cell r="BL27">
            <v>5.2</v>
          </cell>
          <cell r="BM27">
            <v>5.0999999999999996</v>
          </cell>
          <cell r="BN27">
            <v>5.94</v>
          </cell>
          <cell r="BO27">
            <v>11.7</v>
          </cell>
          <cell r="BP27">
            <v>13.97</v>
          </cell>
          <cell r="CS27">
            <v>40</v>
          </cell>
          <cell r="CT27">
            <v>3</v>
          </cell>
        </row>
        <row r="28">
          <cell r="B28">
            <v>21</v>
          </cell>
          <cell r="C28">
            <v>578.51</v>
          </cell>
          <cell r="D28">
            <v>561</v>
          </cell>
          <cell r="F28">
            <v>9.6999999999999993</v>
          </cell>
          <cell r="G28">
            <v>13.07</v>
          </cell>
          <cell r="H28">
            <v>13.07</v>
          </cell>
          <cell r="J28">
            <v>42.922723794950265</v>
          </cell>
          <cell r="L28">
            <v>7.67</v>
          </cell>
          <cell r="M28">
            <v>134.75399999999999</v>
          </cell>
          <cell r="N28">
            <v>24.020320855614973</v>
          </cell>
          <cell r="S28">
            <v>202.66299999999984</v>
          </cell>
          <cell r="U28">
            <v>202.66299999999984</v>
          </cell>
          <cell r="V28">
            <v>21.995000000000001</v>
          </cell>
          <cell r="W28">
            <v>3.9206773618538326</v>
          </cell>
          <cell r="Y28">
            <v>21.07</v>
          </cell>
          <cell r="AB28">
            <v>31.199999999999996</v>
          </cell>
          <cell r="AC28">
            <v>2.4900000000000002</v>
          </cell>
          <cell r="AE28">
            <v>2.44</v>
          </cell>
          <cell r="AH28">
            <v>4.5999999999999996</v>
          </cell>
          <cell r="AI28">
            <v>7.55</v>
          </cell>
          <cell r="AK28">
            <v>2.34</v>
          </cell>
          <cell r="AL28">
            <v>5.2</v>
          </cell>
          <cell r="AM28">
            <v>7.53</v>
          </cell>
          <cell r="AN28">
            <v>133.69999999999999</v>
          </cell>
          <cell r="AO28">
            <v>133.69999999999999</v>
          </cell>
          <cell r="AQ28">
            <v>0</v>
          </cell>
          <cell r="AS28">
            <v>7</v>
          </cell>
          <cell r="AT28">
            <v>7.18</v>
          </cell>
          <cell r="AU28">
            <v>1.39</v>
          </cell>
          <cell r="AX28">
            <v>3.96</v>
          </cell>
          <cell r="AY28">
            <v>94</v>
          </cell>
          <cell r="AZ28">
            <v>0.38</v>
          </cell>
          <cell r="BA28">
            <v>0.6</v>
          </cell>
          <cell r="BB28">
            <v>1.64</v>
          </cell>
          <cell r="BC28">
            <v>2.62</v>
          </cell>
          <cell r="BD28">
            <v>8.61</v>
          </cell>
          <cell r="BE28">
            <v>73.2</v>
          </cell>
          <cell r="BH28">
            <v>1.45</v>
          </cell>
          <cell r="BJ28">
            <v>10.199999999999999</v>
          </cell>
          <cell r="BL28">
            <v>4.7699999999999996</v>
          </cell>
          <cell r="BM28">
            <v>5.86</v>
          </cell>
          <cell r="BN28">
            <v>4.8499999999999996</v>
          </cell>
          <cell r="BO28">
            <v>9.9700000000000006</v>
          </cell>
          <cell r="BP28">
            <v>10.19</v>
          </cell>
          <cell r="CS28">
            <v>40</v>
          </cell>
          <cell r="CT28">
            <v>3</v>
          </cell>
          <cell r="CV28">
            <v>11</v>
          </cell>
          <cell r="CW28">
            <v>3.72</v>
          </cell>
        </row>
        <row r="29">
          <cell r="B29">
            <v>22</v>
          </cell>
          <cell r="C29">
            <v>483.96</v>
          </cell>
          <cell r="D29">
            <v>444</v>
          </cell>
          <cell r="F29">
            <v>10.94</v>
          </cell>
          <cell r="G29">
            <v>8.61</v>
          </cell>
          <cell r="H29">
            <v>11.58</v>
          </cell>
          <cell r="J29">
            <v>38.3419689119171</v>
          </cell>
          <cell r="L29">
            <v>8.1</v>
          </cell>
          <cell r="M29">
            <v>106.604</v>
          </cell>
          <cell r="N29">
            <v>24.009909909909911</v>
          </cell>
          <cell r="S29">
            <v>165.81699999999984</v>
          </cell>
          <cell r="U29">
            <v>165.81699999999984</v>
          </cell>
          <cell r="V29">
            <v>17.893999999999998</v>
          </cell>
          <cell r="W29">
            <v>4.0301801801801798</v>
          </cell>
          <cell r="Y29">
            <v>21.41</v>
          </cell>
          <cell r="AB29">
            <v>27.683999999999994</v>
          </cell>
          <cell r="AC29">
            <v>2.2999999999999998</v>
          </cell>
          <cell r="AE29">
            <v>2.2799999999999998</v>
          </cell>
          <cell r="AH29">
            <v>5.2</v>
          </cell>
          <cell r="AI29">
            <v>7.28</v>
          </cell>
          <cell r="AK29">
            <v>2.39</v>
          </cell>
          <cell r="AL29">
            <v>4.5</v>
          </cell>
          <cell r="AM29">
            <v>7.38</v>
          </cell>
          <cell r="AN29">
            <v>99.87</v>
          </cell>
          <cell r="AO29">
            <v>99.87</v>
          </cell>
          <cell r="AQ29">
            <v>0</v>
          </cell>
          <cell r="AS29">
            <v>6.68</v>
          </cell>
          <cell r="AT29">
            <v>5.35</v>
          </cell>
          <cell r="AU29">
            <v>2.02</v>
          </cell>
          <cell r="AX29">
            <v>5.7</v>
          </cell>
          <cell r="AY29">
            <v>94.75</v>
          </cell>
          <cell r="AZ29">
            <v>0.3</v>
          </cell>
          <cell r="BA29">
            <v>0.22</v>
          </cell>
          <cell r="BB29">
            <v>2.31</v>
          </cell>
          <cell r="BC29">
            <v>2.83</v>
          </cell>
          <cell r="BD29">
            <v>6.67</v>
          </cell>
          <cell r="BE29">
            <v>59.69</v>
          </cell>
          <cell r="BH29">
            <v>1.56</v>
          </cell>
          <cell r="BJ29">
            <v>8.48</v>
          </cell>
          <cell r="BL29">
            <v>7.27</v>
          </cell>
          <cell r="BM29">
            <v>5.6</v>
          </cell>
          <cell r="BN29">
            <v>4.2</v>
          </cell>
          <cell r="BO29">
            <v>13.5</v>
          </cell>
          <cell r="BP29">
            <v>10.11</v>
          </cell>
          <cell r="CS29">
            <v>40</v>
          </cell>
          <cell r="CT29">
            <v>3</v>
          </cell>
          <cell r="CV29">
            <v>14.21</v>
          </cell>
          <cell r="CW29">
            <v>2.52</v>
          </cell>
        </row>
        <row r="30">
          <cell r="B30">
            <v>23</v>
          </cell>
          <cell r="C30">
            <v>365.11</v>
          </cell>
          <cell r="D30">
            <v>500</v>
          </cell>
          <cell r="F30">
            <v>12</v>
          </cell>
          <cell r="G30">
            <v>12</v>
          </cell>
          <cell r="H30">
            <v>12.2</v>
          </cell>
          <cell r="J30">
            <v>40.983606557377051</v>
          </cell>
          <cell r="L30">
            <v>7.04</v>
          </cell>
          <cell r="M30">
            <v>120.03700000000001</v>
          </cell>
          <cell r="N30">
            <v>24.007400000000001</v>
          </cell>
          <cell r="S30">
            <v>185.02399999999983</v>
          </cell>
          <cell r="U30">
            <v>185.02399999999983</v>
          </cell>
          <cell r="V30">
            <v>20.170999999999999</v>
          </cell>
          <cell r="W30">
            <v>4.0341999999999993</v>
          </cell>
          <cell r="Y30">
            <v>27.57</v>
          </cell>
          <cell r="AB30">
            <v>20.284999999999989</v>
          </cell>
          <cell r="AC30">
            <v>2.36</v>
          </cell>
          <cell r="AE30">
            <v>2.2799999999999998</v>
          </cell>
          <cell r="AH30">
            <v>2.8</v>
          </cell>
          <cell r="AI30">
            <v>8.32</v>
          </cell>
          <cell r="AK30">
            <v>2.27</v>
          </cell>
          <cell r="AL30">
            <v>4.8</v>
          </cell>
          <cell r="AM30">
            <v>7.37</v>
          </cell>
          <cell r="AN30">
            <v>105.87</v>
          </cell>
          <cell r="AO30">
            <v>105.87</v>
          </cell>
          <cell r="AQ30">
            <v>0</v>
          </cell>
          <cell r="AS30">
            <v>7.49</v>
          </cell>
          <cell r="AT30">
            <v>7.95</v>
          </cell>
          <cell r="AU30">
            <v>1.27</v>
          </cell>
          <cell r="AX30">
            <v>4.41</v>
          </cell>
          <cell r="AY30">
            <v>93.7</v>
          </cell>
          <cell r="AZ30">
            <v>0.21</v>
          </cell>
          <cell r="BA30">
            <v>0.31</v>
          </cell>
          <cell r="BB30">
            <v>2.06</v>
          </cell>
          <cell r="BC30">
            <v>2.58</v>
          </cell>
          <cell r="BD30">
            <v>6.53</v>
          </cell>
          <cell r="BE30">
            <v>98.42</v>
          </cell>
          <cell r="BH30">
            <v>1.32</v>
          </cell>
          <cell r="BJ30">
            <v>14.03</v>
          </cell>
          <cell r="BL30">
            <v>5.07</v>
          </cell>
          <cell r="BM30">
            <v>5.27</v>
          </cell>
          <cell r="BN30">
            <v>3.76</v>
          </cell>
          <cell r="BO30">
            <v>12.29</v>
          </cell>
          <cell r="BP30">
            <v>10.17</v>
          </cell>
          <cell r="CS30">
            <v>40</v>
          </cell>
          <cell r="CT30">
            <v>3</v>
          </cell>
          <cell r="CV30">
            <v>14.1</v>
          </cell>
          <cell r="CW30">
            <v>2.95</v>
          </cell>
        </row>
        <row r="31">
          <cell r="B31">
            <v>24</v>
          </cell>
          <cell r="C31">
            <v>292.95</v>
          </cell>
          <cell r="D31">
            <v>238</v>
          </cell>
          <cell r="F31">
            <v>3.75</v>
          </cell>
          <cell r="G31">
            <v>6.28</v>
          </cell>
          <cell r="H31">
            <v>6.28</v>
          </cell>
          <cell r="J31">
            <v>37.898089171974519</v>
          </cell>
          <cell r="L31">
            <v>6.88</v>
          </cell>
          <cell r="M31">
            <v>57.326000000000001</v>
          </cell>
          <cell r="N31">
            <v>24.086554621848741</v>
          </cell>
          <cell r="S31">
            <v>129.43999999999983</v>
          </cell>
          <cell r="U31">
            <v>129.43999999999983</v>
          </cell>
          <cell r="V31">
            <v>9.8770000000000007</v>
          </cell>
          <cell r="W31">
            <v>4.1500000000000004</v>
          </cell>
          <cell r="Y31">
            <v>20.73</v>
          </cell>
          <cell r="AB31">
            <v>9.4319999999999915</v>
          </cell>
          <cell r="AC31">
            <v>2.58</v>
          </cell>
          <cell r="AE31">
            <v>2.58</v>
          </cell>
          <cell r="AH31">
            <v>5.8</v>
          </cell>
          <cell r="AI31">
            <v>7.9</v>
          </cell>
          <cell r="AK31">
            <v>2.23</v>
          </cell>
          <cell r="AL31">
            <v>4.87</v>
          </cell>
          <cell r="AM31">
            <v>7.95</v>
          </cell>
          <cell r="AN31">
            <v>59.82</v>
          </cell>
          <cell r="AO31">
            <v>59.82</v>
          </cell>
          <cell r="AQ31">
            <v>0</v>
          </cell>
          <cell r="AS31">
            <v>7.04</v>
          </cell>
          <cell r="AT31">
            <v>6.94</v>
          </cell>
          <cell r="AU31">
            <v>0.92</v>
          </cell>
          <cell r="AX31">
            <v>6.95</v>
          </cell>
          <cell r="AY31">
            <v>95.2</v>
          </cell>
          <cell r="AZ31">
            <v>7.0000000000000007E-2</v>
          </cell>
          <cell r="BA31">
            <v>0.02</v>
          </cell>
          <cell r="BB31">
            <v>0.23</v>
          </cell>
          <cell r="BC31">
            <v>0.32</v>
          </cell>
          <cell r="BD31">
            <v>8</v>
          </cell>
          <cell r="BE31">
            <v>87.73</v>
          </cell>
          <cell r="BH31">
            <v>1.61</v>
          </cell>
          <cell r="BJ31">
            <v>14.4</v>
          </cell>
          <cell r="BL31">
            <v>5.8</v>
          </cell>
          <cell r="BM31">
            <v>4.8499999999999996</v>
          </cell>
          <cell r="BN31">
            <v>3.66</v>
          </cell>
          <cell r="BO31">
            <v>13.5</v>
          </cell>
          <cell r="BP31">
            <v>17.829999999999998</v>
          </cell>
          <cell r="CS31">
            <v>40</v>
          </cell>
          <cell r="CT31">
            <v>3</v>
          </cell>
          <cell r="CV31">
            <v>16.010000000000002</v>
          </cell>
          <cell r="CW31">
            <v>2.5499999999999998</v>
          </cell>
        </row>
        <row r="32">
          <cell r="B32">
            <v>25</v>
          </cell>
          <cell r="C32">
            <v>162.59</v>
          </cell>
          <cell r="D32">
            <v>232</v>
          </cell>
          <cell r="G32">
            <v>6.17</v>
          </cell>
          <cell r="H32">
            <v>6.17</v>
          </cell>
          <cell r="J32">
            <v>37.601296596434359</v>
          </cell>
          <cell r="L32">
            <v>9.67</v>
          </cell>
          <cell r="M32">
            <v>55.68</v>
          </cell>
          <cell r="N32">
            <v>24</v>
          </cell>
          <cell r="S32">
            <v>122.36999999999983</v>
          </cell>
          <cell r="U32">
            <v>122.36999999999983</v>
          </cell>
          <cell r="V32">
            <v>9.3030000000000008</v>
          </cell>
          <cell r="W32">
            <v>4.0099137931034488</v>
          </cell>
          <cell r="Y32">
            <v>14.38</v>
          </cell>
          <cell r="AB32">
            <v>4.3549999999999915</v>
          </cell>
          <cell r="AC32">
            <v>2.35</v>
          </cell>
          <cell r="AE32">
            <v>2.4300000000000002</v>
          </cell>
          <cell r="AH32">
            <v>15.2</v>
          </cell>
          <cell r="AI32">
            <v>7.02</v>
          </cell>
          <cell r="AK32">
            <v>2.48</v>
          </cell>
          <cell r="AL32">
            <v>6.4</v>
          </cell>
          <cell r="AM32">
            <v>7.9</v>
          </cell>
          <cell r="AN32">
            <v>55.82</v>
          </cell>
          <cell r="AO32">
            <v>55.82</v>
          </cell>
          <cell r="AQ32">
            <v>0</v>
          </cell>
          <cell r="AS32">
            <v>5.39</v>
          </cell>
          <cell r="AT32">
            <v>6.48</v>
          </cell>
          <cell r="AU32">
            <v>1.63</v>
          </cell>
          <cell r="AX32">
            <v>3.82</v>
          </cell>
          <cell r="AY32">
            <v>93.6</v>
          </cell>
          <cell r="AZ32">
            <v>0.02</v>
          </cell>
          <cell r="BA32">
            <v>0.14000000000000001</v>
          </cell>
          <cell r="BB32">
            <v>0.89</v>
          </cell>
          <cell r="BC32">
            <v>1.05</v>
          </cell>
          <cell r="BD32">
            <v>7.78</v>
          </cell>
          <cell r="BE32">
            <v>125.7</v>
          </cell>
          <cell r="BH32">
            <v>1.45</v>
          </cell>
          <cell r="BJ32">
            <v>9.39</v>
          </cell>
          <cell r="BL32">
            <v>7.13</v>
          </cell>
          <cell r="BM32">
            <v>4.66</v>
          </cell>
          <cell r="BN32">
            <v>1.45</v>
          </cell>
          <cell r="BO32">
            <v>23.38</v>
          </cell>
          <cell r="BP32">
            <v>2.63</v>
          </cell>
          <cell r="CS32">
            <v>40</v>
          </cell>
          <cell r="CT32">
            <v>3</v>
          </cell>
          <cell r="CV32">
            <v>14.84</v>
          </cell>
          <cell r="CW32">
            <v>3.04</v>
          </cell>
        </row>
        <row r="33">
          <cell r="B33">
            <v>26</v>
          </cell>
          <cell r="J33" t="e">
            <v>#DIV/0!</v>
          </cell>
          <cell r="N33" t="e">
            <v>#DIV/0!</v>
          </cell>
          <cell r="S33">
            <v>122.36999999999983</v>
          </cell>
          <cell r="U33">
            <v>122.36999999999983</v>
          </cell>
          <cell r="W33" t="e">
            <v>#DIV/0!</v>
          </cell>
          <cell r="AB33">
            <v>4.3549999999999915</v>
          </cell>
          <cell r="AE33">
            <v>2.4300000000000002</v>
          </cell>
          <cell r="AQ33">
            <v>0</v>
          </cell>
          <cell r="BC33">
            <v>0</v>
          </cell>
          <cell r="CS33">
            <v>40</v>
          </cell>
          <cell r="CT33">
            <v>3</v>
          </cell>
          <cell r="CV33">
            <v>16.940000000000001</v>
          </cell>
          <cell r="CW33">
            <v>3.08</v>
          </cell>
        </row>
        <row r="34">
          <cell r="B34">
            <v>27</v>
          </cell>
          <cell r="C34">
            <v>393.72</v>
          </cell>
          <cell r="D34">
            <v>378</v>
          </cell>
          <cell r="F34">
            <v>6.35</v>
          </cell>
          <cell r="G34">
            <v>8.85</v>
          </cell>
          <cell r="H34">
            <v>8.85</v>
          </cell>
          <cell r="J34">
            <v>42.711864406779661</v>
          </cell>
          <cell r="L34">
            <v>8.51</v>
          </cell>
          <cell r="M34">
            <v>89.51</v>
          </cell>
          <cell r="N34">
            <v>23.67989417989418</v>
          </cell>
          <cell r="S34">
            <v>158.14999999999984</v>
          </cell>
          <cell r="U34">
            <v>158.14999999999984</v>
          </cell>
          <cell r="V34">
            <v>15.12</v>
          </cell>
          <cell r="W34">
            <v>4</v>
          </cell>
          <cell r="Y34">
            <v>6.55</v>
          </cell>
          <cell r="AB34">
            <v>12.92499999999999</v>
          </cell>
          <cell r="AC34">
            <v>2.4300000000000002</v>
          </cell>
          <cell r="AE34">
            <v>2.4700000000000002</v>
          </cell>
          <cell r="AH34">
            <v>9.6</v>
          </cell>
          <cell r="AI34">
            <v>7.12</v>
          </cell>
          <cell r="AK34">
            <v>2.4300000000000002</v>
          </cell>
          <cell r="AL34">
            <v>9.1999999999999993</v>
          </cell>
          <cell r="AM34">
            <v>7.02</v>
          </cell>
          <cell r="AN34">
            <v>77.540000000000006</v>
          </cell>
          <cell r="AO34">
            <v>77.540000000000006</v>
          </cell>
          <cell r="AQ34">
            <v>0</v>
          </cell>
          <cell r="AS34">
            <v>6.94</v>
          </cell>
          <cell r="AT34">
            <v>5.79</v>
          </cell>
          <cell r="AU34">
            <v>1.1299999999999999</v>
          </cell>
          <cell r="AX34">
            <v>3.85</v>
          </cell>
          <cell r="AY34">
            <v>92.9</v>
          </cell>
          <cell r="AZ34">
            <v>7.0000000000000007E-2</v>
          </cell>
          <cell r="BA34">
            <v>0.18</v>
          </cell>
          <cell r="BB34">
            <v>1.24</v>
          </cell>
          <cell r="BC34">
            <v>1.49</v>
          </cell>
          <cell r="BD34">
            <v>7.9</v>
          </cell>
          <cell r="BE34">
            <v>95.32</v>
          </cell>
          <cell r="BH34">
            <v>1.38</v>
          </cell>
          <cell r="BJ34">
            <v>9.19</v>
          </cell>
          <cell r="BL34">
            <v>4.4400000000000004</v>
          </cell>
          <cell r="BM34">
            <v>5.32</v>
          </cell>
          <cell r="BN34">
            <v>2.2599999999999998</v>
          </cell>
          <cell r="BO34">
            <v>11.08</v>
          </cell>
          <cell r="BP34">
            <v>5.33</v>
          </cell>
          <cell r="CS34">
            <v>40</v>
          </cell>
          <cell r="CT34">
            <v>3</v>
          </cell>
          <cell r="CV34">
            <v>32.869999999999997</v>
          </cell>
          <cell r="CW34">
            <v>4.04</v>
          </cell>
        </row>
        <row r="35">
          <cell r="B35">
            <v>28</v>
          </cell>
          <cell r="C35">
            <v>291.44</v>
          </cell>
          <cell r="D35">
            <v>296</v>
          </cell>
          <cell r="F35">
            <v>6.16</v>
          </cell>
          <cell r="G35">
            <v>6.3</v>
          </cell>
          <cell r="H35">
            <v>6.3</v>
          </cell>
          <cell r="J35">
            <v>46.984126984126988</v>
          </cell>
          <cell r="L35">
            <v>8.0299999999999994</v>
          </cell>
          <cell r="M35">
            <v>70.167000000000002</v>
          </cell>
          <cell r="N35">
            <v>23.705067567567568</v>
          </cell>
          <cell r="S35">
            <v>157.09699999999984</v>
          </cell>
          <cell r="U35">
            <v>157.09699999999984</v>
          </cell>
          <cell r="V35">
            <v>11.625</v>
          </cell>
          <cell r="W35">
            <v>3.9273648648648649</v>
          </cell>
          <cell r="Y35">
            <v>13.05</v>
          </cell>
          <cell r="AB35">
            <v>11.499999999999989</v>
          </cell>
          <cell r="AC35">
            <v>2.1</v>
          </cell>
          <cell r="AE35">
            <v>2.16</v>
          </cell>
          <cell r="AH35">
            <v>6.2</v>
          </cell>
          <cell r="AI35">
            <v>6.78</v>
          </cell>
          <cell r="AK35">
            <v>2.4</v>
          </cell>
          <cell r="AL35">
            <v>7.2</v>
          </cell>
          <cell r="AM35">
            <v>7.12</v>
          </cell>
          <cell r="AN35">
            <v>73.95</v>
          </cell>
          <cell r="AO35">
            <v>73.95</v>
          </cell>
          <cell r="AQ35">
            <v>0</v>
          </cell>
          <cell r="AS35">
            <v>8.18</v>
          </cell>
          <cell r="AT35">
            <v>7.7</v>
          </cell>
          <cell r="AU35">
            <v>0.43</v>
          </cell>
          <cell r="AX35">
            <v>3.62</v>
          </cell>
          <cell r="AY35">
            <v>93.6</v>
          </cell>
          <cell r="AZ35">
            <v>0.03</v>
          </cell>
          <cell r="BA35">
            <v>0.21</v>
          </cell>
          <cell r="BB35">
            <v>0.81</v>
          </cell>
          <cell r="BC35">
            <v>1.05</v>
          </cell>
          <cell r="BD35">
            <v>5.6</v>
          </cell>
          <cell r="BE35">
            <v>154.80000000000001</v>
          </cell>
          <cell r="BH35">
            <v>1.58</v>
          </cell>
          <cell r="BJ35">
            <v>10.59</v>
          </cell>
          <cell r="BL35">
            <v>8.92</v>
          </cell>
          <cell r="BM35">
            <v>4.6900000000000004</v>
          </cell>
          <cell r="BN35">
            <v>2.04</v>
          </cell>
          <cell r="BO35">
            <v>11.5</v>
          </cell>
          <cell r="BP35">
            <v>5.14</v>
          </cell>
          <cell r="CS35">
            <v>40</v>
          </cell>
          <cell r="CT35">
            <v>3</v>
          </cell>
          <cell r="CV35">
            <v>12.86</v>
          </cell>
          <cell r="CW35">
            <v>4.16</v>
          </cell>
        </row>
        <row r="36">
          <cell r="B36">
            <v>29</v>
          </cell>
          <cell r="C36">
            <v>292.01</v>
          </cell>
          <cell r="D36">
            <v>266</v>
          </cell>
          <cell r="F36">
            <v>5.15</v>
          </cell>
          <cell r="G36">
            <v>5.67</v>
          </cell>
          <cell r="H36">
            <v>5.67</v>
          </cell>
          <cell r="J36">
            <v>46.913580246913583</v>
          </cell>
          <cell r="L36">
            <v>7.25</v>
          </cell>
          <cell r="M36">
            <v>62.023000000000003</v>
          </cell>
          <cell r="N36">
            <v>23.316917293233082</v>
          </cell>
          <cell r="S36">
            <v>137.23999999999984</v>
          </cell>
          <cell r="U36">
            <v>137.23999999999984</v>
          </cell>
          <cell r="V36">
            <v>10.35</v>
          </cell>
          <cell r="W36">
            <v>3.8909774436090228</v>
          </cell>
          <cell r="Y36">
            <v>13.35</v>
          </cell>
          <cell r="AB36">
            <v>8.4999999999999876</v>
          </cell>
          <cell r="AC36">
            <v>2.29</v>
          </cell>
          <cell r="AE36">
            <v>2.23</v>
          </cell>
          <cell r="AH36">
            <v>7.4</v>
          </cell>
          <cell r="AI36">
            <v>7.28</v>
          </cell>
          <cell r="AK36">
            <v>2.19</v>
          </cell>
          <cell r="AL36">
            <v>7.05</v>
          </cell>
          <cell r="AM36">
            <v>6.89</v>
          </cell>
          <cell r="AN36">
            <v>61.66</v>
          </cell>
          <cell r="AO36">
            <v>61.66</v>
          </cell>
          <cell r="AQ36">
            <v>0</v>
          </cell>
          <cell r="AS36">
            <v>8.39</v>
          </cell>
          <cell r="AT36">
            <v>7.94</v>
          </cell>
          <cell r="AU36">
            <v>0.62</v>
          </cell>
          <cell r="AX36">
            <v>4.21</v>
          </cell>
          <cell r="AY36">
            <v>94.3</v>
          </cell>
          <cell r="AZ36">
            <v>0.02</v>
          </cell>
          <cell r="BA36">
            <v>0.28000000000000003</v>
          </cell>
          <cell r="BB36">
            <v>1.1200000000000001</v>
          </cell>
          <cell r="BC36">
            <v>1.4200000000000002</v>
          </cell>
          <cell r="BD36">
            <v>5</v>
          </cell>
          <cell r="BE36">
            <v>153.49</v>
          </cell>
          <cell r="BH36">
            <v>1.38</v>
          </cell>
          <cell r="BJ36">
            <v>12.05</v>
          </cell>
          <cell r="BL36">
            <v>3.97</v>
          </cell>
          <cell r="BM36">
            <v>4.41</v>
          </cell>
          <cell r="BN36">
            <v>4.2</v>
          </cell>
          <cell r="BO36">
            <v>10.51</v>
          </cell>
          <cell r="BP36">
            <v>8.74</v>
          </cell>
          <cell r="CS36">
            <v>40</v>
          </cell>
          <cell r="CT36">
            <v>3</v>
          </cell>
          <cell r="CV36">
            <v>8.6300000000000008</v>
          </cell>
          <cell r="CW36">
            <v>3.35</v>
          </cell>
        </row>
        <row r="37">
          <cell r="B37">
            <v>30</v>
          </cell>
          <cell r="C37">
            <v>269.88</v>
          </cell>
          <cell r="D37">
            <v>270</v>
          </cell>
          <cell r="F37">
            <v>5.49</v>
          </cell>
          <cell r="G37">
            <v>5.78</v>
          </cell>
          <cell r="H37">
            <v>5.78</v>
          </cell>
          <cell r="J37">
            <v>46.712802768166085</v>
          </cell>
          <cell r="L37">
            <v>6.93</v>
          </cell>
          <cell r="M37">
            <v>62.381999999999998</v>
          </cell>
          <cell r="N37">
            <v>23.104444444444443</v>
          </cell>
          <cell r="S37">
            <v>117.44199999999984</v>
          </cell>
          <cell r="U37">
            <v>117.44199999999984</v>
          </cell>
          <cell r="V37">
            <v>10.58</v>
          </cell>
          <cell r="W37">
            <v>3.9185185185185185</v>
          </cell>
          <cell r="Y37">
            <v>7.03</v>
          </cell>
          <cell r="AB37">
            <v>12.049999999999986</v>
          </cell>
          <cell r="AC37">
            <v>2.33</v>
          </cell>
          <cell r="AE37">
            <v>2.2999999999999998</v>
          </cell>
          <cell r="AH37">
            <v>5</v>
          </cell>
          <cell r="AI37">
            <v>6.08</v>
          </cell>
          <cell r="AK37">
            <v>2.2200000000000002</v>
          </cell>
          <cell r="AL37">
            <v>3.8</v>
          </cell>
          <cell r="AM37">
            <v>7.28</v>
          </cell>
          <cell r="AN37">
            <v>57.52</v>
          </cell>
          <cell r="AO37">
            <v>57.52</v>
          </cell>
          <cell r="AQ37">
            <v>0</v>
          </cell>
          <cell r="AS37">
            <v>9.35</v>
          </cell>
          <cell r="AT37">
            <v>8.0500000000000007</v>
          </cell>
          <cell r="AU37">
            <v>0.97</v>
          </cell>
          <cell r="AX37">
            <v>6.06</v>
          </cell>
          <cell r="AY37">
            <v>95.4</v>
          </cell>
          <cell r="AZ37">
            <v>0.01</v>
          </cell>
          <cell r="BA37">
            <v>0.22</v>
          </cell>
          <cell r="BB37">
            <v>1.2</v>
          </cell>
          <cell r="BC37">
            <v>1.43</v>
          </cell>
          <cell r="BD37">
            <v>5.5</v>
          </cell>
          <cell r="BE37">
            <v>129.09</v>
          </cell>
          <cell r="BH37">
            <v>1.53</v>
          </cell>
          <cell r="BJ37">
            <v>13.22</v>
          </cell>
          <cell r="BL37">
            <v>3.75</v>
          </cell>
          <cell r="BM37">
            <v>4.43</v>
          </cell>
          <cell r="BN37">
            <v>4.13</v>
          </cell>
          <cell r="BO37">
            <v>8.9600000000000009</v>
          </cell>
          <cell r="BP37">
            <v>16.37</v>
          </cell>
          <cell r="CS37">
            <v>40</v>
          </cell>
          <cell r="CT37">
            <v>3</v>
          </cell>
          <cell r="CV37">
            <v>7.03</v>
          </cell>
          <cell r="CW37">
            <v>4.68</v>
          </cell>
        </row>
        <row r="38">
          <cell r="B38">
            <v>31</v>
          </cell>
          <cell r="C38">
            <v>268.31</v>
          </cell>
          <cell r="D38">
            <v>329</v>
          </cell>
          <cell r="F38">
            <v>5.78</v>
          </cell>
          <cell r="G38">
            <v>6.28</v>
          </cell>
          <cell r="H38">
            <v>6.28</v>
          </cell>
          <cell r="J38">
            <v>52.388535031847134</v>
          </cell>
          <cell r="L38">
            <v>7.04</v>
          </cell>
          <cell r="M38">
            <v>74.054000000000002</v>
          </cell>
          <cell r="N38">
            <v>22.508814589665654</v>
          </cell>
          <cell r="S38">
            <v>136.18599999999984</v>
          </cell>
          <cell r="U38">
            <v>136.18599999999984</v>
          </cell>
          <cell r="V38">
            <v>12.4</v>
          </cell>
          <cell r="W38">
            <v>3.7689969604863225</v>
          </cell>
          <cell r="Y38">
            <v>12.3</v>
          </cell>
          <cell r="AB38">
            <v>12.149999999999988</v>
          </cell>
          <cell r="AC38">
            <v>2.42</v>
          </cell>
          <cell r="AE38">
            <v>2.48</v>
          </cell>
          <cell r="AH38">
            <v>8.6</v>
          </cell>
          <cell r="AI38">
            <v>7.5</v>
          </cell>
          <cell r="AK38">
            <v>2.34</v>
          </cell>
          <cell r="AL38">
            <v>5.9</v>
          </cell>
          <cell r="AM38">
            <v>6.08</v>
          </cell>
          <cell r="AN38">
            <v>65.56</v>
          </cell>
          <cell r="AO38">
            <v>65.56</v>
          </cell>
          <cell r="AQ38">
            <v>0</v>
          </cell>
          <cell r="AS38">
            <v>7.11</v>
          </cell>
          <cell r="AT38">
            <v>8.64</v>
          </cell>
          <cell r="AU38">
            <v>1.28</v>
          </cell>
          <cell r="AX38">
            <v>4.3600000000000003</v>
          </cell>
          <cell r="AY38">
            <v>95.7</v>
          </cell>
          <cell r="AZ38">
            <v>0.12</v>
          </cell>
          <cell r="BA38">
            <v>0.1</v>
          </cell>
          <cell r="BB38">
            <v>0.4</v>
          </cell>
          <cell r="BC38">
            <v>0.62</v>
          </cell>
          <cell r="BD38">
            <v>6.13</v>
          </cell>
          <cell r="BE38">
            <v>108.86</v>
          </cell>
          <cell r="BH38">
            <v>1.24</v>
          </cell>
          <cell r="BJ38">
            <v>6.14</v>
          </cell>
          <cell r="BL38">
            <v>5</v>
          </cell>
          <cell r="BM38">
            <v>5</v>
          </cell>
          <cell r="BN38">
            <v>3.47</v>
          </cell>
          <cell r="BO38">
            <v>7.72</v>
          </cell>
          <cell r="BP38">
            <v>18.14</v>
          </cell>
          <cell r="CS38">
            <v>40</v>
          </cell>
          <cell r="CT38">
            <v>3</v>
          </cell>
          <cell r="CV38">
            <v>9.73</v>
          </cell>
          <cell r="CW38">
            <v>5.58</v>
          </cell>
        </row>
        <row r="39">
          <cell r="B39" t="str">
            <v>FEB/1</v>
          </cell>
          <cell r="Q39">
            <v>0</v>
          </cell>
          <cell r="S39">
            <v>136.18599999999984</v>
          </cell>
          <cell r="U39">
            <v>136.18599999999984</v>
          </cell>
          <cell r="AB39">
            <v>12.149999999999988</v>
          </cell>
          <cell r="AQ39">
            <v>0</v>
          </cell>
          <cell r="CS39">
            <v>40</v>
          </cell>
          <cell r="CT39">
            <v>3</v>
          </cell>
          <cell r="CV39">
            <v>7.59</v>
          </cell>
          <cell r="CW39">
            <v>3.73</v>
          </cell>
        </row>
        <row r="40">
          <cell r="B40">
            <v>2</v>
          </cell>
          <cell r="Q40">
            <v>0</v>
          </cell>
          <cell r="S40">
            <v>136.18599999999984</v>
          </cell>
          <cell r="U40">
            <v>136.18599999999984</v>
          </cell>
          <cell r="AB40">
            <v>12.149999999999988</v>
          </cell>
          <cell r="AQ40">
            <v>0</v>
          </cell>
          <cell r="CS40">
            <v>40</v>
          </cell>
          <cell r="CT40">
            <v>3</v>
          </cell>
          <cell r="CV40">
            <v>10.86</v>
          </cell>
          <cell r="CW40">
            <v>4.8600000000000003</v>
          </cell>
        </row>
        <row r="41">
          <cell r="B41">
            <v>3</v>
          </cell>
          <cell r="C41">
            <v>563.94000000000005</v>
          </cell>
          <cell r="D41">
            <v>464</v>
          </cell>
          <cell r="F41">
            <v>11.37</v>
          </cell>
          <cell r="G41">
            <v>6.75</v>
          </cell>
          <cell r="H41">
            <v>11.37</v>
          </cell>
          <cell r="J41">
            <v>40.809146877748461</v>
          </cell>
          <cell r="L41">
            <v>5.1100000000000003</v>
          </cell>
          <cell r="M41">
            <v>107.68600000000001</v>
          </cell>
          <cell r="N41">
            <v>23.208189655172415</v>
          </cell>
          <cell r="Q41">
            <v>77.56</v>
          </cell>
          <cell r="S41">
            <v>166.31199999999984</v>
          </cell>
          <cell r="U41">
            <v>166.31199999999984</v>
          </cell>
          <cell r="V41">
            <v>17.43</v>
          </cell>
          <cell r="W41">
            <v>3.7564655172413794</v>
          </cell>
          <cell r="Y41">
            <v>28.23</v>
          </cell>
          <cell r="AB41">
            <v>1.3499999999999872</v>
          </cell>
          <cell r="AC41">
            <v>2.56</v>
          </cell>
          <cell r="AE41">
            <v>2.46</v>
          </cell>
          <cell r="AH41">
            <v>6</v>
          </cell>
          <cell r="AI41">
            <v>6.35</v>
          </cell>
          <cell r="AK41">
            <v>2.41</v>
          </cell>
          <cell r="AL41">
            <v>5.53</v>
          </cell>
          <cell r="AM41">
            <v>7.58</v>
          </cell>
          <cell r="AN41">
            <v>106.38</v>
          </cell>
          <cell r="AO41">
            <v>106.38</v>
          </cell>
          <cell r="AQ41">
            <v>0</v>
          </cell>
          <cell r="AS41">
            <v>7.09</v>
          </cell>
          <cell r="AT41">
            <v>8.02</v>
          </cell>
          <cell r="AU41">
            <v>1.53</v>
          </cell>
          <cell r="AX41">
            <v>5.82</v>
          </cell>
          <cell r="AY41">
            <v>96.7</v>
          </cell>
          <cell r="AZ41">
            <v>0.56000000000000005</v>
          </cell>
          <cell r="BA41">
            <v>0.12</v>
          </cell>
          <cell r="BB41">
            <v>1.27</v>
          </cell>
          <cell r="BC41">
            <v>1.9500000000000002</v>
          </cell>
          <cell r="BD41">
            <v>5.7</v>
          </cell>
          <cell r="BE41">
            <v>101.84</v>
          </cell>
          <cell r="BH41">
            <v>1.52</v>
          </cell>
          <cell r="BJ41">
            <v>9.75</v>
          </cell>
          <cell r="BL41">
            <v>12.9</v>
          </cell>
          <cell r="BM41">
            <v>4.42</v>
          </cell>
          <cell r="BN41">
            <v>3.97</v>
          </cell>
          <cell r="BO41">
            <v>5.85</v>
          </cell>
          <cell r="BP41">
            <v>37.56</v>
          </cell>
          <cell r="CS41">
            <v>40</v>
          </cell>
          <cell r="CT41">
            <v>3</v>
          </cell>
        </row>
        <row r="42">
          <cell r="B42">
            <v>4</v>
          </cell>
          <cell r="C42">
            <v>382.2</v>
          </cell>
          <cell r="D42">
            <v>401</v>
          </cell>
          <cell r="F42">
            <v>9.07</v>
          </cell>
          <cell r="G42">
            <v>6.66</v>
          </cell>
          <cell r="H42">
            <v>9.07</v>
          </cell>
          <cell r="J42">
            <v>44.211686879823596</v>
          </cell>
          <cell r="L42">
            <v>9.17</v>
          </cell>
          <cell r="M42">
            <v>92.286000000000001</v>
          </cell>
          <cell r="N42">
            <v>23.013965087281797</v>
          </cell>
          <cell r="Q42">
            <v>89.63</v>
          </cell>
          <cell r="S42">
            <v>168.96799999999985</v>
          </cell>
          <cell r="U42">
            <v>168.96799999999985</v>
          </cell>
          <cell r="V42">
            <v>14.9</v>
          </cell>
          <cell r="W42">
            <v>3.7157107231920201</v>
          </cell>
          <cell r="Y42">
            <v>6.75</v>
          </cell>
          <cell r="AB42">
            <v>9.4999999999999858</v>
          </cell>
          <cell r="AC42">
            <v>2.39</v>
          </cell>
          <cell r="AE42">
            <v>2.42</v>
          </cell>
          <cell r="AH42">
            <v>8.1999999999999993</v>
          </cell>
          <cell r="AI42">
            <v>7.29</v>
          </cell>
          <cell r="AK42">
            <v>2.4700000000000002</v>
          </cell>
          <cell r="AL42">
            <v>7.4</v>
          </cell>
          <cell r="AM42">
            <v>6.35</v>
          </cell>
          <cell r="AN42">
            <v>100.41</v>
          </cell>
          <cell r="AO42">
            <v>100.41</v>
          </cell>
          <cell r="AQ42">
            <v>0</v>
          </cell>
          <cell r="AS42">
            <v>5.32</v>
          </cell>
          <cell r="AT42">
            <v>5.22</v>
          </cell>
          <cell r="AU42">
            <v>1.94</v>
          </cell>
          <cell r="AX42">
            <v>4.2699999999999996</v>
          </cell>
          <cell r="AY42">
            <v>93.4</v>
          </cell>
          <cell r="AZ42">
            <v>0.39</v>
          </cell>
          <cell r="BA42">
            <v>0.15</v>
          </cell>
          <cell r="BB42">
            <v>1.02</v>
          </cell>
          <cell r="BC42">
            <v>1.56</v>
          </cell>
          <cell r="BD42">
            <v>6.92</v>
          </cell>
          <cell r="BE42">
            <v>105.07</v>
          </cell>
          <cell r="BH42">
            <v>1.29</v>
          </cell>
          <cell r="BJ42">
            <v>9.26</v>
          </cell>
          <cell r="BL42">
            <v>5.6</v>
          </cell>
          <cell r="BM42">
            <v>5.8</v>
          </cell>
          <cell r="BN42">
            <v>1.52</v>
          </cell>
          <cell r="BO42">
            <v>13.87</v>
          </cell>
          <cell r="BP42">
            <v>13.08</v>
          </cell>
          <cell r="CS42">
            <v>40</v>
          </cell>
          <cell r="CT42">
            <v>3</v>
          </cell>
          <cell r="CV42">
            <v>7.12</v>
          </cell>
          <cell r="CW42">
            <v>5.27</v>
          </cell>
        </row>
        <row r="43">
          <cell r="B43">
            <v>5</v>
          </cell>
          <cell r="C43">
            <v>268.24</v>
          </cell>
          <cell r="D43">
            <v>334</v>
          </cell>
          <cell r="G43">
            <v>8.56</v>
          </cell>
          <cell r="H43">
            <v>8.56</v>
          </cell>
          <cell r="J43">
            <v>39.018691588785046</v>
          </cell>
          <cell r="L43">
            <v>9.6300000000000008</v>
          </cell>
          <cell r="M43">
            <v>77.153999999999996</v>
          </cell>
          <cell r="N43">
            <v>23.099999999999998</v>
          </cell>
          <cell r="Q43">
            <v>88.19</v>
          </cell>
          <cell r="S43">
            <v>157.93199999999985</v>
          </cell>
          <cell r="U43">
            <v>157.93199999999985</v>
          </cell>
          <cell r="V43">
            <v>12.75</v>
          </cell>
          <cell r="W43">
            <v>3.817365269461078</v>
          </cell>
          <cell r="Y43">
            <v>20</v>
          </cell>
          <cell r="AB43">
            <v>2.2499999999999858</v>
          </cell>
          <cell r="AC43">
            <v>2.2400000000000002</v>
          </cell>
          <cell r="AE43">
            <v>2.21</v>
          </cell>
          <cell r="AH43">
            <v>4.5999999999999996</v>
          </cell>
          <cell r="AI43">
            <v>7.73</v>
          </cell>
          <cell r="AK43">
            <v>2.39</v>
          </cell>
          <cell r="AL43">
            <v>6.7</v>
          </cell>
          <cell r="AM43">
            <v>7.29</v>
          </cell>
          <cell r="AN43">
            <v>77.760000000000005</v>
          </cell>
          <cell r="AO43">
            <v>77.760000000000005</v>
          </cell>
          <cell r="AQ43">
            <v>0</v>
          </cell>
          <cell r="AS43">
            <v>4.75</v>
          </cell>
          <cell r="AT43">
            <v>5.75</v>
          </cell>
          <cell r="AU43">
            <v>1.68</v>
          </cell>
          <cell r="AX43">
            <v>4.47</v>
          </cell>
          <cell r="AY43">
            <v>91.4</v>
          </cell>
          <cell r="AZ43">
            <v>0.11</v>
          </cell>
          <cell r="BA43">
            <v>0.5</v>
          </cell>
          <cell r="BB43">
            <v>0.73</v>
          </cell>
          <cell r="BC43">
            <v>1.3399999999999999</v>
          </cell>
          <cell r="BD43">
            <v>5.25</v>
          </cell>
          <cell r="BE43">
            <v>170.51</v>
          </cell>
          <cell r="BH43">
            <v>1.38</v>
          </cell>
          <cell r="BJ43">
            <v>14.32</v>
          </cell>
          <cell r="BL43">
            <v>4.09</v>
          </cell>
          <cell r="BM43">
            <v>5.98</v>
          </cell>
          <cell r="BN43">
            <v>2.52</v>
          </cell>
          <cell r="BO43">
            <v>14.24</v>
          </cell>
          <cell r="BP43">
            <v>9.68</v>
          </cell>
          <cell r="CS43">
            <v>40</v>
          </cell>
          <cell r="CT43">
            <v>3</v>
          </cell>
          <cell r="CV43">
            <v>4.33</v>
          </cell>
          <cell r="CW43">
            <v>4.68</v>
          </cell>
        </row>
        <row r="44">
          <cell r="B44">
            <v>6</v>
          </cell>
          <cell r="C44">
            <v>306.92</v>
          </cell>
          <cell r="D44">
            <v>247</v>
          </cell>
          <cell r="F44">
            <v>3.1</v>
          </cell>
          <cell r="G44">
            <v>6.28</v>
          </cell>
          <cell r="H44">
            <v>6.28</v>
          </cell>
          <cell r="J44">
            <v>39.331210191082803</v>
          </cell>
          <cell r="L44">
            <v>7.95</v>
          </cell>
          <cell r="M44">
            <v>56.81</v>
          </cell>
          <cell r="N44">
            <v>23</v>
          </cell>
          <cell r="Q44">
            <v>95.38</v>
          </cell>
          <cell r="S44">
            <v>119.36199999999985</v>
          </cell>
          <cell r="U44">
            <v>119.36199999999985</v>
          </cell>
          <cell r="V44">
            <v>8.6999999999999993</v>
          </cell>
          <cell r="W44">
            <v>3.5222672064777325</v>
          </cell>
          <cell r="AB44">
            <v>10.949999999999985</v>
          </cell>
          <cell r="AC44">
            <v>2.54</v>
          </cell>
          <cell r="AE44">
            <v>2.36</v>
          </cell>
          <cell r="AH44">
            <v>7.2</v>
          </cell>
          <cell r="AI44">
            <v>8.5399999999999991</v>
          </cell>
          <cell r="AK44">
            <v>2.2200000000000002</v>
          </cell>
          <cell r="AN44">
            <v>57.2</v>
          </cell>
          <cell r="AO44">
            <v>57.2</v>
          </cell>
          <cell r="AQ44">
            <v>0</v>
          </cell>
          <cell r="AS44">
            <v>5.56</v>
          </cell>
          <cell r="AT44">
            <v>5.39</v>
          </cell>
          <cell r="AU44">
            <v>1.1499999999999999</v>
          </cell>
          <cell r="AX44">
            <v>3.62</v>
          </cell>
          <cell r="AY44">
            <v>90.73</v>
          </cell>
          <cell r="AZ44">
            <v>0.56000000000000005</v>
          </cell>
          <cell r="BA44">
            <v>0.3</v>
          </cell>
          <cell r="BB44">
            <v>0.71</v>
          </cell>
          <cell r="BC44">
            <v>1.57</v>
          </cell>
          <cell r="BD44">
            <v>8</v>
          </cell>
          <cell r="BE44">
            <v>115.68</v>
          </cell>
          <cell r="BH44">
            <v>1.56</v>
          </cell>
          <cell r="BJ44">
            <v>7.7</v>
          </cell>
          <cell r="BL44">
            <v>7.2</v>
          </cell>
          <cell r="BM44">
            <v>5.48</v>
          </cell>
          <cell r="BN44">
            <v>3.32</v>
          </cell>
          <cell r="BO44">
            <v>13.67</v>
          </cell>
          <cell r="BP44">
            <v>7.07</v>
          </cell>
          <cell r="CS44">
            <v>40</v>
          </cell>
          <cell r="CT44">
            <v>3</v>
          </cell>
          <cell r="CV44">
            <v>3.27</v>
          </cell>
          <cell r="CW44">
            <v>4.79</v>
          </cell>
        </row>
        <row r="45">
          <cell r="B45">
            <v>7</v>
          </cell>
          <cell r="C45">
            <v>395.84</v>
          </cell>
          <cell r="D45">
            <v>317</v>
          </cell>
          <cell r="F45">
            <v>5.13</v>
          </cell>
          <cell r="G45">
            <v>5.44</v>
          </cell>
          <cell r="H45">
            <v>5.44</v>
          </cell>
          <cell r="J45">
            <v>58.272058823529406</v>
          </cell>
          <cell r="L45">
            <v>5.8</v>
          </cell>
          <cell r="M45">
            <v>70.221000000000004</v>
          </cell>
          <cell r="N45">
            <v>22.151735015772871</v>
          </cell>
          <cell r="Q45">
            <v>82.06</v>
          </cell>
          <cell r="S45">
            <v>107.52299999999985</v>
          </cell>
          <cell r="T45">
            <v>70.221000000000004</v>
          </cell>
          <cell r="U45">
            <v>37.30199999999985</v>
          </cell>
          <cell r="V45">
            <v>11.7</v>
          </cell>
          <cell r="W45">
            <v>3.6908517350157726</v>
          </cell>
          <cell r="Y45">
            <v>13.95</v>
          </cell>
          <cell r="AB45">
            <v>8.6999999999999851</v>
          </cell>
          <cell r="AC45">
            <v>2.63</v>
          </cell>
          <cell r="AD45">
            <v>2.61</v>
          </cell>
          <cell r="AH45">
            <v>3.2</v>
          </cell>
          <cell r="AI45">
            <v>6.43</v>
          </cell>
          <cell r="AK45">
            <v>2.33</v>
          </cell>
          <cell r="AL45">
            <v>6.8</v>
          </cell>
          <cell r="AM45">
            <v>8.5399999999999991</v>
          </cell>
          <cell r="AN45">
            <v>79.03</v>
          </cell>
          <cell r="AO45">
            <v>79.03</v>
          </cell>
          <cell r="AQ45">
            <v>0</v>
          </cell>
          <cell r="AS45">
            <v>6.52</v>
          </cell>
          <cell r="AT45">
            <v>5.7</v>
          </cell>
          <cell r="AU45">
            <v>2.58</v>
          </cell>
          <cell r="AX45">
            <v>3.51</v>
          </cell>
          <cell r="AY45">
            <v>94.7</v>
          </cell>
          <cell r="AZ45">
            <v>0.69</v>
          </cell>
          <cell r="BA45">
            <v>0.21</v>
          </cell>
          <cell r="BB45">
            <v>0.94</v>
          </cell>
          <cell r="BC45">
            <v>1.8399999999999999</v>
          </cell>
          <cell r="BD45">
            <v>8.8000000000000007</v>
          </cell>
          <cell r="BE45">
            <v>67.400000000000006</v>
          </cell>
          <cell r="BH45">
            <v>1.39</v>
          </cell>
          <cell r="BJ45">
            <v>9.56</v>
          </cell>
          <cell r="BL45">
            <v>11.62</v>
          </cell>
          <cell r="BM45">
            <v>4.09</v>
          </cell>
          <cell r="BN45">
            <v>5.86</v>
          </cell>
          <cell r="BO45">
            <v>8.18</v>
          </cell>
          <cell r="BP45">
            <v>18.68</v>
          </cell>
          <cell r="CS45">
            <v>40</v>
          </cell>
          <cell r="CT45">
            <v>3</v>
          </cell>
          <cell r="CV45">
            <v>3.92</v>
          </cell>
          <cell r="CW45">
            <v>5.13</v>
          </cell>
        </row>
        <row r="46">
          <cell r="B46">
            <v>8</v>
          </cell>
          <cell r="C46">
            <v>569.77</v>
          </cell>
          <cell r="D46">
            <v>651</v>
          </cell>
          <cell r="F46">
            <v>11.47</v>
          </cell>
          <cell r="G46">
            <v>13.36</v>
          </cell>
          <cell r="H46">
            <v>13.36</v>
          </cell>
          <cell r="J46">
            <v>48.727544910179645</v>
          </cell>
          <cell r="L46">
            <v>6.89</v>
          </cell>
          <cell r="M46">
            <v>150.15299999999999</v>
          </cell>
          <cell r="N46">
            <v>23.064976958525342</v>
          </cell>
          <cell r="Q46">
            <v>0</v>
          </cell>
          <cell r="S46">
            <v>257.67599999999982</v>
          </cell>
          <cell r="T46">
            <v>220.374</v>
          </cell>
          <cell r="U46">
            <v>37.301999999999822</v>
          </cell>
          <cell r="V46">
            <v>25.6</v>
          </cell>
          <cell r="W46">
            <v>3.9324116743471582</v>
          </cell>
          <cell r="Y46">
            <v>13.3</v>
          </cell>
          <cell r="AB46">
            <v>20.999999999999982</v>
          </cell>
          <cell r="AC46">
            <v>2.4900000000000002</v>
          </cell>
          <cell r="AD46">
            <v>2.5299999999999998</v>
          </cell>
          <cell r="AH46">
            <v>4</v>
          </cell>
          <cell r="AI46">
            <v>7.52</v>
          </cell>
          <cell r="AL46">
            <v>4.3</v>
          </cell>
          <cell r="AM46">
            <v>6.43</v>
          </cell>
          <cell r="AN46">
            <v>132.30000000000001</v>
          </cell>
          <cell r="AO46">
            <v>132.30000000000001</v>
          </cell>
          <cell r="AQ46">
            <v>0</v>
          </cell>
          <cell r="AS46">
            <v>5.92</v>
          </cell>
          <cell r="AT46">
            <v>5.99</v>
          </cell>
          <cell r="AU46">
            <v>0.87</v>
          </cell>
          <cell r="AX46">
            <v>2.59</v>
          </cell>
          <cell r="AY46">
            <v>95.65</v>
          </cell>
          <cell r="AZ46">
            <v>0.31</v>
          </cell>
          <cell r="BA46">
            <v>0.15</v>
          </cell>
          <cell r="BB46">
            <v>0.98</v>
          </cell>
          <cell r="BC46">
            <v>1.44</v>
          </cell>
          <cell r="BD46">
            <v>5.83</v>
          </cell>
          <cell r="BE46">
            <v>39.01</v>
          </cell>
          <cell r="BH46">
            <v>1.1299999999999999</v>
          </cell>
          <cell r="BJ46">
            <v>8.39</v>
          </cell>
          <cell r="BL46">
            <v>5.63</v>
          </cell>
          <cell r="BM46">
            <v>3.5</v>
          </cell>
          <cell r="BN46">
            <v>4.91</v>
          </cell>
          <cell r="BO46">
            <v>10.08</v>
          </cell>
          <cell r="BP46">
            <v>14.91</v>
          </cell>
          <cell r="CS46">
            <v>40</v>
          </cell>
          <cell r="CT46">
            <v>3</v>
          </cell>
          <cell r="CV46">
            <v>4.2</v>
          </cell>
          <cell r="CW46">
            <v>5.2</v>
          </cell>
        </row>
        <row r="47">
          <cell r="B47">
            <v>9</v>
          </cell>
          <cell r="Q47">
            <v>0</v>
          </cell>
          <cell r="S47">
            <v>257.67599999999982</v>
          </cell>
          <cell r="T47">
            <v>220.374</v>
          </cell>
          <cell r="U47">
            <v>37.301999999999822</v>
          </cell>
          <cell r="AB47">
            <v>20.999999999999982</v>
          </cell>
          <cell r="AQ47">
            <v>0</v>
          </cell>
          <cell r="BC47">
            <v>0</v>
          </cell>
          <cell r="CS47">
            <v>40</v>
          </cell>
          <cell r="CT47">
            <v>3</v>
          </cell>
          <cell r="CV47">
            <v>4.95</v>
          </cell>
          <cell r="CW47">
            <v>5.65</v>
          </cell>
        </row>
        <row r="48">
          <cell r="B48">
            <v>10</v>
          </cell>
          <cell r="C48">
            <v>660.91</v>
          </cell>
          <cell r="D48">
            <v>556</v>
          </cell>
          <cell r="F48">
            <v>8.1199999999999992</v>
          </cell>
          <cell r="G48">
            <v>13.42</v>
          </cell>
          <cell r="H48">
            <v>13.42</v>
          </cell>
          <cell r="J48">
            <v>41.430700447093891</v>
          </cell>
          <cell r="L48">
            <v>7.25</v>
          </cell>
          <cell r="M48">
            <v>125.51900000000001</v>
          </cell>
          <cell r="N48">
            <v>22.575359712230217</v>
          </cell>
          <cell r="Q48">
            <v>166</v>
          </cell>
          <cell r="S48">
            <v>217.19499999999982</v>
          </cell>
          <cell r="T48">
            <v>179.893</v>
          </cell>
          <cell r="U48">
            <v>37.301999999999822</v>
          </cell>
          <cell r="V48">
            <v>19.47</v>
          </cell>
          <cell r="W48">
            <v>3.5017985611510789</v>
          </cell>
          <cell r="Y48">
            <v>18.57</v>
          </cell>
          <cell r="AB48">
            <v>21.899999999999984</v>
          </cell>
          <cell r="AC48">
            <v>2.56</v>
          </cell>
          <cell r="AD48">
            <v>2.52</v>
          </cell>
          <cell r="AH48">
            <v>6</v>
          </cell>
          <cell r="AI48">
            <v>7.14</v>
          </cell>
          <cell r="AK48">
            <v>2.48</v>
          </cell>
          <cell r="AL48">
            <v>7.8</v>
          </cell>
          <cell r="AM48">
            <v>7.02</v>
          </cell>
          <cell r="AN48">
            <v>137.38999999999999</v>
          </cell>
          <cell r="AO48">
            <v>137.38999999999999</v>
          </cell>
          <cell r="AQ48">
            <v>0</v>
          </cell>
          <cell r="AS48">
            <v>7.24</v>
          </cell>
          <cell r="AT48">
            <v>6.31</v>
          </cell>
          <cell r="AU48">
            <v>1.74</v>
          </cell>
          <cell r="AX48">
            <v>2.91</v>
          </cell>
          <cell r="AY48">
            <v>94.3</v>
          </cell>
          <cell r="AZ48">
            <v>0.23</v>
          </cell>
          <cell r="BA48">
            <v>0.59</v>
          </cell>
          <cell r="BB48">
            <v>0.87</v>
          </cell>
          <cell r="BC48">
            <v>1.69</v>
          </cell>
          <cell r="BD48">
            <v>7.85</v>
          </cell>
          <cell r="BE48">
            <v>80.709999999999994</v>
          </cell>
          <cell r="BH48">
            <v>1.47</v>
          </cell>
          <cell r="BJ48">
            <v>9.3699999999999992</v>
          </cell>
          <cell r="BL48">
            <v>8.83</v>
          </cell>
          <cell r="BM48">
            <v>4.26</v>
          </cell>
          <cell r="BN48">
            <v>6</v>
          </cell>
          <cell r="BO48">
            <v>10.93</v>
          </cell>
          <cell r="BP48">
            <v>16.79</v>
          </cell>
          <cell r="CS48">
            <v>40</v>
          </cell>
          <cell r="CT48">
            <v>3</v>
          </cell>
        </row>
        <row r="49">
          <cell r="B49">
            <v>11</v>
          </cell>
          <cell r="C49">
            <v>492.43</v>
          </cell>
          <cell r="D49">
            <v>580</v>
          </cell>
          <cell r="F49">
            <v>10.97</v>
          </cell>
          <cell r="G49">
            <v>13.77</v>
          </cell>
          <cell r="H49">
            <v>13.77</v>
          </cell>
          <cell r="J49">
            <v>42.120551924473496</v>
          </cell>
          <cell r="L49">
            <v>6.18</v>
          </cell>
          <cell r="M49">
            <v>134.607</v>
          </cell>
          <cell r="N49">
            <v>23.208103448275864</v>
          </cell>
          <cell r="Q49">
            <v>117.26</v>
          </cell>
          <cell r="S49">
            <v>234.5419999999998</v>
          </cell>
          <cell r="T49">
            <v>197.24</v>
          </cell>
          <cell r="U49">
            <v>37.301999999999794</v>
          </cell>
          <cell r="V49">
            <v>20.28</v>
          </cell>
          <cell r="W49">
            <v>3.4965517241379316</v>
          </cell>
          <cell r="Y49">
            <v>7.08</v>
          </cell>
          <cell r="AB49">
            <v>35.099999999999987</v>
          </cell>
          <cell r="AC49">
            <v>2.4700000000000002</v>
          </cell>
          <cell r="AD49">
            <v>2.5</v>
          </cell>
          <cell r="AH49">
            <v>6</v>
          </cell>
          <cell r="AI49">
            <v>6.91</v>
          </cell>
          <cell r="AK49">
            <v>2.5099999999999998</v>
          </cell>
          <cell r="AL49">
            <v>6</v>
          </cell>
          <cell r="AM49">
            <v>7.14</v>
          </cell>
          <cell r="AN49">
            <v>123.73</v>
          </cell>
          <cell r="AO49">
            <v>123.73</v>
          </cell>
          <cell r="AQ49">
            <v>0</v>
          </cell>
          <cell r="AS49">
            <v>7.29</v>
          </cell>
          <cell r="AT49">
            <v>7.73</v>
          </cell>
          <cell r="AU49">
            <v>1.03</v>
          </cell>
          <cell r="AX49">
            <v>4.5599999999999996</v>
          </cell>
          <cell r="AY49">
            <v>95.2</v>
          </cell>
          <cell r="AZ49">
            <v>0.21</v>
          </cell>
          <cell r="BA49">
            <v>0.06</v>
          </cell>
          <cell r="BB49">
            <v>0.73</v>
          </cell>
          <cell r="BC49">
            <v>1</v>
          </cell>
          <cell r="BD49">
            <v>5.52</v>
          </cell>
          <cell r="BE49">
            <v>101.22</v>
          </cell>
          <cell r="BH49">
            <v>1.21</v>
          </cell>
          <cell r="BJ49">
            <v>8.1999999999999993</v>
          </cell>
          <cell r="BL49">
            <v>14.97</v>
          </cell>
          <cell r="BM49">
            <v>3.69</v>
          </cell>
          <cell r="BN49">
            <v>7.37</v>
          </cell>
          <cell r="BO49">
            <v>9.84</v>
          </cell>
          <cell r="BP49">
            <v>21.05</v>
          </cell>
          <cell r="CS49">
            <v>40</v>
          </cell>
          <cell r="CT49">
            <v>3</v>
          </cell>
          <cell r="CV49">
            <v>5.29</v>
          </cell>
          <cell r="CW49">
            <v>5.36</v>
          </cell>
        </row>
        <row r="50">
          <cell r="B50">
            <v>12</v>
          </cell>
          <cell r="Q50">
            <v>0</v>
          </cell>
          <cell r="S50">
            <v>234.5419999999998</v>
          </cell>
          <cell r="T50">
            <v>197.24</v>
          </cell>
          <cell r="U50">
            <v>37.301999999999794</v>
          </cell>
          <cell r="AB50">
            <v>35.099999999999987</v>
          </cell>
          <cell r="AQ50">
            <v>0</v>
          </cell>
          <cell r="BC50">
            <v>0</v>
          </cell>
          <cell r="CS50">
            <v>40</v>
          </cell>
          <cell r="CT50">
            <v>3</v>
          </cell>
          <cell r="CV50">
            <v>3.74</v>
          </cell>
          <cell r="CW50">
            <v>4.72</v>
          </cell>
        </row>
        <row r="51">
          <cell r="B51">
            <v>13</v>
          </cell>
          <cell r="C51">
            <v>258.52999999999997</v>
          </cell>
          <cell r="D51">
            <v>301</v>
          </cell>
          <cell r="G51">
            <v>9.19</v>
          </cell>
          <cell r="H51">
            <v>9.19</v>
          </cell>
          <cell r="J51">
            <v>32.752992383025031</v>
          </cell>
          <cell r="L51">
            <v>8.25</v>
          </cell>
          <cell r="M51">
            <v>70.581000000000003</v>
          </cell>
          <cell r="N51">
            <v>23.448837209302326</v>
          </cell>
          <cell r="Q51">
            <v>89.69</v>
          </cell>
          <cell r="S51">
            <v>215.43299999999982</v>
          </cell>
          <cell r="T51">
            <v>178.131</v>
          </cell>
          <cell r="U51">
            <v>37.301999999999822</v>
          </cell>
          <cell r="V51">
            <v>11.15</v>
          </cell>
          <cell r="W51">
            <v>3.704318936877077</v>
          </cell>
          <cell r="Y51">
            <v>33.9</v>
          </cell>
          <cell r="AB51">
            <v>12.349999999999987</v>
          </cell>
          <cell r="AC51">
            <v>2.62</v>
          </cell>
          <cell r="AD51">
            <v>2.62</v>
          </cell>
          <cell r="AH51">
            <v>8.4</v>
          </cell>
          <cell r="AI51">
            <v>6.86</v>
          </cell>
          <cell r="AK51">
            <v>2.4900000000000002</v>
          </cell>
          <cell r="AL51">
            <v>6.4</v>
          </cell>
          <cell r="AM51">
            <v>6.91</v>
          </cell>
          <cell r="AN51">
            <v>68.3</v>
          </cell>
          <cell r="AO51">
            <v>68.3</v>
          </cell>
          <cell r="AQ51">
            <v>0</v>
          </cell>
          <cell r="AS51">
            <v>5.45</v>
          </cell>
          <cell r="AT51">
            <v>6.13</v>
          </cell>
          <cell r="AU51">
            <v>1.27</v>
          </cell>
          <cell r="AX51">
            <v>3.51</v>
          </cell>
          <cell r="AY51">
            <v>95.4</v>
          </cell>
          <cell r="AZ51">
            <v>0.19</v>
          </cell>
          <cell r="BA51">
            <v>7.0000000000000007E-2</v>
          </cell>
          <cell r="BB51">
            <v>0.74</v>
          </cell>
          <cell r="BC51">
            <v>1</v>
          </cell>
          <cell r="BD51">
            <v>4.76</v>
          </cell>
          <cell r="BE51">
            <v>142.07</v>
          </cell>
          <cell r="BH51">
            <v>1.52</v>
          </cell>
          <cell r="BJ51">
            <v>11.68</v>
          </cell>
          <cell r="BL51">
            <v>5.8</v>
          </cell>
          <cell r="BM51">
            <v>7.01</v>
          </cell>
          <cell r="BN51">
            <v>4.26</v>
          </cell>
          <cell r="BO51">
            <v>9.0500000000000007</v>
          </cell>
          <cell r="BP51">
            <v>21.69</v>
          </cell>
          <cell r="CS51">
            <v>40</v>
          </cell>
          <cell r="CT51">
            <v>3</v>
          </cell>
          <cell r="CV51">
            <v>3.1</v>
          </cell>
          <cell r="CW51">
            <v>4.7</v>
          </cell>
        </row>
        <row r="52">
          <cell r="B52">
            <v>14</v>
          </cell>
          <cell r="C52">
            <v>308.45</v>
          </cell>
          <cell r="D52">
            <v>238</v>
          </cell>
          <cell r="F52">
            <v>4.58</v>
          </cell>
          <cell r="G52">
            <v>6.45</v>
          </cell>
          <cell r="H52">
            <v>6.45</v>
          </cell>
          <cell r="J52">
            <v>36.899224806201552</v>
          </cell>
          <cell r="L52">
            <v>6.62</v>
          </cell>
          <cell r="M52">
            <v>56.331000000000003</v>
          </cell>
          <cell r="N52">
            <v>23.668487394957985</v>
          </cell>
          <cell r="Q52">
            <v>52.91</v>
          </cell>
          <cell r="S52">
            <v>218.85399999999984</v>
          </cell>
          <cell r="T52">
            <v>181.55199999999999</v>
          </cell>
          <cell r="U52">
            <v>37.30199999999985</v>
          </cell>
          <cell r="V52">
            <v>9.1300000000000008</v>
          </cell>
          <cell r="W52">
            <v>3.8361344537815132</v>
          </cell>
          <cell r="Y52">
            <v>6.43</v>
          </cell>
          <cell r="AB52">
            <v>15.04999999999999</v>
          </cell>
          <cell r="AC52">
            <v>2.61</v>
          </cell>
          <cell r="AD52">
            <v>2.63</v>
          </cell>
          <cell r="AH52">
            <v>5.2</v>
          </cell>
          <cell r="AI52">
            <v>6.98</v>
          </cell>
          <cell r="AK52">
            <v>2.57</v>
          </cell>
          <cell r="AL52">
            <v>9.8000000000000007</v>
          </cell>
          <cell r="AM52">
            <v>6.88</v>
          </cell>
          <cell r="AN52">
            <v>62.8</v>
          </cell>
          <cell r="AO52">
            <v>62.8</v>
          </cell>
          <cell r="AQ52">
            <v>0</v>
          </cell>
          <cell r="AS52">
            <v>6.42</v>
          </cell>
          <cell r="AT52">
            <v>7.1</v>
          </cell>
          <cell r="AU52">
            <v>2.31</v>
          </cell>
          <cell r="AX52">
            <v>5.9</v>
          </cell>
          <cell r="AY52">
            <v>93.33</v>
          </cell>
          <cell r="AZ52">
            <v>0.49</v>
          </cell>
          <cell r="BA52">
            <v>0.06</v>
          </cell>
          <cell r="BB52">
            <v>1</v>
          </cell>
          <cell r="BC52">
            <v>1.55</v>
          </cell>
          <cell r="BD52">
            <v>11.33</v>
          </cell>
          <cell r="BE52">
            <v>64.59</v>
          </cell>
          <cell r="BH52">
            <v>1.71</v>
          </cell>
          <cell r="BJ52">
            <v>7.64</v>
          </cell>
          <cell r="BL52">
            <v>6.06</v>
          </cell>
          <cell r="BM52">
            <v>4.75</v>
          </cell>
          <cell r="BN52">
            <v>8.76</v>
          </cell>
          <cell r="BO52">
            <v>8.42</v>
          </cell>
          <cell r="BP52">
            <v>15.46</v>
          </cell>
          <cell r="CS52">
            <v>40</v>
          </cell>
          <cell r="CT52">
            <v>3</v>
          </cell>
          <cell r="CV52">
            <v>4.7</v>
          </cell>
          <cell r="CW52">
            <v>8.9700000000000006</v>
          </cell>
        </row>
        <row r="53">
          <cell r="B53">
            <v>15</v>
          </cell>
          <cell r="C53">
            <v>337.93</v>
          </cell>
          <cell r="D53">
            <v>422</v>
          </cell>
          <cell r="F53">
            <v>4.6500000000000004</v>
          </cell>
          <cell r="G53">
            <v>10.36</v>
          </cell>
          <cell r="H53">
            <v>10.36</v>
          </cell>
          <cell r="J53">
            <v>40.733590733590738</v>
          </cell>
          <cell r="L53">
            <v>9.5</v>
          </cell>
          <cell r="M53">
            <v>97.176000000000002</v>
          </cell>
          <cell r="N53">
            <v>23.027488151658769</v>
          </cell>
          <cell r="Q53">
            <v>111.18</v>
          </cell>
          <cell r="S53">
            <v>204.84999999999985</v>
          </cell>
          <cell r="T53">
            <v>167.548</v>
          </cell>
          <cell r="U53">
            <v>37.30199999999985</v>
          </cell>
          <cell r="V53">
            <v>15.9</v>
          </cell>
          <cell r="W53">
            <v>3.7677725118483414</v>
          </cell>
          <cell r="AB53">
            <v>30.949999999999989</v>
          </cell>
          <cell r="AC53">
            <v>2.54</v>
          </cell>
          <cell r="AD53">
            <v>2.4700000000000002</v>
          </cell>
          <cell r="AH53">
            <v>12.1</v>
          </cell>
          <cell r="AI53">
            <v>7.7</v>
          </cell>
          <cell r="AK53">
            <v>2.59</v>
          </cell>
          <cell r="AN53">
            <v>84.82</v>
          </cell>
          <cell r="AO53">
            <v>84.82</v>
          </cell>
          <cell r="AQ53">
            <v>0</v>
          </cell>
          <cell r="AS53">
            <v>7.61</v>
          </cell>
          <cell r="AT53">
            <v>8.01</v>
          </cell>
          <cell r="AU53">
            <v>1.6</v>
          </cell>
          <cell r="AX53">
            <v>7.08</v>
          </cell>
          <cell r="AY53">
            <v>95.1</v>
          </cell>
          <cell r="AZ53">
            <v>0.38</v>
          </cell>
          <cell r="BA53">
            <v>0.39</v>
          </cell>
          <cell r="BB53">
            <v>1.07</v>
          </cell>
          <cell r="BC53">
            <v>1.84</v>
          </cell>
          <cell r="BD53">
            <v>6.75</v>
          </cell>
          <cell r="BE53">
            <v>92.85</v>
          </cell>
          <cell r="BH53">
            <v>1.24</v>
          </cell>
          <cell r="BJ53">
            <v>8.7200000000000006</v>
          </cell>
          <cell r="BL53">
            <v>7.33</v>
          </cell>
          <cell r="BM53">
            <v>5.78</v>
          </cell>
          <cell r="BN53">
            <v>4.47</v>
          </cell>
          <cell r="BO53">
            <v>14.25</v>
          </cell>
          <cell r="BP53">
            <v>8.7899999999999991</v>
          </cell>
          <cell r="CS53">
            <v>40</v>
          </cell>
          <cell r="CT53">
            <v>3</v>
          </cell>
          <cell r="CV53">
            <v>2.5</v>
          </cell>
          <cell r="CW53">
            <v>8.06</v>
          </cell>
        </row>
        <row r="54">
          <cell r="B54">
            <v>16</v>
          </cell>
          <cell r="Q54">
            <v>0</v>
          </cell>
          <cell r="S54">
            <v>204.84999999999985</v>
          </cell>
          <cell r="T54">
            <v>167.548</v>
          </cell>
          <cell r="U54">
            <v>37.30199999999985</v>
          </cell>
          <cell r="AB54">
            <v>30.949999999999989</v>
          </cell>
          <cell r="AQ54">
            <v>0</v>
          </cell>
          <cell r="BC54">
            <v>0</v>
          </cell>
          <cell r="CS54">
            <v>40</v>
          </cell>
          <cell r="CT54">
            <v>3</v>
          </cell>
          <cell r="CV54">
            <v>2.95</v>
          </cell>
          <cell r="CW54">
            <v>9.7899999999999991</v>
          </cell>
        </row>
        <row r="55">
          <cell r="B55">
            <v>17</v>
          </cell>
          <cell r="C55">
            <v>626.94000000000005</v>
          </cell>
          <cell r="D55">
            <v>517</v>
          </cell>
          <cell r="F55">
            <v>11.49</v>
          </cell>
          <cell r="G55">
            <v>11.66</v>
          </cell>
          <cell r="H55">
            <v>11.66</v>
          </cell>
          <cell r="J55">
            <v>44.339622641509436</v>
          </cell>
          <cell r="L55">
            <v>7.73</v>
          </cell>
          <cell r="M55">
            <v>119.292</v>
          </cell>
          <cell r="N55">
            <v>23.073887814313345</v>
          </cell>
          <cell r="Q55">
            <v>66.069999999999993</v>
          </cell>
          <cell r="S55">
            <v>258.07199999999983</v>
          </cell>
          <cell r="T55">
            <v>220.77</v>
          </cell>
          <cell r="U55">
            <v>37.301999999999822</v>
          </cell>
          <cell r="V55">
            <v>17.850000000000001</v>
          </cell>
          <cell r="W55">
            <v>3.4526112185686659</v>
          </cell>
          <cell r="Y55">
            <v>39.299999999999997</v>
          </cell>
          <cell r="AB55">
            <v>9.4999999999999929</v>
          </cell>
          <cell r="AC55">
            <v>2.4300000000000002</v>
          </cell>
          <cell r="AD55">
            <v>2.46</v>
          </cell>
          <cell r="AH55">
            <v>7.6</v>
          </cell>
          <cell r="AI55">
            <v>7.99</v>
          </cell>
          <cell r="AK55">
            <v>2.42</v>
          </cell>
          <cell r="AL55">
            <v>7.1</v>
          </cell>
          <cell r="AM55">
            <v>7.7</v>
          </cell>
          <cell r="AN55">
            <v>122.64</v>
          </cell>
          <cell r="AO55">
            <v>122.64</v>
          </cell>
          <cell r="AQ55">
            <v>0</v>
          </cell>
          <cell r="AS55">
            <v>6.14</v>
          </cell>
          <cell r="AT55">
            <v>6.17</v>
          </cell>
          <cell r="AU55">
            <v>0.83</v>
          </cell>
          <cell r="AX55">
            <v>4.07</v>
          </cell>
          <cell r="AY55">
            <v>90.9</v>
          </cell>
          <cell r="AZ55">
            <v>0.34</v>
          </cell>
          <cell r="BA55">
            <v>0.1</v>
          </cell>
          <cell r="BB55">
            <v>1.22</v>
          </cell>
          <cell r="BC55">
            <v>1.6600000000000001</v>
          </cell>
          <cell r="BD55">
            <v>6.44</v>
          </cell>
          <cell r="BE55">
            <v>78.400000000000006</v>
          </cell>
          <cell r="BH55">
            <v>1.45</v>
          </cell>
          <cell r="BJ55">
            <v>9.58</v>
          </cell>
          <cell r="BL55">
            <v>14.08</v>
          </cell>
          <cell r="BM55">
            <v>4.78</v>
          </cell>
          <cell r="BN55">
            <v>8.68</v>
          </cell>
          <cell r="BO55">
            <v>11.96</v>
          </cell>
          <cell r="BP55">
            <v>16.91</v>
          </cell>
          <cell r="CS55">
            <v>40</v>
          </cell>
          <cell r="CT55">
            <v>3</v>
          </cell>
        </row>
        <row r="56">
          <cell r="B56">
            <v>18</v>
          </cell>
          <cell r="C56">
            <v>516.29</v>
          </cell>
          <cell r="D56">
            <v>486</v>
          </cell>
          <cell r="F56">
            <v>9.06</v>
          </cell>
          <cell r="G56">
            <v>12.78</v>
          </cell>
          <cell r="H56">
            <v>12.78</v>
          </cell>
          <cell r="J56">
            <v>38.028169014084511</v>
          </cell>
          <cell r="L56">
            <v>8.0399999999999991</v>
          </cell>
          <cell r="M56">
            <v>112.352</v>
          </cell>
          <cell r="N56">
            <v>23.117695473251029</v>
          </cell>
          <cell r="Q56">
            <v>160.6</v>
          </cell>
          <cell r="S56">
            <v>209.82399999999987</v>
          </cell>
          <cell r="T56">
            <v>172.52199999999999</v>
          </cell>
          <cell r="U56">
            <v>37.301999999999879</v>
          </cell>
          <cell r="V56">
            <v>16.52</v>
          </cell>
          <cell r="W56">
            <v>3.3991769547325101</v>
          </cell>
          <cell r="Y56">
            <v>20.77</v>
          </cell>
          <cell r="AB56">
            <v>5.2499999999999929</v>
          </cell>
          <cell r="AC56">
            <v>2.38</v>
          </cell>
          <cell r="AD56">
            <v>2.38</v>
          </cell>
          <cell r="AH56">
            <v>11.2</v>
          </cell>
          <cell r="AI56">
            <v>7.12</v>
          </cell>
          <cell r="AK56">
            <v>2.4500000000000002</v>
          </cell>
          <cell r="AL56">
            <v>7.4</v>
          </cell>
          <cell r="AM56">
            <v>7.6</v>
          </cell>
          <cell r="AN56">
            <v>115.5</v>
          </cell>
          <cell r="AO56">
            <v>115.5</v>
          </cell>
          <cell r="AQ56">
            <v>0</v>
          </cell>
          <cell r="AS56">
            <v>7.28</v>
          </cell>
          <cell r="AT56">
            <v>6.76</v>
          </cell>
          <cell r="AU56">
            <v>1.23</v>
          </cell>
          <cell r="AX56">
            <v>4.8600000000000003</v>
          </cell>
          <cell r="AY56">
            <v>94.4</v>
          </cell>
          <cell r="AZ56">
            <v>0.55000000000000004</v>
          </cell>
          <cell r="BA56">
            <v>0.06</v>
          </cell>
          <cell r="BB56">
            <v>1.65</v>
          </cell>
          <cell r="BC56">
            <v>2.2599999999999998</v>
          </cell>
          <cell r="BD56">
            <v>6.85</v>
          </cell>
          <cell r="BE56">
            <v>76.959999999999994</v>
          </cell>
          <cell r="BH56">
            <v>1.49</v>
          </cell>
          <cell r="BJ56">
            <v>10.1</v>
          </cell>
          <cell r="BL56">
            <v>11.29</v>
          </cell>
          <cell r="BM56">
            <v>5.38</v>
          </cell>
          <cell r="BN56">
            <v>4.83</v>
          </cell>
          <cell r="BO56">
            <v>12.5</v>
          </cell>
          <cell r="BP56">
            <v>15.72</v>
          </cell>
          <cell r="CS56">
            <v>40</v>
          </cell>
          <cell r="CT56">
            <v>3</v>
          </cell>
          <cell r="CV56">
            <v>3.74</v>
          </cell>
          <cell r="CW56">
            <v>7.45</v>
          </cell>
        </row>
        <row r="57">
          <cell r="B57">
            <v>19</v>
          </cell>
          <cell r="C57">
            <v>360.51</v>
          </cell>
          <cell r="D57">
            <v>406</v>
          </cell>
          <cell r="F57">
            <v>11.71</v>
          </cell>
          <cell r="G57">
            <v>5.0599999999999996</v>
          </cell>
          <cell r="H57">
            <v>11.71</v>
          </cell>
          <cell r="J57">
            <v>34.671221178479932</v>
          </cell>
          <cell r="L57">
            <v>6.89</v>
          </cell>
          <cell r="M57">
            <v>89.364999999999995</v>
          </cell>
          <cell r="N57">
            <v>22.011083743842363</v>
          </cell>
          <cell r="Q57">
            <v>153.08000000000001</v>
          </cell>
          <cell r="S57">
            <v>146.10899999999984</v>
          </cell>
          <cell r="T57">
            <v>108.807</v>
          </cell>
          <cell r="U57">
            <v>37.301999999999836</v>
          </cell>
          <cell r="V57">
            <v>15.14</v>
          </cell>
          <cell r="W57">
            <v>3.729064039408867</v>
          </cell>
          <cell r="Y57">
            <v>18.34</v>
          </cell>
          <cell r="AB57">
            <v>2.0499999999999936</v>
          </cell>
          <cell r="AC57">
            <v>2.77</v>
          </cell>
          <cell r="AD57">
            <v>2.72</v>
          </cell>
          <cell r="AH57">
            <v>8.6</v>
          </cell>
          <cell r="AI57">
            <v>7.72</v>
          </cell>
          <cell r="AK57">
            <v>2.35</v>
          </cell>
          <cell r="AL57">
            <v>7.7</v>
          </cell>
          <cell r="AM57">
            <v>7.14</v>
          </cell>
          <cell r="AN57">
            <v>88.22</v>
          </cell>
          <cell r="AO57">
            <v>88.22</v>
          </cell>
          <cell r="AQ57">
            <v>0</v>
          </cell>
          <cell r="AS57">
            <v>6.77</v>
          </cell>
          <cell r="AT57">
            <v>5.84</v>
          </cell>
          <cell r="AU57">
            <v>2.1</v>
          </cell>
          <cell r="AX57">
            <v>3.96</v>
          </cell>
          <cell r="AY57">
            <v>91.87</v>
          </cell>
          <cell r="AZ57">
            <v>0.78</v>
          </cell>
          <cell r="BA57">
            <v>0.06</v>
          </cell>
          <cell r="BB57">
            <v>1.03</v>
          </cell>
          <cell r="BC57">
            <v>1.87</v>
          </cell>
          <cell r="BD57">
            <v>7.13</v>
          </cell>
          <cell r="BE57">
            <v>114.82</v>
          </cell>
          <cell r="BH57">
            <v>1.43</v>
          </cell>
          <cell r="BJ57">
            <v>14.17</v>
          </cell>
          <cell r="BL57">
            <v>8.56</v>
          </cell>
          <cell r="BM57">
            <v>6.19</v>
          </cell>
          <cell r="BN57">
            <v>4.88</v>
          </cell>
          <cell r="BO57">
            <v>7.94</v>
          </cell>
          <cell r="BP57">
            <v>17.02</v>
          </cell>
          <cell r="CS57">
            <v>40</v>
          </cell>
          <cell r="CT57">
            <v>3</v>
          </cell>
          <cell r="CV57">
            <v>4</v>
          </cell>
          <cell r="CW57">
            <v>7.59</v>
          </cell>
        </row>
        <row r="58">
          <cell r="B58">
            <v>20</v>
          </cell>
          <cell r="C58">
            <v>539.62</v>
          </cell>
          <cell r="D58">
            <v>563</v>
          </cell>
          <cell r="F58">
            <v>9.57</v>
          </cell>
          <cell r="G58">
            <v>13.82</v>
          </cell>
          <cell r="H58">
            <v>13.82</v>
          </cell>
          <cell r="J58">
            <v>40.738060781476122</v>
          </cell>
          <cell r="L58">
            <v>7.55</v>
          </cell>
          <cell r="M58">
            <v>124.744</v>
          </cell>
          <cell r="N58">
            <v>22.157015985790409</v>
          </cell>
          <cell r="Q58">
            <v>103.8</v>
          </cell>
          <cell r="S58">
            <v>167.05299999999983</v>
          </cell>
          <cell r="T58">
            <v>129.751</v>
          </cell>
          <cell r="U58">
            <v>37.301999999999822</v>
          </cell>
          <cell r="V58">
            <v>21.32</v>
          </cell>
          <cell r="W58">
            <v>3.7868561278863231</v>
          </cell>
          <cell r="Y58">
            <v>13.52</v>
          </cell>
          <cell r="AB58">
            <v>9.8499999999999943</v>
          </cell>
          <cell r="AC58">
            <v>2.95</v>
          </cell>
          <cell r="AD58">
            <v>2.92</v>
          </cell>
          <cell r="AH58">
            <v>7.6</v>
          </cell>
          <cell r="AI58">
            <v>7.5</v>
          </cell>
          <cell r="AK58">
            <v>2.67</v>
          </cell>
          <cell r="AL58">
            <v>5.25</v>
          </cell>
          <cell r="AM58">
            <v>7.74</v>
          </cell>
          <cell r="AN58">
            <v>123.65</v>
          </cell>
          <cell r="AO58">
            <v>111.23</v>
          </cell>
          <cell r="AQ58">
            <v>12.420000000000002</v>
          </cell>
          <cell r="AS58">
            <v>5.99</v>
          </cell>
          <cell r="AT58">
            <v>7.36</v>
          </cell>
          <cell r="AU58">
            <v>1.89</v>
          </cell>
          <cell r="AX58">
            <v>4.49</v>
          </cell>
          <cell r="AY58">
            <v>93.06</v>
          </cell>
          <cell r="AZ58">
            <v>0.3</v>
          </cell>
          <cell r="BA58">
            <v>0.39</v>
          </cell>
          <cell r="BB58">
            <v>0.68</v>
          </cell>
          <cell r="BC58">
            <v>1.37</v>
          </cell>
          <cell r="BD58">
            <v>7.45</v>
          </cell>
          <cell r="BE58">
            <v>93.09</v>
          </cell>
          <cell r="BH58">
            <v>1.31</v>
          </cell>
          <cell r="BJ58">
            <v>8.93</v>
          </cell>
          <cell r="BL58">
            <v>9.92</v>
          </cell>
          <cell r="BM58">
            <v>4.7699999999999996</v>
          </cell>
          <cell r="BN58">
            <v>7.43</v>
          </cell>
          <cell r="BO58">
            <v>11.71</v>
          </cell>
          <cell r="BP58">
            <v>35.299999999999997</v>
          </cell>
          <cell r="CS58">
            <v>40</v>
          </cell>
          <cell r="CT58">
            <v>3</v>
          </cell>
          <cell r="CV58">
            <v>4.1900000000000004</v>
          </cell>
          <cell r="CW58">
            <v>8.26</v>
          </cell>
        </row>
        <row r="59">
          <cell r="B59">
            <v>21</v>
          </cell>
          <cell r="C59">
            <v>494.53</v>
          </cell>
          <cell r="D59">
            <v>589</v>
          </cell>
          <cell r="F59">
            <v>11.75</v>
          </cell>
          <cell r="G59">
            <v>12.42</v>
          </cell>
          <cell r="H59">
            <v>12.42</v>
          </cell>
          <cell r="J59">
            <v>47.423510466988731</v>
          </cell>
          <cell r="L59">
            <v>8.86</v>
          </cell>
          <cell r="M59">
            <v>129.726</v>
          </cell>
          <cell r="N59">
            <v>22.02478777589134</v>
          </cell>
          <cell r="Q59">
            <v>75.03</v>
          </cell>
          <cell r="S59">
            <v>221.74899999999982</v>
          </cell>
          <cell r="T59">
            <v>184.447</v>
          </cell>
          <cell r="U59">
            <v>37.301999999999822</v>
          </cell>
          <cell r="V59">
            <v>21.06</v>
          </cell>
          <cell r="W59">
            <v>3.5755517826825125</v>
          </cell>
          <cell r="Y59">
            <v>20.11</v>
          </cell>
          <cell r="AB59">
            <v>10.799999999999994</v>
          </cell>
          <cell r="AC59">
            <v>2.97</v>
          </cell>
          <cell r="AD59">
            <v>2.88</v>
          </cell>
          <cell r="AH59">
            <v>5</v>
          </cell>
          <cell r="AI59">
            <v>6.91</v>
          </cell>
          <cell r="AK59">
            <v>2.91</v>
          </cell>
          <cell r="AL59">
            <v>4.3</v>
          </cell>
          <cell r="AM59">
            <v>7.5</v>
          </cell>
          <cell r="AN59">
            <v>137.76</v>
          </cell>
          <cell r="AO59">
            <v>150.18</v>
          </cell>
          <cell r="AQ59">
            <v>0</v>
          </cell>
          <cell r="AS59">
            <v>8.68</v>
          </cell>
          <cell r="AT59">
            <v>7.55</v>
          </cell>
          <cell r="AU59">
            <v>1.79</v>
          </cell>
          <cell r="AX59">
            <v>5.0999999999999996</v>
          </cell>
          <cell r="AY59">
            <v>92.8</v>
          </cell>
          <cell r="AZ59">
            <v>0.51</v>
          </cell>
          <cell r="BA59">
            <v>0.22</v>
          </cell>
          <cell r="BB59">
            <v>0.6</v>
          </cell>
          <cell r="BC59">
            <v>1.33</v>
          </cell>
          <cell r="BD59">
            <v>7.33</v>
          </cell>
          <cell r="BE59">
            <v>63.16</v>
          </cell>
          <cell r="BH59">
            <v>1.25</v>
          </cell>
          <cell r="BJ59">
            <v>14.26</v>
          </cell>
          <cell r="BL59">
            <v>17.11</v>
          </cell>
          <cell r="BM59">
            <v>7</v>
          </cell>
          <cell r="BN59">
            <v>5.34</v>
          </cell>
          <cell r="BO59">
            <v>10.93</v>
          </cell>
          <cell r="BP59">
            <v>31.34</v>
          </cell>
          <cell r="CS59">
            <v>40</v>
          </cell>
          <cell r="CT59">
            <v>3</v>
          </cell>
          <cell r="CV59">
            <v>3.61</v>
          </cell>
          <cell r="CW59">
            <v>8.59</v>
          </cell>
        </row>
        <row r="60">
          <cell r="B60">
            <v>22</v>
          </cell>
          <cell r="C60">
            <v>601.61</v>
          </cell>
          <cell r="D60">
            <v>605</v>
          </cell>
          <cell r="F60">
            <v>9.4600000000000009</v>
          </cell>
          <cell r="G60">
            <v>14.74</v>
          </cell>
          <cell r="H60">
            <v>14.74</v>
          </cell>
          <cell r="J60">
            <v>41.044776119402982</v>
          </cell>
          <cell r="L60">
            <v>9.49</v>
          </cell>
          <cell r="M60">
            <v>137.94</v>
          </cell>
          <cell r="N60">
            <v>22.8</v>
          </cell>
          <cell r="Q60">
            <v>167.05</v>
          </cell>
          <cell r="S60">
            <v>192.63899999999984</v>
          </cell>
          <cell r="T60">
            <v>155.33699999999999</v>
          </cell>
          <cell r="U60">
            <v>37.30199999999985</v>
          </cell>
          <cell r="V60">
            <v>22.99</v>
          </cell>
          <cell r="W60">
            <v>3.8</v>
          </cell>
          <cell r="Y60">
            <v>13.45</v>
          </cell>
          <cell r="AB60">
            <v>20.339999999999993</v>
          </cell>
          <cell r="AC60">
            <v>2.65</v>
          </cell>
          <cell r="AD60">
            <v>2.4700000000000002</v>
          </cell>
          <cell r="AH60">
            <v>4.2</v>
          </cell>
          <cell r="AI60">
            <v>6.39</v>
          </cell>
          <cell r="AK60">
            <v>2.83</v>
          </cell>
          <cell r="AL60">
            <v>5.8</v>
          </cell>
          <cell r="AM60">
            <v>6.91</v>
          </cell>
          <cell r="AN60">
            <v>140</v>
          </cell>
          <cell r="AO60">
            <v>140</v>
          </cell>
          <cell r="AQ60">
            <v>0</v>
          </cell>
          <cell r="AS60">
            <v>6.8</v>
          </cell>
          <cell r="AT60">
            <v>7.32</v>
          </cell>
          <cell r="AU60">
            <v>1.54</v>
          </cell>
          <cell r="AX60">
            <v>4.32</v>
          </cell>
          <cell r="AY60">
            <v>92.6</v>
          </cell>
          <cell r="AZ60">
            <v>0.19</v>
          </cell>
          <cell r="BA60">
            <v>0.44</v>
          </cell>
          <cell r="BB60">
            <v>0.71</v>
          </cell>
          <cell r="BC60">
            <v>1.3399999999999999</v>
          </cell>
          <cell r="BD60">
            <v>7.94</v>
          </cell>
          <cell r="BE60">
            <v>66.09</v>
          </cell>
          <cell r="BH60">
            <v>1.36</v>
          </cell>
          <cell r="BJ60">
            <v>6.5</v>
          </cell>
          <cell r="BL60">
            <v>9.0399999999999991</v>
          </cell>
          <cell r="BM60">
            <v>7.14</v>
          </cell>
          <cell r="BN60">
            <v>6.25</v>
          </cell>
          <cell r="BO60">
            <v>13.37</v>
          </cell>
          <cell r="BP60">
            <v>28.04</v>
          </cell>
          <cell r="CS60">
            <v>40</v>
          </cell>
          <cell r="CT60">
            <v>3</v>
          </cell>
        </row>
        <row r="61">
          <cell r="B61">
            <v>23</v>
          </cell>
          <cell r="Q61">
            <v>0</v>
          </cell>
          <cell r="S61">
            <v>192.63899999999984</v>
          </cell>
          <cell r="T61">
            <v>155.33699999999999</v>
          </cell>
          <cell r="U61">
            <v>37.30199999999985</v>
          </cell>
          <cell r="W61" t="e">
            <v>#DIV/0!</v>
          </cell>
          <cell r="AB61">
            <v>20.339999999999993</v>
          </cell>
          <cell r="AQ61">
            <v>0</v>
          </cell>
          <cell r="CS61">
            <v>40</v>
          </cell>
          <cell r="CT61">
            <v>3</v>
          </cell>
          <cell r="CV61">
            <v>7.13</v>
          </cell>
          <cell r="CW61">
            <v>8.92</v>
          </cell>
        </row>
        <row r="62">
          <cell r="B62">
            <v>24</v>
          </cell>
          <cell r="C62">
            <v>580.03</v>
          </cell>
          <cell r="D62">
            <v>488</v>
          </cell>
          <cell r="F62">
            <v>9.84</v>
          </cell>
          <cell r="G62">
            <v>10.8</v>
          </cell>
          <cell r="H62">
            <v>10.8</v>
          </cell>
          <cell r="I62">
            <v>1.25</v>
          </cell>
          <cell r="J62">
            <v>45.185185185185183</v>
          </cell>
          <cell r="L62">
            <v>7.82</v>
          </cell>
          <cell r="M62">
            <v>113.70699999999999</v>
          </cell>
          <cell r="N62">
            <v>23.300614754098358</v>
          </cell>
          <cell r="Q62">
            <v>111.39</v>
          </cell>
          <cell r="S62">
            <v>194.95599999999985</v>
          </cell>
          <cell r="T62">
            <v>157.654</v>
          </cell>
          <cell r="U62">
            <v>37.30199999999985</v>
          </cell>
          <cell r="V62">
            <v>18.96</v>
          </cell>
          <cell r="W62">
            <v>3.8852459016393439</v>
          </cell>
          <cell r="Y62">
            <v>32.1</v>
          </cell>
          <cell r="AB62">
            <v>7.1999999999999957</v>
          </cell>
          <cell r="AC62">
            <v>2.67</v>
          </cell>
          <cell r="AD62">
            <v>2.65</v>
          </cell>
          <cell r="AH62">
            <v>10.4</v>
          </cell>
          <cell r="AI62">
            <v>7.49</v>
          </cell>
          <cell r="AK62">
            <v>2.7</v>
          </cell>
          <cell r="AL62">
            <v>6.3</v>
          </cell>
          <cell r="AM62">
            <v>7.18</v>
          </cell>
          <cell r="AN62">
            <v>120.64</v>
          </cell>
          <cell r="AO62">
            <v>120.64</v>
          </cell>
          <cell r="AQ62">
            <v>0</v>
          </cell>
          <cell r="AS62">
            <v>7.23</v>
          </cell>
          <cell r="AT62">
            <v>6.15</v>
          </cell>
          <cell r="AU62">
            <v>0.3</v>
          </cell>
          <cell r="AX62">
            <v>2.91</v>
          </cell>
          <cell r="AY62">
            <v>93.67</v>
          </cell>
          <cell r="AZ62">
            <v>0.53</v>
          </cell>
          <cell r="BA62">
            <v>0.24</v>
          </cell>
          <cell r="BB62">
            <v>0.65</v>
          </cell>
          <cell r="BC62">
            <v>1.42</v>
          </cell>
          <cell r="BD62">
            <v>7.5</v>
          </cell>
          <cell r="BE62">
            <v>99.44</v>
          </cell>
          <cell r="BH62">
            <v>1.43</v>
          </cell>
          <cell r="BJ62">
            <v>11.32</v>
          </cell>
          <cell r="BL62">
            <v>5.49</v>
          </cell>
          <cell r="BM62">
            <v>5.46</v>
          </cell>
          <cell r="BN62">
            <v>9.56</v>
          </cell>
          <cell r="BO62">
            <v>19.71</v>
          </cell>
          <cell r="BP62">
            <v>13.86</v>
          </cell>
          <cell r="CS62">
            <v>40</v>
          </cell>
          <cell r="CT62">
            <v>3</v>
          </cell>
          <cell r="CV62">
            <v>6.86</v>
          </cell>
          <cell r="CW62">
            <v>7.1</v>
          </cell>
        </row>
        <row r="63">
          <cell r="B63">
            <v>25</v>
          </cell>
          <cell r="C63">
            <v>320.54000000000002</v>
          </cell>
          <cell r="D63">
            <v>387</v>
          </cell>
          <cell r="F63">
            <v>3.61</v>
          </cell>
          <cell r="G63">
            <v>10.66</v>
          </cell>
          <cell r="H63">
            <v>10.66</v>
          </cell>
          <cell r="J63">
            <v>36.303939962476548</v>
          </cell>
          <cell r="L63">
            <v>9.4499999999999993</v>
          </cell>
          <cell r="M63">
            <v>90.168999999999997</v>
          </cell>
          <cell r="N63">
            <v>23.299483204134365</v>
          </cell>
          <cell r="Q63">
            <v>119.8</v>
          </cell>
          <cell r="S63">
            <v>165.32499999999982</v>
          </cell>
          <cell r="T63">
            <v>128.023</v>
          </cell>
          <cell r="U63">
            <v>37.301999999999822</v>
          </cell>
          <cell r="V63">
            <v>15.247999999999999</v>
          </cell>
          <cell r="W63">
            <v>3.9400516795865634</v>
          </cell>
          <cell r="Y63">
            <v>13.11</v>
          </cell>
          <cell r="AB63">
            <v>9.3379999999999939</v>
          </cell>
          <cell r="AC63">
            <v>2.41</v>
          </cell>
          <cell r="AD63">
            <v>2.4700000000000002</v>
          </cell>
          <cell r="AH63">
            <v>5.6</v>
          </cell>
          <cell r="AI63">
            <v>7.5</v>
          </cell>
          <cell r="AK63">
            <v>2.57</v>
          </cell>
          <cell r="AL63">
            <v>8.8000000000000007</v>
          </cell>
          <cell r="AM63">
            <v>7.49</v>
          </cell>
          <cell r="AN63">
            <v>100.87</v>
          </cell>
          <cell r="AO63">
            <v>100.87</v>
          </cell>
          <cell r="AQ63">
            <v>0</v>
          </cell>
          <cell r="AS63">
            <v>5.35</v>
          </cell>
          <cell r="AT63">
            <v>4.6500000000000004</v>
          </cell>
          <cell r="AU63">
            <v>0.98</v>
          </cell>
          <cell r="AX63">
            <v>2.97</v>
          </cell>
          <cell r="AY63">
            <v>94.57</v>
          </cell>
          <cell r="AZ63">
            <v>0.35</v>
          </cell>
          <cell r="BA63">
            <v>0.74</v>
          </cell>
          <cell r="BB63">
            <v>0.98</v>
          </cell>
          <cell r="BC63">
            <v>2.0699999999999998</v>
          </cell>
          <cell r="BD63">
            <v>8.83</v>
          </cell>
          <cell r="BE63">
            <v>80.81</v>
          </cell>
          <cell r="BH63">
            <v>1.37</v>
          </cell>
          <cell r="BJ63">
            <v>8.98</v>
          </cell>
          <cell r="BL63">
            <v>8.1999999999999993</v>
          </cell>
          <cell r="BM63">
            <v>5.6</v>
          </cell>
          <cell r="BN63">
            <v>6.46</v>
          </cell>
          <cell r="BO63">
            <v>10.4</v>
          </cell>
          <cell r="BP63">
            <v>40.69</v>
          </cell>
          <cell r="CS63">
            <v>40</v>
          </cell>
          <cell r="CT63">
            <v>3</v>
          </cell>
          <cell r="CV63">
            <v>6.06</v>
          </cell>
          <cell r="CW63">
            <v>13.35</v>
          </cell>
        </row>
        <row r="64">
          <cell r="B64">
            <v>26</v>
          </cell>
          <cell r="C64">
            <v>220</v>
          </cell>
          <cell r="D64">
            <v>237</v>
          </cell>
          <cell r="F64">
            <v>3.87</v>
          </cell>
          <cell r="G64">
            <v>6.58</v>
          </cell>
          <cell r="H64">
            <v>6.58</v>
          </cell>
          <cell r="J64">
            <v>36.018237082066868</v>
          </cell>
          <cell r="L64">
            <v>15.81</v>
          </cell>
          <cell r="M64">
            <v>55.457999999999998</v>
          </cell>
          <cell r="N64">
            <v>23.4</v>
          </cell>
          <cell r="Q64">
            <v>0</v>
          </cell>
          <cell r="S64">
            <v>220.78299999999982</v>
          </cell>
          <cell r="T64">
            <v>183.48099999999999</v>
          </cell>
          <cell r="U64">
            <v>37.301999999999822</v>
          </cell>
          <cell r="V64">
            <v>9.7170000000000005</v>
          </cell>
          <cell r="W64">
            <v>4.1000000000000005</v>
          </cell>
          <cell r="Y64">
            <v>13.5</v>
          </cell>
          <cell r="AB64">
            <v>5.5549999999999926</v>
          </cell>
          <cell r="AC64">
            <v>2.31</v>
          </cell>
          <cell r="AD64">
            <v>2.44</v>
          </cell>
          <cell r="AH64">
            <v>5.4</v>
          </cell>
          <cell r="AI64">
            <v>6.51</v>
          </cell>
          <cell r="AL64">
            <v>6.3</v>
          </cell>
          <cell r="AM64">
            <v>7.51</v>
          </cell>
          <cell r="AN64">
            <v>52.38</v>
          </cell>
          <cell r="AO64">
            <v>52.38</v>
          </cell>
          <cell r="AQ64">
            <v>0</v>
          </cell>
          <cell r="AS64">
            <v>4.05</v>
          </cell>
          <cell r="AT64">
            <v>4.18</v>
          </cell>
          <cell r="AU64">
            <v>0.83</v>
          </cell>
          <cell r="AX64">
            <v>3.79</v>
          </cell>
          <cell r="AY64">
            <v>91.1</v>
          </cell>
          <cell r="AZ64">
            <v>0.48</v>
          </cell>
          <cell r="BA64">
            <v>0.26</v>
          </cell>
          <cell r="BB64">
            <v>1.01</v>
          </cell>
          <cell r="BC64">
            <v>1.75</v>
          </cell>
          <cell r="BD64">
            <v>6.4</v>
          </cell>
          <cell r="BE64">
            <v>175.28</v>
          </cell>
          <cell r="BH64">
            <v>1.44</v>
          </cell>
          <cell r="BJ64">
            <v>7.41</v>
          </cell>
          <cell r="BL64">
            <v>10.67</v>
          </cell>
          <cell r="BM64">
            <v>5.93</v>
          </cell>
          <cell r="BN64">
            <v>5.6</v>
          </cell>
          <cell r="BO64">
            <v>20.53</v>
          </cell>
          <cell r="BP64">
            <v>6.94</v>
          </cell>
          <cell r="CS64">
            <v>40</v>
          </cell>
          <cell r="CT64">
            <v>3</v>
          </cell>
          <cell r="CV64">
            <v>3.72</v>
          </cell>
          <cell r="CW64">
            <v>8.6199999999999992</v>
          </cell>
        </row>
        <row r="65">
          <cell r="B65">
            <v>27</v>
          </cell>
          <cell r="C65">
            <v>257.02999999999997</v>
          </cell>
          <cell r="D65">
            <v>238</v>
          </cell>
          <cell r="F65">
            <v>2.84</v>
          </cell>
          <cell r="G65">
            <v>6.33</v>
          </cell>
          <cell r="H65">
            <v>6.33</v>
          </cell>
          <cell r="J65">
            <v>37.598736176935226</v>
          </cell>
          <cell r="L65">
            <v>13.87</v>
          </cell>
          <cell r="M65">
            <v>55.976999999999997</v>
          </cell>
          <cell r="N65">
            <v>23.519747899159661</v>
          </cell>
          <cell r="Q65">
            <v>116.25</v>
          </cell>
          <cell r="S65">
            <v>129.20799999999983</v>
          </cell>
          <cell r="T65">
            <v>129.208</v>
          </cell>
          <cell r="V65">
            <v>9.8059999999999992</v>
          </cell>
          <cell r="W65">
            <v>4.1201680672268903</v>
          </cell>
          <cell r="Y65">
            <v>6.84</v>
          </cell>
          <cell r="AB65">
            <v>8.5209999999999919</v>
          </cell>
          <cell r="AC65">
            <v>2.2599999999999998</v>
          </cell>
          <cell r="AD65">
            <v>2.34</v>
          </cell>
          <cell r="AH65">
            <v>6.2</v>
          </cell>
          <cell r="AI65">
            <v>7.41</v>
          </cell>
          <cell r="AK65">
            <v>2.44</v>
          </cell>
          <cell r="AL65">
            <v>3.4</v>
          </cell>
          <cell r="AM65">
            <v>6.51</v>
          </cell>
          <cell r="AN65">
            <v>53.34</v>
          </cell>
          <cell r="AO65">
            <v>53.34</v>
          </cell>
          <cell r="AQ65">
            <v>0</v>
          </cell>
          <cell r="AS65">
            <v>6.83</v>
          </cell>
          <cell r="AT65">
            <v>5.62</v>
          </cell>
          <cell r="AU65">
            <v>1.39</v>
          </cell>
          <cell r="AX65">
            <v>4.88</v>
          </cell>
          <cell r="AY65">
            <v>95</v>
          </cell>
          <cell r="AZ65">
            <v>0.26</v>
          </cell>
          <cell r="BA65">
            <v>0.21</v>
          </cell>
          <cell r="BB65">
            <v>0.54</v>
          </cell>
          <cell r="BC65">
            <v>1.01</v>
          </cell>
          <cell r="BD65">
            <v>5.47</v>
          </cell>
          <cell r="BE65">
            <v>227.81</v>
          </cell>
          <cell r="BH65">
            <v>1.67</v>
          </cell>
          <cell r="BJ65">
            <v>21.11</v>
          </cell>
          <cell r="BL65">
            <v>5.2</v>
          </cell>
          <cell r="BM65">
            <v>7.12</v>
          </cell>
          <cell r="BN65">
            <v>2.75</v>
          </cell>
          <cell r="BO65">
            <v>18.440000000000001</v>
          </cell>
          <cell r="BP65">
            <v>9.02</v>
          </cell>
          <cell r="CS65">
            <v>40</v>
          </cell>
          <cell r="CT65">
            <v>3</v>
          </cell>
          <cell r="CV65">
            <v>5.1100000000000003</v>
          </cell>
          <cell r="CW65">
            <v>8.89</v>
          </cell>
        </row>
        <row r="66">
          <cell r="B66">
            <v>28</v>
          </cell>
          <cell r="C66">
            <v>335.11</v>
          </cell>
          <cell r="D66">
            <v>289</v>
          </cell>
          <cell r="F66">
            <v>5.14</v>
          </cell>
          <cell r="G66">
            <v>6.86</v>
          </cell>
          <cell r="H66">
            <v>6.86</v>
          </cell>
          <cell r="J66">
            <v>42.128279883381921</v>
          </cell>
          <cell r="L66">
            <v>12.67</v>
          </cell>
          <cell r="M66">
            <v>68.481999999999999</v>
          </cell>
          <cell r="N66">
            <v>23.696193771626298</v>
          </cell>
          <cell r="Q66">
            <v>53.85</v>
          </cell>
          <cell r="S66">
            <v>143.83999999999983</v>
          </cell>
          <cell r="T66">
            <v>143.83999999999983</v>
          </cell>
          <cell r="V66">
            <v>11.965</v>
          </cell>
          <cell r="W66">
            <v>4.1401384083044981</v>
          </cell>
          <cell r="AB66">
            <v>20.48599999999999</v>
          </cell>
          <cell r="AC66">
            <v>2.3199999999999998</v>
          </cell>
          <cell r="AD66">
            <v>2.2200000000000002</v>
          </cell>
          <cell r="AH66">
            <v>7.6</v>
          </cell>
          <cell r="AI66">
            <v>7.28</v>
          </cell>
          <cell r="AK66">
            <v>2.3199999999999998</v>
          </cell>
          <cell r="AN66">
            <v>61.66</v>
          </cell>
          <cell r="AO66">
            <v>61.66</v>
          </cell>
          <cell r="AQ66">
            <v>0</v>
          </cell>
          <cell r="AS66">
            <v>4.91</v>
          </cell>
          <cell r="AT66">
            <v>4.87</v>
          </cell>
          <cell r="AU66">
            <v>0.77</v>
          </cell>
          <cell r="AX66">
            <v>4.8600000000000003</v>
          </cell>
          <cell r="AY66">
            <v>94.65</v>
          </cell>
          <cell r="AZ66">
            <v>0.19</v>
          </cell>
          <cell r="BA66">
            <v>0.17</v>
          </cell>
          <cell r="BB66">
            <v>0.97</v>
          </cell>
          <cell r="BC66">
            <v>1.33</v>
          </cell>
          <cell r="BD66">
            <v>5.33</v>
          </cell>
          <cell r="BE66">
            <v>203.81</v>
          </cell>
          <cell r="BH66">
            <v>1.43</v>
          </cell>
          <cell r="BJ66">
            <v>9.42</v>
          </cell>
          <cell r="BL66">
            <v>4.97</v>
          </cell>
          <cell r="BM66">
            <v>9.5</v>
          </cell>
          <cell r="BN66">
            <v>2.4</v>
          </cell>
          <cell r="BO66">
            <v>16</v>
          </cell>
          <cell r="BP66">
            <v>7.36</v>
          </cell>
          <cell r="CS66">
            <v>40</v>
          </cell>
          <cell r="CT66">
            <v>3</v>
          </cell>
          <cell r="CV66">
            <v>4.4800000000000004</v>
          </cell>
          <cell r="CW66">
            <v>10.26</v>
          </cell>
        </row>
        <row r="67">
          <cell r="B67">
            <v>29</v>
          </cell>
          <cell r="J67" t="e">
            <v>#DIV/0!</v>
          </cell>
          <cell r="N67" t="e">
            <v>#DIV/0!</v>
          </cell>
          <cell r="Q67">
            <v>0</v>
          </cell>
          <cell r="S67">
            <v>143.83999999999983</v>
          </cell>
          <cell r="T67">
            <v>143.83999999999983</v>
          </cell>
          <cell r="W67" t="e">
            <v>#DIV/0!</v>
          </cell>
          <cell r="AB67">
            <v>20.48599999999999</v>
          </cell>
          <cell r="AQ67">
            <v>0</v>
          </cell>
          <cell r="BC67">
            <v>0</v>
          </cell>
          <cell r="CS67">
            <v>40</v>
          </cell>
          <cell r="CT67">
            <v>3</v>
          </cell>
        </row>
        <row r="68">
          <cell r="B68">
            <v>30</v>
          </cell>
          <cell r="J68" t="e">
            <v>#DIV/0!</v>
          </cell>
          <cell r="N68" t="e">
            <v>#DIV/0!</v>
          </cell>
          <cell r="Q68">
            <v>0</v>
          </cell>
          <cell r="S68">
            <v>143.83999999999983</v>
          </cell>
          <cell r="T68">
            <v>143.83999999999983</v>
          </cell>
          <cell r="W68" t="e">
            <v>#DIV/0!</v>
          </cell>
          <cell r="AB68">
            <v>20.48599999999999</v>
          </cell>
          <cell r="AQ68">
            <v>0</v>
          </cell>
          <cell r="BC68">
            <v>0</v>
          </cell>
          <cell r="CS68">
            <v>40</v>
          </cell>
          <cell r="CT68">
            <v>3</v>
          </cell>
        </row>
        <row r="69">
          <cell r="B69">
            <v>31</v>
          </cell>
          <cell r="J69" t="e">
            <v>#DIV/0!</v>
          </cell>
          <cell r="N69" t="e">
            <v>#DIV/0!</v>
          </cell>
          <cell r="Q69">
            <v>0</v>
          </cell>
          <cell r="S69">
            <v>143.83999999999983</v>
          </cell>
          <cell r="T69">
            <v>143.83999999999983</v>
          </cell>
          <cell r="W69" t="e">
            <v>#DIV/0!</v>
          </cell>
          <cell r="AB69">
            <v>20.48599999999999</v>
          </cell>
          <cell r="AQ69">
            <v>0</v>
          </cell>
          <cell r="BC69">
            <v>0</v>
          </cell>
          <cell r="CS69">
            <v>40</v>
          </cell>
          <cell r="CT69">
            <v>3</v>
          </cell>
        </row>
        <row r="70">
          <cell r="B70" t="str">
            <v>MAR/1</v>
          </cell>
          <cell r="C70">
            <v>237.67</v>
          </cell>
          <cell r="D70">
            <v>297</v>
          </cell>
          <cell r="F70">
            <v>5.79</v>
          </cell>
          <cell r="G70">
            <v>6.56</v>
          </cell>
          <cell r="H70">
            <v>6.56</v>
          </cell>
          <cell r="J70">
            <v>45.274390243902445</v>
          </cell>
          <cell r="L70">
            <v>12.13</v>
          </cell>
          <cell r="M70">
            <v>68.576999999999998</v>
          </cell>
          <cell r="N70">
            <v>23.089898989898987</v>
          </cell>
          <cell r="Q70">
            <v>74.98</v>
          </cell>
          <cell r="S70">
            <v>137.43699999999984</v>
          </cell>
          <cell r="T70">
            <v>137.43699999999984</v>
          </cell>
          <cell r="V70">
            <v>12.148</v>
          </cell>
          <cell r="W70">
            <v>4.0902356902356898</v>
          </cell>
          <cell r="AB70">
            <v>32.633999999999986</v>
          </cell>
          <cell r="AC70">
            <v>1.87</v>
          </cell>
          <cell r="AD70">
            <v>2.0499999999999998</v>
          </cell>
          <cell r="AH70">
            <v>3.4</v>
          </cell>
          <cell r="AI70">
            <v>6.66</v>
          </cell>
          <cell r="AK70">
            <v>2.2599999999999998</v>
          </cell>
          <cell r="AN70">
            <v>77.67</v>
          </cell>
          <cell r="AO70">
            <v>77.67</v>
          </cell>
          <cell r="AQ70">
            <v>0</v>
          </cell>
          <cell r="AS70">
            <v>5.15</v>
          </cell>
          <cell r="AU70">
            <v>1.56</v>
          </cell>
          <cell r="AX70">
            <v>3.11</v>
          </cell>
          <cell r="AY70">
            <v>90.75</v>
          </cell>
          <cell r="AZ70">
            <v>1.1599999999999999</v>
          </cell>
          <cell r="BA70">
            <v>0.11</v>
          </cell>
          <cell r="BB70">
            <v>1.1499999999999999</v>
          </cell>
          <cell r="BC70">
            <v>2.42</v>
          </cell>
          <cell r="BD70">
            <v>6.27</v>
          </cell>
          <cell r="BE70">
            <v>162.71</v>
          </cell>
          <cell r="BH70">
            <v>1.31</v>
          </cell>
          <cell r="BJ70">
            <v>9.34</v>
          </cell>
          <cell r="BL70">
            <v>2.33</v>
          </cell>
          <cell r="BM70">
            <v>5.74</v>
          </cell>
          <cell r="BN70">
            <v>1.92</v>
          </cell>
          <cell r="BO70">
            <v>17.100000000000001</v>
          </cell>
          <cell r="BP70">
            <v>6.29</v>
          </cell>
          <cell r="CS70">
            <v>40</v>
          </cell>
          <cell r="CT70">
            <v>3</v>
          </cell>
          <cell r="CV70">
            <v>3.62</v>
          </cell>
          <cell r="CW70">
            <v>9.3800000000000008</v>
          </cell>
        </row>
        <row r="71">
          <cell r="B71">
            <v>2</v>
          </cell>
          <cell r="J71" t="e">
            <v>#DIV/0!</v>
          </cell>
          <cell r="N71" t="e">
            <v>#DIV/0!</v>
          </cell>
          <cell r="Q71">
            <v>0</v>
          </cell>
          <cell r="S71">
            <v>137.43699999999984</v>
          </cell>
          <cell r="T71">
            <v>137.43699999999984</v>
          </cell>
          <cell r="W71" t="e">
            <v>#DIV/0!</v>
          </cell>
          <cell r="AB71">
            <v>32.633999999999986</v>
          </cell>
          <cell r="AQ71">
            <v>0</v>
          </cell>
          <cell r="BC71">
            <v>0</v>
          </cell>
          <cell r="CS71">
            <v>40</v>
          </cell>
          <cell r="CT71">
            <v>3</v>
          </cell>
          <cell r="CV71">
            <v>4.4000000000000004</v>
          </cell>
          <cell r="CW71">
            <v>6.21</v>
          </cell>
        </row>
        <row r="72">
          <cell r="B72">
            <v>3</v>
          </cell>
          <cell r="C72">
            <v>532.17999999999995</v>
          </cell>
          <cell r="D72">
            <v>529</v>
          </cell>
          <cell r="G72">
            <v>18.010000000000002</v>
          </cell>
          <cell r="H72">
            <v>18.010000000000002</v>
          </cell>
          <cell r="I72">
            <v>2.5</v>
          </cell>
          <cell r="J72">
            <v>29.37257079400333</v>
          </cell>
          <cell r="L72">
            <v>10.28</v>
          </cell>
          <cell r="M72">
            <v>127.015</v>
          </cell>
          <cell r="N72">
            <v>24.01039697542533</v>
          </cell>
          <cell r="Q72">
            <v>0</v>
          </cell>
          <cell r="S72">
            <v>264.45199999999983</v>
          </cell>
          <cell r="T72">
            <v>264.45199999999983</v>
          </cell>
          <cell r="V72">
            <v>21.552</v>
          </cell>
          <cell r="W72">
            <v>4.0741020793950851</v>
          </cell>
          <cell r="AB72">
            <v>54.185999999999986</v>
          </cell>
          <cell r="AC72">
            <v>2.15</v>
          </cell>
          <cell r="AD72">
            <v>2.14</v>
          </cell>
          <cell r="AH72">
            <v>6.4</v>
          </cell>
          <cell r="AI72">
            <v>7.79</v>
          </cell>
          <cell r="AN72">
            <v>122.1</v>
          </cell>
          <cell r="AO72">
            <v>122.1</v>
          </cell>
          <cell r="AQ72">
            <v>0</v>
          </cell>
          <cell r="AS72">
            <v>4.5199999999999996</v>
          </cell>
          <cell r="AU72">
            <v>1.55</v>
          </cell>
          <cell r="AX72">
            <v>6.41</v>
          </cell>
          <cell r="AY72">
            <v>92.7</v>
          </cell>
          <cell r="AZ72">
            <v>0.09</v>
          </cell>
          <cell r="BA72">
            <v>0.24</v>
          </cell>
          <cell r="BB72">
            <v>0.56000000000000005</v>
          </cell>
          <cell r="BC72">
            <v>0.89</v>
          </cell>
          <cell r="BD72">
            <v>6.49</v>
          </cell>
          <cell r="BE72">
            <v>83.32</v>
          </cell>
          <cell r="BH72">
            <v>1.3</v>
          </cell>
          <cell r="BJ72">
            <v>11.94</v>
          </cell>
          <cell r="BL72">
            <v>5.08</v>
          </cell>
          <cell r="BM72">
            <v>7.52</v>
          </cell>
          <cell r="BN72">
            <v>3.69</v>
          </cell>
          <cell r="BO72">
            <v>13.64</v>
          </cell>
          <cell r="BP72">
            <v>10.77</v>
          </cell>
          <cell r="CS72">
            <v>40</v>
          </cell>
          <cell r="CT72">
            <v>3</v>
          </cell>
        </row>
        <row r="73">
          <cell r="B73">
            <v>4</v>
          </cell>
          <cell r="J73" t="e">
            <v>#DIV/0!</v>
          </cell>
          <cell r="N73" t="e">
            <v>#DIV/0!</v>
          </cell>
          <cell r="Q73">
            <v>0</v>
          </cell>
          <cell r="S73">
            <v>264.45199999999983</v>
          </cell>
          <cell r="T73">
            <v>264.45199999999983</v>
          </cell>
          <cell r="W73" t="e">
            <v>#DIV/0!</v>
          </cell>
          <cell r="AB73">
            <v>54.185999999999986</v>
          </cell>
          <cell r="AQ73">
            <v>0</v>
          </cell>
          <cell r="BC73">
            <v>0</v>
          </cell>
          <cell r="CS73">
            <v>40</v>
          </cell>
          <cell r="CT73">
            <v>3</v>
          </cell>
          <cell r="CV73">
            <v>6.21</v>
          </cell>
          <cell r="CW73">
            <v>7.43</v>
          </cell>
        </row>
        <row r="74">
          <cell r="B74">
            <v>5</v>
          </cell>
          <cell r="C74">
            <v>559.59</v>
          </cell>
          <cell r="D74">
            <v>554</v>
          </cell>
          <cell r="G74">
            <v>16.88</v>
          </cell>
          <cell r="H74">
            <v>16.88</v>
          </cell>
          <cell r="J74">
            <v>32.819905213270147</v>
          </cell>
          <cell r="L74">
            <v>12.55</v>
          </cell>
          <cell r="M74">
            <v>134.06800000000001</v>
          </cell>
          <cell r="N74">
            <v>24.200000000000003</v>
          </cell>
          <cell r="Q74">
            <v>109.5</v>
          </cell>
          <cell r="S74">
            <v>289.01999999999987</v>
          </cell>
          <cell r="T74">
            <v>289.01999999999987</v>
          </cell>
          <cell r="V74">
            <v>23.367999999999999</v>
          </cell>
          <cell r="W74">
            <v>4.218050541516245</v>
          </cell>
          <cell r="AB74">
            <v>77.553999999999988</v>
          </cell>
          <cell r="AC74">
            <v>1.98</v>
          </cell>
          <cell r="AD74">
            <v>2.02</v>
          </cell>
          <cell r="AH74">
            <v>10.8</v>
          </cell>
          <cell r="AI74">
            <v>8.07</v>
          </cell>
          <cell r="AK74">
            <v>2.08</v>
          </cell>
          <cell r="AN74">
            <v>122.83</v>
          </cell>
          <cell r="AO74">
            <v>122.83</v>
          </cell>
          <cell r="AQ74">
            <v>0</v>
          </cell>
          <cell r="AS74">
            <v>6.56</v>
          </cell>
          <cell r="AU74">
            <v>0.91</v>
          </cell>
          <cell r="AX74">
            <v>4.88</v>
          </cell>
          <cell r="AY74">
            <v>92.8</v>
          </cell>
          <cell r="AZ74">
            <v>7.0000000000000007E-2</v>
          </cell>
          <cell r="BA74">
            <v>0.3</v>
          </cell>
          <cell r="BB74">
            <v>0.2</v>
          </cell>
          <cell r="BC74">
            <v>0.57000000000000006</v>
          </cell>
          <cell r="BD74">
            <v>5.04</v>
          </cell>
          <cell r="BE74">
            <v>144.88999999999999</v>
          </cell>
          <cell r="BH74">
            <v>1.25</v>
          </cell>
          <cell r="BJ74">
            <v>8.33</v>
          </cell>
          <cell r="BL74">
            <v>2.78</v>
          </cell>
          <cell r="BM74">
            <v>7.08</v>
          </cell>
          <cell r="BN74">
            <v>3.31</v>
          </cell>
          <cell r="BO74">
            <v>18.510000000000002</v>
          </cell>
          <cell r="BP74">
            <v>8.0500000000000007</v>
          </cell>
          <cell r="CS74">
            <v>40</v>
          </cell>
          <cell r="CT74">
            <v>3</v>
          </cell>
          <cell r="CV74">
            <v>3.71</v>
          </cell>
          <cell r="CW74">
            <v>8.23</v>
          </cell>
        </row>
        <row r="75">
          <cell r="B75">
            <v>6</v>
          </cell>
          <cell r="C75">
            <v>511.83</v>
          </cell>
          <cell r="D75">
            <v>404</v>
          </cell>
          <cell r="G75">
            <v>12.92</v>
          </cell>
          <cell r="H75">
            <v>12.92</v>
          </cell>
          <cell r="J75">
            <v>31.269349845201237</v>
          </cell>
          <cell r="L75">
            <v>10.68</v>
          </cell>
          <cell r="M75">
            <v>97.847999999999999</v>
          </cell>
          <cell r="N75">
            <v>24.219801980198021</v>
          </cell>
          <cell r="Q75">
            <v>134.05000000000001</v>
          </cell>
          <cell r="S75">
            <v>252.81799999999987</v>
          </cell>
          <cell r="T75">
            <v>252.81799999999987</v>
          </cell>
          <cell r="V75">
            <v>16.175999999999998</v>
          </cell>
          <cell r="W75">
            <v>4.0039603960396031</v>
          </cell>
          <cell r="Y75">
            <v>40.119999999999997</v>
          </cell>
          <cell r="AB75">
            <v>53.609999999999992</v>
          </cell>
          <cell r="AC75">
            <v>2.12</v>
          </cell>
          <cell r="AD75">
            <v>2.08</v>
          </cell>
          <cell r="AH75">
            <v>4.4000000000000004</v>
          </cell>
          <cell r="AI75">
            <v>7.34</v>
          </cell>
          <cell r="AK75">
            <v>1.97</v>
          </cell>
          <cell r="AL75">
            <v>4.9000000000000004</v>
          </cell>
          <cell r="AM75">
            <v>7.59</v>
          </cell>
          <cell r="AN75">
            <v>90.15</v>
          </cell>
          <cell r="AO75">
            <v>90.15</v>
          </cell>
          <cell r="AQ75">
            <v>0</v>
          </cell>
          <cell r="AS75">
            <v>6.6</v>
          </cell>
          <cell r="AU75">
            <v>1.59</v>
          </cell>
          <cell r="AX75">
            <v>4.9400000000000004</v>
          </cell>
          <cell r="AY75">
            <v>94.4</v>
          </cell>
          <cell r="AZ75">
            <v>0.11</v>
          </cell>
          <cell r="BA75">
            <v>0.46</v>
          </cell>
          <cell r="BB75">
            <v>0.25</v>
          </cell>
          <cell r="BC75">
            <v>0.82000000000000006</v>
          </cell>
          <cell r="BD75">
            <v>6</v>
          </cell>
          <cell r="BE75">
            <v>97.65</v>
          </cell>
          <cell r="BH75">
            <v>1.25</v>
          </cell>
          <cell r="BJ75">
            <v>16.45</v>
          </cell>
          <cell r="BL75">
            <v>3.57</v>
          </cell>
          <cell r="BM75">
            <v>7.66</v>
          </cell>
          <cell r="BN75">
            <v>1.79</v>
          </cell>
          <cell r="BO75">
            <v>16.329999999999998</v>
          </cell>
          <cell r="BP75">
            <v>7.87</v>
          </cell>
          <cell r="CS75">
            <v>40</v>
          </cell>
          <cell r="CT75">
            <v>3</v>
          </cell>
          <cell r="CV75">
            <v>2.74</v>
          </cell>
          <cell r="CW75">
            <v>7.6</v>
          </cell>
        </row>
        <row r="76">
          <cell r="B76">
            <v>7</v>
          </cell>
          <cell r="C76">
            <v>374.39</v>
          </cell>
          <cell r="D76">
            <v>320</v>
          </cell>
          <cell r="G76">
            <v>10.57</v>
          </cell>
          <cell r="H76">
            <v>10.57</v>
          </cell>
          <cell r="J76">
            <v>30.274361400189214</v>
          </cell>
          <cell r="L76">
            <v>12.01</v>
          </cell>
          <cell r="M76">
            <v>76.900000000000006</v>
          </cell>
          <cell r="N76">
            <v>24.03125</v>
          </cell>
          <cell r="Q76">
            <v>151.13</v>
          </cell>
          <cell r="S76">
            <v>178.58799999999985</v>
          </cell>
          <cell r="T76">
            <v>178.58799999999985</v>
          </cell>
          <cell r="V76">
            <v>12.96</v>
          </cell>
          <cell r="W76">
            <v>4.05</v>
          </cell>
          <cell r="Y76">
            <v>39.24</v>
          </cell>
          <cell r="AB76">
            <v>27.329999999999991</v>
          </cell>
          <cell r="AC76">
            <v>2.0499999999999998</v>
          </cell>
          <cell r="AD76">
            <v>2.08</v>
          </cell>
          <cell r="AH76">
            <v>6.4</v>
          </cell>
          <cell r="AI76">
            <v>6.6</v>
          </cell>
          <cell r="AK76">
            <v>2.09</v>
          </cell>
          <cell r="AL76">
            <v>7.55</v>
          </cell>
          <cell r="AM76">
            <v>7.45</v>
          </cell>
          <cell r="AN76">
            <v>69.33</v>
          </cell>
          <cell r="AO76">
            <v>69.33</v>
          </cell>
          <cell r="AQ76">
            <v>0</v>
          </cell>
          <cell r="AS76">
            <v>4.83</v>
          </cell>
          <cell r="AU76">
            <v>0.73</v>
          </cell>
          <cell r="AX76">
            <v>4.25</v>
          </cell>
          <cell r="AY76">
            <v>95.5</v>
          </cell>
          <cell r="AZ76">
            <v>0.06</v>
          </cell>
          <cell r="BA76">
            <v>1.07</v>
          </cell>
          <cell r="BB76">
            <v>0.23</v>
          </cell>
          <cell r="BC76">
            <v>1.36</v>
          </cell>
          <cell r="BD76">
            <v>4.8899999999999997</v>
          </cell>
          <cell r="BE76">
            <v>114.29</v>
          </cell>
          <cell r="BH76">
            <v>1.37</v>
          </cell>
          <cell r="BJ76">
            <v>9.67</v>
          </cell>
          <cell r="BL76">
            <v>2.29</v>
          </cell>
          <cell r="BM76">
            <v>7.52</v>
          </cell>
          <cell r="BN76">
            <v>1.9</v>
          </cell>
          <cell r="BO76">
            <v>20.9</v>
          </cell>
          <cell r="BP76">
            <v>6.29</v>
          </cell>
          <cell r="CS76">
            <v>40</v>
          </cell>
          <cell r="CT76">
            <v>3</v>
          </cell>
          <cell r="CV76">
            <v>2.36</v>
          </cell>
          <cell r="CW76">
            <v>7.43</v>
          </cell>
        </row>
        <row r="77">
          <cell r="B77">
            <v>8</v>
          </cell>
          <cell r="C77">
            <v>434.88</v>
          </cell>
          <cell r="D77">
            <v>605</v>
          </cell>
          <cell r="G77">
            <v>19.27</v>
          </cell>
          <cell r="H77">
            <v>19.27</v>
          </cell>
          <cell r="J77">
            <v>31.395952257394914</v>
          </cell>
          <cell r="L77">
            <v>13.83</v>
          </cell>
          <cell r="M77">
            <v>145.19999999999999</v>
          </cell>
          <cell r="N77">
            <v>24</v>
          </cell>
          <cell r="Q77">
            <v>110.1</v>
          </cell>
          <cell r="S77">
            <v>213.68799999999985</v>
          </cell>
          <cell r="T77">
            <v>213.68799999999985</v>
          </cell>
          <cell r="V77">
            <v>24.986000000000001</v>
          </cell>
          <cell r="W77">
            <v>4.1299173553719006</v>
          </cell>
          <cell r="Y77">
            <v>26.06</v>
          </cell>
          <cell r="AB77">
            <v>26.25599999999999</v>
          </cell>
          <cell r="AC77">
            <v>1.99</v>
          </cell>
          <cell r="AD77">
            <v>2.09</v>
          </cell>
          <cell r="AH77">
            <v>6.6</v>
          </cell>
          <cell r="AI77">
            <v>5.68</v>
          </cell>
          <cell r="AK77">
            <v>2.09</v>
          </cell>
          <cell r="AL77">
            <v>6.93</v>
          </cell>
          <cell r="AM77">
            <v>6.6</v>
          </cell>
          <cell r="AN77">
            <v>142.11000000000001</v>
          </cell>
          <cell r="AO77">
            <v>142.11000000000001</v>
          </cell>
          <cell r="AQ77">
            <v>0</v>
          </cell>
          <cell r="AS77">
            <v>6.5</v>
          </cell>
          <cell r="AU77">
            <v>0.93</v>
          </cell>
          <cell r="AX77">
            <v>3.85</v>
          </cell>
          <cell r="AY77">
            <v>97.4</v>
          </cell>
          <cell r="AZ77">
            <v>0.09</v>
          </cell>
          <cell r="BA77">
            <v>0.28999999999999998</v>
          </cell>
          <cell r="BB77">
            <v>0.21</v>
          </cell>
          <cell r="BC77">
            <v>0.59</v>
          </cell>
          <cell r="BD77">
            <v>5.63</v>
          </cell>
          <cell r="BE77">
            <v>93</v>
          </cell>
          <cell r="BH77">
            <v>1.1599999999999999</v>
          </cell>
          <cell r="BJ77">
            <v>5.8</v>
          </cell>
          <cell r="BL77">
            <v>2.86</v>
          </cell>
          <cell r="BM77">
            <v>7.1</v>
          </cell>
          <cell r="BN77">
            <v>2.02</v>
          </cell>
          <cell r="BO77">
            <v>22.47</v>
          </cell>
          <cell r="BP77">
            <v>7.76</v>
          </cell>
          <cell r="CS77">
            <v>40</v>
          </cell>
          <cell r="CT77">
            <v>3</v>
          </cell>
          <cell r="CV77">
            <v>4.2300000000000004</v>
          </cell>
          <cell r="CW77">
            <v>7.68</v>
          </cell>
        </row>
        <row r="78">
          <cell r="B78">
            <v>9</v>
          </cell>
          <cell r="J78" t="e">
            <v>#DIV/0!</v>
          </cell>
          <cell r="N78" t="e">
            <v>#DIV/0!</v>
          </cell>
          <cell r="Q78">
            <v>0</v>
          </cell>
          <cell r="S78">
            <v>213.68799999999985</v>
          </cell>
          <cell r="T78">
            <v>213.68799999999985</v>
          </cell>
          <cell r="W78" t="e">
            <v>#DIV/0!</v>
          </cell>
          <cell r="AB78">
            <v>26.25599999999999</v>
          </cell>
          <cell r="AQ78">
            <v>0</v>
          </cell>
          <cell r="BC78">
            <v>0</v>
          </cell>
          <cell r="CS78">
            <v>40</v>
          </cell>
          <cell r="CT78">
            <v>3</v>
          </cell>
          <cell r="CV78">
            <v>3.84</v>
          </cell>
          <cell r="CW78">
            <v>6.09</v>
          </cell>
        </row>
        <row r="79">
          <cell r="B79">
            <v>10</v>
          </cell>
          <cell r="C79">
            <v>560.29</v>
          </cell>
          <cell r="D79">
            <v>505</v>
          </cell>
          <cell r="G79">
            <v>14.83</v>
          </cell>
          <cell r="H79">
            <v>14.83</v>
          </cell>
          <cell r="J79">
            <v>34.052596089008766</v>
          </cell>
          <cell r="L79">
            <v>9.4</v>
          </cell>
          <cell r="M79">
            <v>119.65</v>
          </cell>
          <cell r="N79">
            <v>23.693069306930695</v>
          </cell>
          <cell r="Q79">
            <v>135.76</v>
          </cell>
          <cell r="S79">
            <v>197.57799999999986</v>
          </cell>
          <cell r="T79">
            <v>197.57799999999986</v>
          </cell>
          <cell r="V79">
            <v>20.704999999999998</v>
          </cell>
          <cell r="W79">
            <v>4.0999999999999996</v>
          </cell>
          <cell r="Y79">
            <v>40.51</v>
          </cell>
          <cell r="AB79">
            <v>6.4509999999999863</v>
          </cell>
          <cell r="AC79">
            <v>2.17</v>
          </cell>
          <cell r="AD79">
            <v>2.04</v>
          </cell>
          <cell r="AH79">
            <v>5.6</v>
          </cell>
          <cell r="AI79">
            <v>8.76</v>
          </cell>
          <cell r="AK79">
            <v>2.04</v>
          </cell>
          <cell r="AL79">
            <v>7.35</v>
          </cell>
          <cell r="AM79">
            <v>5.84</v>
          </cell>
          <cell r="AN79">
            <v>103.34</v>
          </cell>
          <cell r="AO79">
            <v>103.34</v>
          </cell>
          <cell r="AQ79">
            <v>0</v>
          </cell>
          <cell r="AS79">
            <v>5.98</v>
          </cell>
          <cell r="AU79">
            <v>0.95</v>
          </cell>
          <cell r="AX79">
            <v>4.5199999999999996</v>
          </cell>
          <cell r="AY79">
            <v>95.3</v>
          </cell>
          <cell r="AZ79">
            <v>0.15</v>
          </cell>
          <cell r="BA79">
            <v>0.47</v>
          </cell>
          <cell r="BB79">
            <v>0.36</v>
          </cell>
          <cell r="BC79">
            <v>0.98</v>
          </cell>
          <cell r="BD79">
            <v>6.1</v>
          </cell>
          <cell r="BE79">
            <v>95.78</v>
          </cell>
          <cell r="BH79">
            <v>1.18</v>
          </cell>
          <cell r="BJ79">
            <v>12.54</v>
          </cell>
          <cell r="BL79">
            <v>4.5999999999999996</v>
          </cell>
          <cell r="BM79">
            <v>6.96</v>
          </cell>
          <cell r="BN79">
            <v>3.85</v>
          </cell>
          <cell r="BO79">
            <v>13.91</v>
          </cell>
          <cell r="BP79">
            <v>7.8</v>
          </cell>
          <cell r="CS79">
            <v>40</v>
          </cell>
          <cell r="CT79">
            <v>3</v>
          </cell>
        </row>
        <row r="80">
          <cell r="B80">
            <v>11</v>
          </cell>
          <cell r="C80">
            <v>406.51</v>
          </cell>
          <cell r="D80">
            <v>418</v>
          </cell>
          <cell r="G80">
            <v>12.15</v>
          </cell>
          <cell r="H80">
            <v>12.15</v>
          </cell>
          <cell r="J80">
            <v>34.403292181069958</v>
          </cell>
          <cell r="L80">
            <v>8.8800000000000008</v>
          </cell>
          <cell r="M80">
            <v>98.295000000000002</v>
          </cell>
          <cell r="N80">
            <v>23.51555023923445</v>
          </cell>
          <cell r="Q80">
            <v>151.33000000000001</v>
          </cell>
          <cell r="S80">
            <v>144.54299999999986</v>
          </cell>
          <cell r="T80">
            <v>144.54299999999986</v>
          </cell>
          <cell r="V80">
            <v>17.64</v>
          </cell>
          <cell r="W80">
            <v>4.2200956937799043</v>
          </cell>
          <cell r="Y80">
            <v>13.12</v>
          </cell>
          <cell r="AB80">
            <v>10.970999999999988</v>
          </cell>
          <cell r="AC80">
            <v>2.15</v>
          </cell>
          <cell r="AD80">
            <v>2.0299999999999998</v>
          </cell>
          <cell r="AH80">
            <v>4.2</v>
          </cell>
          <cell r="AI80">
            <v>7.06</v>
          </cell>
          <cell r="AK80">
            <v>2.0099999999999998</v>
          </cell>
          <cell r="AL80">
            <v>6.7</v>
          </cell>
          <cell r="AM80">
            <v>7.99</v>
          </cell>
          <cell r="AN80">
            <v>96.55</v>
          </cell>
          <cell r="AO80">
            <v>96.55</v>
          </cell>
          <cell r="AQ80">
            <v>0</v>
          </cell>
          <cell r="AS80">
            <v>6</v>
          </cell>
          <cell r="AU80">
            <v>0.78</v>
          </cell>
          <cell r="AX80">
            <v>2.93</v>
          </cell>
          <cell r="AY80">
            <v>94.6</v>
          </cell>
          <cell r="AZ80">
            <v>0.17</v>
          </cell>
          <cell r="BA80">
            <v>0.38</v>
          </cell>
          <cell r="BB80">
            <v>0.44</v>
          </cell>
          <cell r="BC80">
            <v>0.99</v>
          </cell>
          <cell r="BD80">
            <v>5.73</v>
          </cell>
          <cell r="BE80">
            <v>94.52</v>
          </cell>
          <cell r="BH80">
            <v>1.1000000000000001</v>
          </cell>
          <cell r="BJ80">
            <v>6.97</v>
          </cell>
          <cell r="BL80">
            <v>2.2599999999999998</v>
          </cell>
          <cell r="BM80">
            <v>5.38</v>
          </cell>
          <cell r="BN80">
            <v>2.58</v>
          </cell>
          <cell r="BO80">
            <v>15.15</v>
          </cell>
          <cell r="BP80">
            <v>7.46</v>
          </cell>
          <cell r="CS80">
            <v>40</v>
          </cell>
          <cell r="CT80">
            <v>3</v>
          </cell>
          <cell r="CV80">
            <v>5.87</v>
          </cell>
          <cell r="CW80">
            <v>6.6</v>
          </cell>
        </row>
        <row r="81">
          <cell r="B81">
            <v>12</v>
          </cell>
          <cell r="C81">
            <v>353.92</v>
          </cell>
          <cell r="D81">
            <v>353</v>
          </cell>
          <cell r="F81">
            <v>0.83</v>
          </cell>
          <cell r="G81">
            <v>10.66</v>
          </cell>
          <cell r="H81">
            <v>10.66</v>
          </cell>
          <cell r="J81">
            <v>33.114446529080674</v>
          </cell>
          <cell r="L81">
            <v>9.69</v>
          </cell>
          <cell r="M81">
            <v>84.72</v>
          </cell>
          <cell r="N81">
            <v>24</v>
          </cell>
          <cell r="Q81">
            <v>0</v>
          </cell>
          <cell r="S81">
            <v>229.26299999999986</v>
          </cell>
          <cell r="T81">
            <v>229.26299999999986</v>
          </cell>
          <cell r="V81">
            <v>14.65</v>
          </cell>
          <cell r="W81">
            <v>4.1501416430594897</v>
          </cell>
          <cell r="Y81">
            <v>13.23</v>
          </cell>
          <cell r="AB81">
            <v>12.390999999999988</v>
          </cell>
          <cell r="AC81">
            <v>1.9</v>
          </cell>
          <cell r="AD81">
            <v>2.0099999999999998</v>
          </cell>
          <cell r="AH81">
            <v>7.4</v>
          </cell>
          <cell r="AI81">
            <v>8.3800000000000008</v>
          </cell>
          <cell r="AL81">
            <v>4.2</v>
          </cell>
          <cell r="AM81">
            <v>7.06</v>
          </cell>
          <cell r="AN81">
            <v>75.44</v>
          </cell>
          <cell r="AO81">
            <v>75.44</v>
          </cell>
          <cell r="AQ81">
            <v>0</v>
          </cell>
          <cell r="AS81">
            <v>5.43</v>
          </cell>
          <cell r="AU81">
            <v>1.23</v>
          </cell>
          <cell r="AX81">
            <v>4.2300000000000004</v>
          </cell>
          <cell r="AY81">
            <v>94.8</v>
          </cell>
          <cell r="AZ81">
            <v>0.06</v>
          </cell>
          <cell r="BA81">
            <v>0.55000000000000004</v>
          </cell>
          <cell r="BB81">
            <v>0.37</v>
          </cell>
          <cell r="BC81">
            <v>0.98000000000000009</v>
          </cell>
          <cell r="BD81">
            <v>9.7799999999999994</v>
          </cell>
          <cell r="BE81">
            <v>96.63</v>
          </cell>
          <cell r="BH81">
            <v>1.1599999999999999</v>
          </cell>
          <cell r="BJ81">
            <v>10.28</v>
          </cell>
          <cell r="BL81">
            <v>4.8600000000000003</v>
          </cell>
          <cell r="BM81">
            <v>6.52</v>
          </cell>
          <cell r="BN81">
            <v>2.1</v>
          </cell>
          <cell r="BO81">
            <v>16.809999999999999</v>
          </cell>
          <cell r="BP81">
            <v>8.6199999999999992</v>
          </cell>
          <cell r="CS81">
            <v>40</v>
          </cell>
          <cell r="CT81">
            <v>3</v>
          </cell>
          <cell r="CV81">
            <v>9.3699999999999992</v>
          </cell>
          <cell r="CW81">
            <v>5.16</v>
          </cell>
        </row>
        <row r="82">
          <cell r="B82">
            <v>13</v>
          </cell>
          <cell r="C82">
            <v>236.65</v>
          </cell>
          <cell r="D82">
            <v>266</v>
          </cell>
          <cell r="G82">
            <v>8.33</v>
          </cell>
          <cell r="H82">
            <v>8.33</v>
          </cell>
          <cell r="J82">
            <v>31.932773109243698</v>
          </cell>
          <cell r="L82">
            <v>11.23</v>
          </cell>
          <cell r="M82">
            <v>63.84</v>
          </cell>
          <cell r="N82">
            <v>24.000000000000004</v>
          </cell>
          <cell r="Q82">
            <v>149.57</v>
          </cell>
          <cell r="S82">
            <v>143.53299999999984</v>
          </cell>
          <cell r="T82">
            <v>143.53299999999984</v>
          </cell>
          <cell r="V82">
            <v>10.798999999999999</v>
          </cell>
          <cell r="W82">
            <v>4.0597744360902253</v>
          </cell>
          <cell r="Y82">
            <v>6.63</v>
          </cell>
          <cell r="AB82">
            <v>16.559999999999988</v>
          </cell>
          <cell r="AC82">
            <v>2</v>
          </cell>
          <cell r="AD82">
            <v>2.0099999999999998</v>
          </cell>
          <cell r="AH82">
            <v>6.6</v>
          </cell>
          <cell r="AI82">
            <v>7.67</v>
          </cell>
          <cell r="AK82">
            <v>2</v>
          </cell>
          <cell r="AL82">
            <v>5.8</v>
          </cell>
          <cell r="AM82">
            <v>8.3800000000000008</v>
          </cell>
          <cell r="AN82">
            <v>64.650000000000006</v>
          </cell>
          <cell r="AO82">
            <v>64.650000000000006</v>
          </cell>
          <cell r="AQ82">
            <v>0</v>
          </cell>
          <cell r="AS82">
            <v>5.41</v>
          </cell>
          <cell r="AU82">
            <v>0.88</v>
          </cell>
          <cell r="AX82">
            <v>4.2300000000000004</v>
          </cell>
          <cell r="AY82">
            <v>93.8</v>
          </cell>
          <cell r="AZ82">
            <v>0.03</v>
          </cell>
          <cell r="BA82">
            <v>0.12</v>
          </cell>
          <cell r="BB82">
            <v>0.4</v>
          </cell>
          <cell r="BC82">
            <v>0.55000000000000004</v>
          </cell>
          <cell r="BD82">
            <v>11.33</v>
          </cell>
          <cell r="BE82">
            <v>94.93</v>
          </cell>
          <cell r="BH82">
            <v>1.21</v>
          </cell>
          <cell r="BJ82">
            <v>9.31</v>
          </cell>
          <cell r="BL82">
            <v>4</v>
          </cell>
          <cell r="BM82">
            <v>6.68</v>
          </cell>
          <cell r="BN82">
            <v>2.16</v>
          </cell>
          <cell r="BO82">
            <v>31.43</v>
          </cell>
          <cell r="BP82">
            <v>10.29</v>
          </cell>
          <cell r="CS82">
            <v>40</v>
          </cell>
          <cell r="CT82">
            <v>3</v>
          </cell>
          <cell r="CV82">
            <v>10.14</v>
          </cell>
          <cell r="CW82">
            <v>6.61</v>
          </cell>
        </row>
        <row r="83">
          <cell r="B83">
            <v>14</v>
          </cell>
          <cell r="C83">
            <v>271.13</v>
          </cell>
          <cell r="D83">
            <v>239</v>
          </cell>
          <cell r="F83">
            <v>4.13</v>
          </cell>
          <cell r="G83">
            <v>6.01</v>
          </cell>
          <cell r="H83">
            <v>6.01</v>
          </cell>
          <cell r="J83">
            <v>39.767054908485861</v>
          </cell>
          <cell r="L83">
            <v>9.42</v>
          </cell>
          <cell r="M83">
            <v>55.470999999999997</v>
          </cell>
          <cell r="N83">
            <v>23.209623430962342</v>
          </cell>
          <cell r="Q83">
            <v>97.28</v>
          </cell>
          <cell r="S83">
            <v>101.72399999999985</v>
          </cell>
          <cell r="T83">
            <v>101.72399999999985</v>
          </cell>
          <cell r="V83">
            <v>9.83</v>
          </cell>
          <cell r="W83">
            <v>4.1129707112970708</v>
          </cell>
          <cell r="Y83">
            <v>13.67</v>
          </cell>
          <cell r="AB83">
            <v>12.719999999999986</v>
          </cell>
          <cell r="AC83">
            <v>2.2000000000000002</v>
          </cell>
          <cell r="AD83">
            <v>2.17</v>
          </cell>
          <cell r="AH83">
            <v>7</v>
          </cell>
          <cell r="AI83">
            <v>6.51</v>
          </cell>
          <cell r="AK83">
            <v>1.97</v>
          </cell>
          <cell r="AL83">
            <v>7.4</v>
          </cell>
          <cell r="AM83">
            <v>7.67</v>
          </cell>
          <cell r="AN83">
            <v>52.58</v>
          </cell>
          <cell r="AO83">
            <v>44.87</v>
          </cell>
          <cell r="AQ83">
            <v>7.7100000000000009</v>
          </cell>
          <cell r="AS83">
            <v>4.2699999999999996</v>
          </cell>
          <cell r="AU83">
            <v>0.67</v>
          </cell>
          <cell r="AX83">
            <v>2.88</v>
          </cell>
          <cell r="AY83">
            <v>95.4</v>
          </cell>
          <cell r="AZ83">
            <v>0.32</v>
          </cell>
          <cell r="BA83">
            <v>0.99</v>
          </cell>
          <cell r="BB83">
            <v>1.38</v>
          </cell>
          <cell r="BC83">
            <v>2.69</v>
          </cell>
          <cell r="BD83">
            <v>8.5</v>
          </cell>
          <cell r="BE83">
            <v>94.33</v>
          </cell>
          <cell r="BH83">
            <v>1.21</v>
          </cell>
          <cell r="BJ83">
            <v>8.11</v>
          </cell>
          <cell r="BL83">
            <v>4.5</v>
          </cell>
          <cell r="BM83">
            <v>6.05</v>
          </cell>
          <cell r="BN83">
            <v>2.79</v>
          </cell>
          <cell r="BO83">
            <v>19.420000000000002</v>
          </cell>
          <cell r="BP83">
            <v>7.42</v>
          </cell>
          <cell r="CS83">
            <v>40</v>
          </cell>
          <cell r="CT83">
            <v>3</v>
          </cell>
          <cell r="CV83">
            <v>6.2</v>
          </cell>
          <cell r="CW83">
            <v>5.26</v>
          </cell>
        </row>
        <row r="84">
          <cell r="B84">
            <v>15</v>
          </cell>
          <cell r="C84">
            <v>336.5</v>
          </cell>
          <cell r="D84">
            <v>382</v>
          </cell>
          <cell r="F84">
            <v>6.1</v>
          </cell>
          <cell r="G84">
            <v>9.11</v>
          </cell>
          <cell r="H84">
            <v>9.11</v>
          </cell>
          <cell r="J84">
            <v>41.931942919868277</v>
          </cell>
          <cell r="L84">
            <v>8.02</v>
          </cell>
          <cell r="M84">
            <v>87.86</v>
          </cell>
          <cell r="N84">
            <v>23</v>
          </cell>
          <cell r="Q84">
            <v>33.42</v>
          </cell>
          <cell r="S84">
            <v>156.16399999999982</v>
          </cell>
          <cell r="T84">
            <v>156.16399999999982</v>
          </cell>
          <cell r="V84">
            <v>15.853</v>
          </cell>
          <cell r="W84">
            <v>4.1500000000000004</v>
          </cell>
          <cell r="Y84">
            <v>16.27</v>
          </cell>
          <cell r="AB84">
            <v>12.302999999999987</v>
          </cell>
          <cell r="AC84">
            <v>2.14</v>
          </cell>
          <cell r="AD84">
            <v>2.17</v>
          </cell>
          <cell r="AH84">
            <v>5</v>
          </cell>
          <cell r="AI84">
            <v>6.99</v>
          </cell>
          <cell r="AK84">
            <v>2.13</v>
          </cell>
          <cell r="AL84">
            <v>8.4</v>
          </cell>
          <cell r="AM84">
            <v>6.54</v>
          </cell>
          <cell r="AN84">
            <v>74.23</v>
          </cell>
          <cell r="AO84">
            <v>81.94</v>
          </cell>
          <cell r="AQ84">
            <v>0</v>
          </cell>
          <cell r="AS84">
            <v>4.8499999999999996</v>
          </cell>
          <cell r="AU84">
            <v>1.34</v>
          </cell>
          <cell r="AX84">
            <v>3.23</v>
          </cell>
          <cell r="AY84">
            <v>94.2</v>
          </cell>
          <cell r="AZ84">
            <v>0.48</v>
          </cell>
          <cell r="BA84">
            <v>0.28000000000000003</v>
          </cell>
          <cell r="BB84">
            <v>0.56999999999999995</v>
          </cell>
          <cell r="BC84">
            <v>1.33</v>
          </cell>
          <cell r="BD84">
            <v>8.44</v>
          </cell>
          <cell r="BE84">
            <v>108.38</v>
          </cell>
          <cell r="BH84">
            <v>1.26</v>
          </cell>
          <cell r="BJ84">
            <v>8.86</v>
          </cell>
          <cell r="BL84">
            <v>5.33</v>
          </cell>
          <cell r="BM84">
            <v>4.74</v>
          </cell>
          <cell r="BN84">
            <v>3.81</v>
          </cell>
          <cell r="BO84">
            <v>13.8</v>
          </cell>
          <cell r="BP84">
            <v>8.1999999999999993</v>
          </cell>
          <cell r="CS84">
            <v>40</v>
          </cell>
          <cell r="CT84">
            <v>3</v>
          </cell>
        </row>
        <row r="85">
          <cell r="B85">
            <v>16</v>
          </cell>
          <cell r="J85" t="e">
            <v>#DIV/0!</v>
          </cell>
          <cell r="N85" t="e">
            <v>#DIV/0!</v>
          </cell>
          <cell r="Q85">
            <v>0</v>
          </cell>
          <cell r="S85">
            <v>156.16399999999982</v>
          </cell>
          <cell r="T85">
            <v>156.16399999999982</v>
          </cell>
          <cell r="W85" t="e">
            <v>#DIV/0!</v>
          </cell>
          <cell r="AB85">
            <v>12.302999999999987</v>
          </cell>
          <cell r="AQ85">
            <v>0</v>
          </cell>
          <cell r="BC85">
            <v>0</v>
          </cell>
          <cell r="CS85">
            <v>40</v>
          </cell>
          <cell r="CT85">
            <v>3</v>
          </cell>
          <cell r="CV85">
            <v>6.8</v>
          </cell>
          <cell r="CW85">
            <v>7.45</v>
          </cell>
        </row>
        <row r="86">
          <cell r="B86">
            <v>17</v>
          </cell>
          <cell r="C86">
            <v>688.21</v>
          </cell>
          <cell r="D86">
            <v>580</v>
          </cell>
          <cell r="F86">
            <v>12.95</v>
          </cell>
          <cell r="G86">
            <v>10.15</v>
          </cell>
          <cell r="H86">
            <v>12.95</v>
          </cell>
          <cell r="J86">
            <v>44.787644787644787</v>
          </cell>
          <cell r="L86">
            <v>10.53</v>
          </cell>
          <cell r="M86">
            <v>133.458</v>
          </cell>
          <cell r="N86">
            <v>23.01</v>
          </cell>
          <cell r="Q86">
            <v>70.08</v>
          </cell>
          <cell r="S86">
            <v>219.54199999999986</v>
          </cell>
          <cell r="T86">
            <v>219.54199999999986</v>
          </cell>
          <cell r="V86">
            <v>23.529</v>
          </cell>
          <cell r="W86">
            <v>4.0567241379310346</v>
          </cell>
          <cell r="Y86">
            <v>13.08</v>
          </cell>
          <cell r="AB86">
            <v>22.751999999999988</v>
          </cell>
          <cell r="AC86">
            <v>2.33</v>
          </cell>
          <cell r="AD86">
            <v>2.23</v>
          </cell>
          <cell r="AH86">
            <v>6.8</v>
          </cell>
          <cell r="AI86">
            <v>6.07</v>
          </cell>
          <cell r="AK86">
            <v>2.13</v>
          </cell>
          <cell r="AL86">
            <v>8.1999999999999993</v>
          </cell>
          <cell r="AM86">
            <v>6.99</v>
          </cell>
          <cell r="AN86">
            <v>121.3</v>
          </cell>
          <cell r="AO86">
            <v>121.3</v>
          </cell>
          <cell r="AQ86">
            <v>0</v>
          </cell>
          <cell r="AS86">
            <v>6.58</v>
          </cell>
          <cell r="AU86">
            <v>2.86</v>
          </cell>
          <cell r="AX86">
            <v>5.24</v>
          </cell>
          <cell r="AY86">
            <v>94.8</v>
          </cell>
          <cell r="AZ86">
            <v>0.54</v>
          </cell>
          <cell r="BA86">
            <v>0.13</v>
          </cell>
          <cell r="BB86">
            <v>0.57999999999999996</v>
          </cell>
          <cell r="BC86">
            <v>1.25</v>
          </cell>
          <cell r="BD86">
            <v>7.56</v>
          </cell>
          <cell r="BE86">
            <v>103.46</v>
          </cell>
          <cell r="BH86">
            <v>1.21</v>
          </cell>
          <cell r="BJ86">
            <v>7.68</v>
          </cell>
          <cell r="BL86">
            <v>3.67</v>
          </cell>
          <cell r="BM86">
            <v>4.76</v>
          </cell>
          <cell r="BN86">
            <v>2.95</v>
          </cell>
          <cell r="BO86">
            <v>10.15</v>
          </cell>
          <cell r="BP86">
            <v>10.3</v>
          </cell>
          <cell r="CS86">
            <v>40</v>
          </cell>
          <cell r="CT86">
            <v>3</v>
          </cell>
        </row>
        <row r="87">
          <cell r="B87">
            <v>18</v>
          </cell>
          <cell r="C87">
            <v>530.57000000000005</v>
          </cell>
          <cell r="D87">
            <v>577</v>
          </cell>
          <cell r="F87">
            <v>12.05</v>
          </cell>
          <cell r="G87">
            <v>11.67</v>
          </cell>
          <cell r="H87">
            <v>12.05</v>
          </cell>
          <cell r="J87">
            <v>47.883817427385893</v>
          </cell>
          <cell r="L87">
            <v>6.81</v>
          </cell>
          <cell r="M87">
            <v>126.94</v>
          </cell>
          <cell r="N87">
            <v>22</v>
          </cell>
          <cell r="Q87">
            <v>130.5</v>
          </cell>
          <cell r="S87">
            <v>215.98199999999986</v>
          </cell>
          <cell r="T87">
            <v>215.98199999999986</v>
          </cell>
          <cell r="V87">
            <v>22.167999999999999</v>
          </cell>
          <cell r="W87">
            <v>3.8419410745233966</v>
          </cell>
          <cell r="Y87">
            <v>12.28</v>
          </cell>
          <cell r="AB87">
            <v>32.639999999999986</v>
          </cell>
          <cell r="AC87">
            <v>2.15</v>
          </cell>
          <cell r="AD87">
            <v>2.17</v>
          </cell>
          <cell r="AH87">
            <v>5.4</v>
          </cell>
          <cell r="AI87">
            <v>6.68</v>
          </cell>
          <cell r="AK87">
            <v>2.23</v>
          </cell>
          <cell r="AL87">
            <v>6.6</v>
          </cell>
          <cell r="AM87">
            <v>6.07</v>
          </cell>
          <cell r="AN87">
            <v>126.94</v>
          </cell>
          <cell r="AO87">
            <v>114.65</v>
          </cell>
          <cell r="AQ87">
            <v>12.289999999999992</v>
          </cell>
          <cell r="AS87">
            <v>6.65</v>
          </cell>
          <cell r="AU87">
            <v>1.39</v>
          </cell>
          <cell r="AX87">
            <v>4.87</v>
          </cell>
          <cell r="AY87">
            <v>93.6</v>
          </cell>
          <cell r="AZ87">
            <v>0.65</v>
          </cell>
          <cell r="BA87">
            <v>0.13</v>
          </cell>
          <cell r="BB87">
            <v>0.63</v>
          </cell>
          <cell r="BC87">
            <v>1.4100000000000001</v>
          </cell>
          <cell r="BD87">
            <v>9.1300000000000008</v>
          </cell>
          <cell r="BE87">
            <v>89.35</v>
          </cell>
          <cell r="BH87">
            <v>1.1299999999999999</v>
          </cell>
          <cell r="BJ87">
            <v>9.8000000000000007</v>
          </cell>
          <cell r="CS87">
            <v>40</v>
          </cell>
          <cell r="CT87">
            <v>3</v>
          </cell>
          <cell r="CV87">
            <v>8.25</v>
          </cell>
          <cell r="CW87">
            <v>5.3</v>
          </cell>
        </row>
        <row r="88">
          <cell r="B88">
            <v>19</v>
          </cell>
          <cell r="C88">
            <v>498.63</v>
          </cell>
          <cell r="D88">
            <v>474</v>
          </cell>
          <cell r="F88">
            <v>10.19</v>
          </cell>
          <cell r="G88">
            <v>8.24</v>
          </cell>
          <cell r="H88">
            <v>10.19</v>
          </cell>
          <cell r="J88">
            <v>46.516192345436707</v>
          </cell>
          <cell r="L88">
            <v>5.83</v>
          </cell>
          <cell r="M88">
            <v>104.375</v>
          </cell>
          <cell r="N88">
            <v>22.020042194092827</v>
          </cell>
          <cell r="Q88">
            <v>146.12</v>
          </cell>
          <cell r="S88">
            <v>174.23699999999985</v>
          </cell>
          <cell r="T88">
            <v>174.23699999999985</v>
          </cell>
          <cell r="V88">
            <v>19.2</v>
          </cell>
          <cell r="W88">
            <v>4.0506329113924053</v>
          </cell>
          <cell r="AB88">
            <v>51.839999999999989</v>
          </cell>
          <cell r="AC88">
            <v>2.81</v>
          </cell>
          <cell r="AD88">
            <v>2.4</v>
          </cell>
          <cell r="AH88">
            <v>7.8</v>
          </cell>
          <cell r="AI88">
            <v>5.52</v>
          </cell>
          <cell r="AK88">
            <v>2.17</v>
          </cell>
          <cell r="AN88">
            <v>98.27</v>
          </cell>
          <cell r="AO88">
            <v>110.56</v>
          </cell>
          <cell r="AQ88">
            <v>0</v>
          </cell>
          <cell r="AS88">
            <v>7.02</v>
          </cell>
          <cell r="AU88">
            <v>3.61</v>
          </cell>
          <cell r="AX88">
            <v>5.43</v>
          </cell>
          <cell r="AY88">
            <v>94.6</v>
          </cell>
          <cell r="AZ88">
            <v>0.56000000000000005</v>
          </cell>
          <cell r="BA88">
            <v>7.0000000000000007E-2</v>
          </cell>
          <cell r="BB88">
            <v>0.46</v>
          </cell>
          <cell r="BC88">
            <v>1.0900000000000001</v>
          </cell>
          <cell r="BD88">
            <v>10.08</v>
          </cell>
          <cell r="BE88">
            <v>86.66</v>
          </cell>
          <cell r="BH88">
            <v>1.02</v>
          </cell>
          <cell r="BJ88">
            <v>10.55</v>
          </cell>
          <cell r="CS88">
            <v>40</v>
          </cell>
          <cell r="CT88">
            <v>3</v>
          </cell>
          <cell r="CV88">
            <v>9.92</v>
          </cell>
          <cell r="CW88">
            <v>6.17</v>
          </cell>
        </row>
        <row r="89">
          <cell r="B89">
            <v>20</v>
          </cell>
          <cell r="C89">
            <v>551.04999999999995</v>
          </cell>
          <cell r="D89">
            <v>564</v>
          </cell>
          <cell r="F89">
            <v>12.93</v>
          </cell>
          <cell r="G89">
            <v>8.39</v>
          </cell>
          <cell r="H89">
            <v>12.93</v>
          </cell>
          <cell r="J89">
            <v>43.619489559164734</v>
          </cell>
          <cell r="L89">
            <v>6.68</v>
          </cell>
          <cell r="M89">
            <v>124.64400000000001</v>
          </cell>
          <cell r="N89">
            <v>22.1</v>
          </cell>
          <cell r="Q89">
            <v>106.21</v>
          </cell>
          <cell r="S89">
            <v>192.67099999999988</v>
          </cell>
          <cell r="T89">
            <v>192.67099999999988</v>
          </cell>
          <cell r="V89">
            <v>24</v>
          </cell>
          <cell r="W89">
            <v>4.2553191489361701</v>
          </cell>
          <cell r="AB89">
            <v>75.839999999999989</v>
          </cell>
          <cell r="AC89">
            <v>2.52</v>
          </cell>
          <cell r="AD89">
            <v>2.5299999999999998</v>
          </cell>
          <cell r="AH89">
            <v>4.2</v>
          </cell>
          <cell r="AI89">
            <v>8.4</v>
          </cell>
          <cell r="AK89">
            <v>2.42</v>
          </cell>
          <cell r="AN89">
            <v>132.19999999999999</v>
          </cell>
          <cell r="AO89">
            <v>132.19999999999999</v>
          </cell>
          <cell r="AQ89">
            <v>0</v>
          </cell>
          <cell r="AS89">
            <v>7.58</v>
          </cell>
          <cell r="AU89">
            <v>0.72</v>
          </cell>
          <cell r="AX89">
            <v>4.32</v>
          </cell>
          <cell r="AY89">
            <v>96.4</v>
          </cell>
          <cell r="AZ89">
            <v>0.77</v>
          </cell>
          <cell r="BA89">
            <v>0.11</v>
          </cell>
          <cell r="BB89">
            <v>0.59</v>
          </cell>
          <cell r="BC89">
            <v>1.47</v>
          </cell>
          <cell r="BD89">
            <v>7.2</v>
          </cell>
          <cell r="BE89">
            <v>97.58</v>
          </cell>
          <cell r="BH89">
            <v>1.04</v>
          </cell>
          <cell r="BJ89">
            <v>11.02</v>
          </cell>
          <cell r="CS89">
            <v>40</v>
          </cell>
          <cell r="CT89">
            <v>3</v>
          </cell>
          <cell r="CV89">
            <v>5.6</v>
          </cell>
          <cell r="CW89">
            <v>7.4</v>
          </cell>
        </row>
        <row r="90">
          <cell r="B90">
            <v>21</v>
          </cell>
          <cell r="C90">
            <v>428.55</v>
          </cell>
          <cell r="D90">
            <v>313</v>
          </cell>
          <cell r="F90">
            <v>6.63</v>
          </cell>
          <cell r="G90">
            <v>5.39</v>
          </cell>
          <cell r="H90">
            <v>6.63</v>
          </cell>
          <cell r="J90">
            <v>47.209653092006036</v>
          </cell>
          <cell r="L90">
            <v>6.69</v>
          </cell>
          <cell r="M90">
            <v>71.045000000000002</v>
          </cell>
          <cell r="N90">
            <v>22.698083067092654</v>
          </cell>
          <cell r="Q90">
            <v>128.86000000000001</v>
          </cell>
          <cell r="S90">
            <v>134.85599999999988</v>
          </cell>
          <cell r="T90">
            <v>134.85599999999988</v>
          </cell>
          <cell r="V90">
            <v>12.551</v>
          </cell>
          <cell r="W90">
            <v>4.0099041533546327</v>
          </cell>
          <cell r="AB90">
            <v>88.390999999999991</v>
          </cell>
          <cell r="AC90">
            <v>2.58</v>
          </cell>
          <cell r="AD90">
            <v>2.59</v>
          </cell>
          <cell r="AH90">
            <v>5</v>
          </cell>
          <cell r="AI90">
            <v>6.07</v>
          </cell>
          <cell r="AK90">
            <v>2.56</v>
          </cell>
          <cell r="AN90">
            <v>85.6</v>
          </cell>
          <cell r="AO90">
            <v>85.6</v>
          </cell>
          <cell r="AQ90">
            <v>0</v>
          </cell>
          <cell r="AS90">
            <v>5.72</v>
          </cell>
          <cell r="AU90">
            <v>2.5499999999999998</v>
          </cell>
          <cell r="AX90">
            <v>5.95</v>
          </cell>
          <cell r="AY90">
            <v>97.4</v>
          </cell>
          <cell r="AZ90">
            <v>0.44</v>
          </cell>
          <cell r="BA90">
            <v>0.16</v>
          </cell>
          <cell r="BB90">
            <v>0.85</v>
          </cell>
          <cell r="BC90">
            <v>1.45</v>
          </cell>
          <cell r="BD90">
            <v>6.22</v>
          </cell>
          <cell r="BE90">
            <v>111.89</v>
          </cell>
          <cell r="BH90">
            <v>1.21</v>
          </cell>
          <cell r="BJ90">
            <v>11.3</v>
          </cell>
          <cell r="CS90">
            <v>40</v>
          </cell>
          <cell r="CT90">
            <v>3</v>
          </cell>
          <cell r="CV90">
            <v>7.18</v>
          </cell>
          <cell r="CW90">
            <v>7.61</v>
          </cell>
        </row>
        <row r="91">
          <cell r="B91">
            <v>22</v>
          </cell>
          <cell r="C91">
            <v>517.17999999999995</v>
          </cell>
          <cell r="D91">
            <v>711</v>
          </cell>
          <cell r="F91">
            <v>16.809999999999999</v>
          </cell>
          <cell r="G91">
            <v>15.76</v>
          </cell>
          <cell r="H91">
            <v>16.809999999999999</v>
          </cell>
          <cell r="J91">
            <v>42.296252230814993</v>
          </cell>
          <cell r="L91">
            <v>6.4</v>
          </cell>
          <cell r="M91">
            <v>159.76499999999999</v>
          </cell>
          <cell r="N91">
            <v>22.470464135021096</v>
          </cell>
          <cell r="Q91">
            <v>77.22</v>
          </cell>
          <cell r="S91">
            <v>217.40099999999987</v>
          </cell>
          <cell r="T91">
            <v>217.40099999999987</v>
          </cell>
          <cell r="V91">
            <v>29.04</v>
          </cell>
          <cell r="W91">
            <v>4.0843881856540083</v>
          </cell>
          <cell r="AB91">
            <v>117.43099999999998</v>
          </cell>
          <cell r="AC91">
            <v>2.66</v>
          </cell>
          <cell r="AD91">
            <v>2.5299999999999998</v>
          </cell>
          <cell r="AH91">
            <v>3.5</v>
          </cell>
          <cell r="AI91">
            <v>6.15</v>
          </cell>
          <cell r="AK91">
            <v>2.54</v>
          </cell>
          <cell r="AN91">
            <v>147.36000000000001</v>
          </cell>
          <cell r="AO91">
            <v>147.36000000000001</v>
          </cell>
          <cell r="AQ91">
            <v>0</v>
          </cell>
          <cell r="AS91">
            <v>6.52</v>
          </cell>
          <cell r="AU91">
            <v>2.54</v>
          </cell>
          <cell r="AX91">
            <v>4.32</v>
          </cell>
          <cell r="AY91">
            <v>96.8</v>
          </cell>
          <cell r="AZ91">
            <v>0.27</v>
          </cell>
          <cell r="BA91">
            <v>0.08</v>
          </cell>
          <cell r="BB91">
            <v>0.39</v>
          </cell>
          <cell r="BC91">
            <v>0.74</v>
          </cell>
          <cell r="BD91">
            <v>5.59</v>
          </cell>
          <cell r="BE91">
            <v>107.26</v>
          </cell>
          <cell r="BH91">
            <v>1.06</v>
          </cell>
          <cell r="BJ91">
            <v>11.15</v>
          </cell>
          <cell r="CS91">
            <v>40</v>
          </cell>
          <cell r="CT91">
            <v>3</v>
          </cell>
          <cell r="CV91">
            <v>5.7</v>
          </cell>
          <cell r="CW91">
            <v>6.86</v>
          </cell>
        </row>
        <row r="92">
          <cell r="B92">
            <v>23</v>
          </cell>
          <cell r="J92" t="e">
            <v>#DIV/0!</v>
          </cell>
          <cell r="N92" t="e">
            <v>#DIV/0!</v>
          </cell>
          <cell r="Q92">
            <v>0</v>
          </cell>
          <cell r="S92">
            <v>217.40099999999987</v>
          </cell>
          <cell r="T92">
            <v>217.40099999999987</v>
          </cell>
          <cell r="W92" t="e">
            <v>#DIV/0!</v>
          </cell>
          <cell r="AB92">
            <v>117.43099999999998</v>
          </cell>
          <cell r="AQ92">
            <v>0</v>
          </cell>
          <cell r="BC92">
            <v>0</v>
          </cell>
          <cell r="CS92">
            <v>40</v>
          </cell>
          <cell r="CT92">
            <v>3</v>
          </cell>
          <cell r="CV92">
            <v>6.1</v>
          </cell>
          <cell r="CW92">
            <v>6.09</v>
          </cell>
        </row>
        <row r="93">
          <cell r="B93">
            <v>24</v>
          </cell>
          <cell r="C93">
            <v>523.41</v>
          </cell>
          <cell r="D93">
            <v>457</v>
          </cell>
          <cell r="F93">
            <v>9</v>
          </cell>
          <cell r="G93">
            <v>5.25</v>
          </cell>
          <cell r="H93">
            <v>9.16</v>
          </cell>
          <cell r="J93">
            <v>49.890829694323145</v>
          </cell>
          <cell r="L93">
            <v>6.78</v>
          </cell>
          <cell r="M93">
            <v>103.90900000000001</v>
          </cell>
          <cell r="N93">
            <v>22.73719912472648</v>
          </cell>
          <cell r="Q93">
            <v>149.44999999999999</v>
          </cell>
          <cell r="S93">
            <v>171.8599999999999</v>
          </cell>
          <cell r="T93">
            <v>171.8599999999999</v>
          </cell>
          <cell r="V93">
            <v>18.509</v>
          </cell>
          <cell r="W93">
            <v>4.0501094091903722</v>
          </cell>
          <cell r="AB93">
            <v>135.94</v>
          </cell>
          <cell r="AC93">
            <v>2.56</v>
          </cell>
          <cell r="AD93">
            <v>2.59</v>
          </cell>
          <cell r="AH93">
            <v>6.8</v>
          </cell>
          <cell r="AI93">
            <v>5.4</v>
          </cell>
          <cell r="AK93">
            <v>2.5</v>
          </cell>
          <cell r="AN93">
            <v>112.53</v>
          </cell>
          <cell r="AO93">
            <v>112.53</v>
          </cell>
          <cell r="AQ93">
            <v>0</v>
          </cell>
          <cell r="AS93">
            <v>6.45</v>
          </cell>
          <cell r="AU93">
            <v>2.06</v>
          </cell>
          <cell r="AX93">
            <v>3.35</v>
          </cell>
          <cell r="AY93">
            <v>93.8</v>
          </cell>
          <cell r="AZ93">
            <v>0.28000000000000003</v>
          </cell>
          <cell r="BA93">
            <v>0.06</v>
          </cell>
          <cell r="BB93">
            <v>0.23</v>
          </cell>
          <cell r="BC93">
            <v>0.57000000000000006</v>
          </cell>
          <cell r="BD93">
            <v>8.89</v>
          </cell>
          <cell r="BE93">
            <v>95.87</v>
          </cell>
          <cell r="BH93">
            <v>1.1599999999999999</v>
          </cell>
          <cell r="BJ93">
            <v>8.1300000000000008</v>
          </cell>
          <cell r="CS93">
            <v>40</v>
          </cell>
          <cell r="CT93">
            <v>3</v>
          </cell>
          <cell r="CV93">
            <v>3.74</v>
          </cell>
          <cell r="CW93">
            <v>5.72</v>
          </cell>
        </row>
        <row r="94">
          <cell r="B94">
            <v>25</v>
          </cell>
          <cell r="C94">
            <v>364.6</v>
          </cell>
          <cell r="D94">
            <v>386</v>
          </cell>
          <cell r="F94">
            <v>8.91</v>
          </cell>
          <cell r="G94">
            <v>5.27</v>
          </cell>
          <cell r="H94">
            <v>8.91</v>
          </cell>
          <cell r="J94">
            <v>43.322109988776653</v>
          </cell>
          <cell r="L94">
            <v>5.26</v>
          </cell>
          <cell r="M94">
            <v>88.87</v>
          </cell>
          <cell r="N94">
            <v>23.023316062176168</v>
          </cell>
          <cell r="Q94">
            <v>97.16</v>
          </cell>
          <cell r="S94">
            <v>163.56999999999991</v>
          </cell>
          <cell r="T94">
            <v>163.56999999999991</v>
          </cell>
          <cell r="V94">
            <v>15.787000000000001</v>
          </cell>
          <cell r="W94">
            <v>4.0898963730569946</v>
          </cell>
          <cell r="AB94">
            <v>151.727</v>
          </cell>
          <cell r="AC94">
            <v>2.69</v>
          </cell>
          <cell r="AD94">
            <v>2.6</v>
          </cell>
          <cell r="AH94">
            <v>6.2</v>
          </cell>
          <cell r="AI94">
            <v>5.19</v>
          </cell>
          <cell r="AK94">
            <v>2.58</v>
          </cell>
          <cell r="AN94">
            <v>93.93</v>
          </cell>
          <cell r="AO94">
            <v>93.93</v>
          </cell>
          <cell r="AQ94">
            <v>0</v>
          </cell>
          <cell r="AS94">
            <v>6.05</v>
          </cell>
          <cell r="AU94">
            <v>0.86</v>
          </cell>
          <cell r="AX94">
            <v>4.3600000000000003</v>
          </cell>
          <cell r="AY94">
            <v>95</v>
          </cell>
          <cell r="AZ94">
            <v>0.8</v>
          </cell>
          <cell r="BA94">
            <v>0.09</v>
          </cell>
          <cell r="BB94">
            <v>0.28000000000000003</v>
          </cell>
          <cell r="BC94">
            <v>1.17</v>
          </cell>
          <cell r="BD94">
            <v>7.33</v>
          </cell>
          <cell r="BE94">
            <v>96.31</v>
          </cell>
          <cell r="BH94">
            <v>1.25</v>
          </cell>
          <cell r="BJ94">
            <v>8.26</v>
          </cell>
          <cell r="CS94">
            <v>40</v>
          </cell>
          <cell r="CT94">
            <v>3</v>
          </cell>
          <cell r="CV94">
            <v>4.8</v>
          </cell>
          <cell r="CW94">
            <v>7.78</v>
          </cell>
        </row>
        <row r="95">
          <cell r="B95">
            <v>26</v>
          </cell>
          <cell r="C95">
            <v>218.06</v>
          </cell>
          <cell r="D95">
            <v>272</v>
          </cell>
          <cell r="F95">
            <v>7.13</v>
          </cell>
          <cell r="H95">
            <v>7.13</v>
          </cell>
          <cell r="J95">
            <v>38.14866760168303</v>
          </cell>
          <cell r="L95">
            <v>7.39</v>
          </cell>
          <cell r="M95">
            <v>63.140999999999998</v>
          </cell>
          <cell r="N95">
            <v>23.213602941176468</v>
          </cell>
          <cell r="Q95">
            <v>72.459999999999994</v>
          </cell>
          <cell r="S95">
            <v>154.25099999999992</v>
          </cell>
          <cell r="T95">
            <v>154.25099999999992</v>
          </cell>
          <cell r="V95">
            <v>11.151999999999999</v>
          </cell>
          <cell r="W95">
            <v>4.0999999999999996</v>
          </cell>
          <cell r="AB95">
            <v>162.87899999999999</v>
          </cell>
          <cell r="AC95">
            <v>2.35</v>
          </cell>
          <cell r="AD95">
            <v>2.4900000000000002</v>
          </cell>
          <cell r="AH95">
            <v>8.4</v>
          </cell>
          <cell r="AI95">
            <v>7.47</v>
          </cell>
          <cell r="AK95">
            <v>2.54</v>
          </cell>
          <cell r="AN95">
            <v>61.66</v>
          </cell>
          <cell r="AO95">
            <v>61.66</v>
          </cell>
          <cell r="AQ95">
            <v>0</v>
          </cell>
          <cell r="AS95">
            <v>6.25</v>
          </cell>
          <cell r="AU95">
            <v>0.73</v>
          </cell>
          <cell r="AX95">
            <v>4.17</v>
          </cell>
          <cell r="AY95">
            <v>95.5</v>
          </cell>
          <cell r="AZ95">
            <v>0.79</v>
          </cell>
          <cell r="BA95">
            <v>0.02</v>
          </cell>
          <cell r="BB95">
            <v>0.26</v>
          </cell>
          <cell r="BC95">
            <v>1.07</v>
          </cell>
          <cell r="BD95">
            <v>10.93</v>
          </cell>
          <cell r="BE95">
            <v>94.81</v>
          </cell>
          <cell r="BH95">
            <v>1.53</v>
          </cell>
          <cell r="BJ95">
            <v>9.82</v>
          </cell>
          <cell r="CS95">
            <v>40</v>
          </cell>
          <cell r="CT95">
            <v>3</v>
          </cell>
          <cell r="CV95">
            <v>3.85</v>
          </cell>
          <cell r="CW95">
            <v>11.74</v>
          </cell>
        </row>
        <row r="96">
          <cell r="B96">
            <v>27</v>
          </cell>
          <cell r="C96">
            <v>261.64</v>
          </cell>
          <cell r="D96">
            <v>242</v>
          </cell>
          <cell r="F96">
            <v>6.1</v>
          </cell>
          <cell r="H96">
            <v>6.1</v>
          </cell>
          <cell r="J96">
            <v>39.672131147540988</v>
          </cell>
          <cell r="L96">
            <v>11.02</v>
          </cell>
          <cell r="M96">
            <v>56.41</v>
          </cell>
          <cell r="N96">
            <v>23.309917355371901</v>
          </cell>
          <cell r="Q96">
            <v>73.13</v>
          </cell>
          <cell r="S96">
            <v>137.53099999999992</v>
          </cell>
          <cell r="T96">
            <v>137.53099999999992</v>
          </cell>
          <cell r="V96">
            <v>9.8010000000000002</v>
          </cell>
          <cell r="W96">
            <v>4.05</v>
          </cell>
          <cell r="AB96">
            <v>172.67999999999998</v>
          </cell>
          <cell r="AC96">
            <v>2.1800000000000002</v>
          </cell>
          <cell r="AD96">
            <v>2.35</v>
          </cell>
          <cell r="AH96">
            <v>7.8</v>
          </cell>
          <cell r="AI96">
            <v>7.74</v>
          </cell>
          <cell r="AK96">
            <v>2.4700000000000002</v>
          </cell>
          <cell r="AN96">
            <v>50.12</v>
          </cell>
          <cell r="AO96">
            <v>50.12</v>
          </cell>
          <cell r="AQ96">
            <v>0</v>
          </cell>
          <cell r="AS96">
            <v>5.49</v>
          </cell>
          <cell r="AU96">
            <v>1.1299999999999999</v>
          </cell>
          <cell r="AX96">
            <v>5.23</v>
          </cell>
          <cell r="AY96">
            <v>94.8</v>
          </cell>
          <cell r="AZ96">
            <v>0.16</v>
          </cell>
          <cell r="BA96">
            <v>0.01</v>
          </cell>
          <cell r="BB96">
            <v>0.3</v>
          </cell>
          <cell r="BC96">
            <v>0.47</v>
          </cell>
          <cell r="BD96">
            <v>12.33</v>
          </cell>
          <cell r="BE96">
            <v>95.79</v>
          </cell>
          <cell r="BH96">
            <v>1.26</v>
          </cell>
          <cell r="BJ96">
            <v>7.59</v>
          </cell>
          <cell r="CS96">
            <v>40</v>
          </cell>
          <cell r="CT96">
            <v>3</v>
          </cell>
          <cell r="CV96">
            <v>4.24</v>
          </cell>
          <cell r="CW96">
            <v>8.4600000000000009</v>
          </cell>
        </row>
        <row r="97">
          <cell r="B97">
            <v>28</v>
          </cell>
          <cell r="C97">
            <v>271.51</v>
          </cell>
          <cell r="D97">
            <v>237</v>
          </cell>
          <cell r="F97">
            <v>6.28</v>
          </cell>
          <cell r="H97">
            <v>6.28</v>
          </cell>
          <cell r="J97">
            <v>37.738853503184714</v>
          </cell>
          <cell r="L97">
            <v>9.91</v>
          </cell>
          <cell r="M97">
            <v>55.101999999999997</v>
          </cell>
          <cell r="N97">
            <v>23.249789029535865</v>
          </cell>
          <cell r="Q97">
            <v>0</v>
          </cell>
          <cell r="S97">
            <v>192.63299999999992</v>
          </cell>
          <cell r="T97">
            <v>192.63299999999992</v>
          </cell>
          <cell r="V97">
            <v>9.6229999999999993</v>
          </cell>
          <cell r="W97">
            <v>4.0603375527426158</v>
          </cell>
          <cell r="AB97">
            <v>182.30299999999997</v>
          </cell>
          <cell r="AC97">
            <v>2.19</v>
          </cell>
          <cell r="AD97">
            <v>2.3199999999999998</v>
          </cell>
          <cell r="AH97">
            <v>4.8</v>
          </cell>
          <cell r="AI97">
            <v>8.77</v>
          </cell>
          <cell r="AN97">
            <v>53.37</v>
          </cell>
          <cell r="AO97">
            <v>53.37</v>
          </cell>
          <cell r="AQ97">
            <v>0</v>
          </cell>
          <cell r="AS97">
            <v>5.61</v>
          </cell>
          <cell r="AU97">
            <v>1.24</v>
          </cell>
          <cell r="AX97">
            <v>4.92</v>
          </cell>
          <cell r="AY97">
            <v>95.6</v>
          </cell>
          <cell r="AZ97">
            <v>0.28000000000000003</v>
          </cell>
          <cell r="BA97">
            <v>0.01</v>
          </cell>
          <cell r="BB97">
            <v>0.25</v>
          </cell>
          <cell r="BC97">
            <v>0.54</v>
          </cell>
          <cell r="BD97">
            <v>13.33</v>
          </cell>
          <cell r="BE97">
            <v>95.71</v>
          </cell>
          <cell r="BH97">
            <v>1.29</v>
          </cell>
          <cell r="BJ97">
            <v>14.55</v>
          </cell>
          <cell r="CS97">
            <v>40</v>
          </cell>
          <cell r="CT97">
            <v>3</v>
          </cell>
          <cell r="CV97">
            <v>4.71</v>
          </cell>
          <cell r="CW97">
            <v>11.31</v>
          </cell>
        </row>
        <row r="98">
          <cell r="B98">
            <v>29</v>
          </cell>
          <cell r="C98">
            <v>228.71</v>
          </cell>
          <cell r="D98">
            <v>268</v>
          </cell>
          <cell r="F98">
            <v>3.85</v>
          </cell>
          <cell r="G98">
            <v>7.08</v>
          </cell>
          <cell r="H98">
            <v>7.08</v>
          </cell>
          <cell r="J98">
            <v>37.853107344632768</v>
          </cell>
          <cell r="L98">
            <v>8.64</v>
          </cell>
          <cell r="M98">
            <v>60.026000000000003</v>
          </cell>
          <cell r="N98">
            <v>22.397761194029854</v>
          </cell>
          <cell r="Q98">
            <v>0</v>
          </cell>
          <cell r="S98">
            <v>252.65899999999993</v>
          </cell>
          <cell r="T98">
            <v>252.65899999999993</v>
          </cell>
          <cell r="V98">
            <v>10.935</v>
          </cell>
          <cell r="W98">
            <v>4.080223880597015</v>
          </cell>
          <cell r="Y98">
            <v>49.88</v>
          </cell>
          <cell r="AB98">
            <v>143.35799999999998</v>
          </cell>
          <cell r="AC98">
            <v>2.06</v>
          </cell>
          <cell r="AD98">
            <v>2.33</v>
          </cell>
          <cell r="AH98">
            <v>5</v>
          </cell>
          <cell r="AI98">
            <v>5.0999999999999996</v>
          </cell>
          <cell r="AL98">
            <v>5.83</v>
          </cell>
          <cell r="AM98">
            <v>6.88</v>
          </cell>
          <cell r="AN98">
            <v>58.83</v>
          </cell>
          <cell r="AO98">
            <v>58.83</v>
          </cell>
          <cell r="AQ98">
            <v>0</v>
          </cell>
          <cell r="AS98">
            <v>5.32</v>
          </cell>
          <cell r="AU98">
            <v>1.03</v>
          </cell>
          <cell r="AX98">
            <v>3.67</v>
          </cell>
          <cell r="AY98">
            <v>97.6</v>
          </cell>
          <cell r="AZ98">
            <v>0.92</v>
          </cell>
          <cell r="BA98">
            <v>0.21</v>
          </cell>
          <cell r="BB98">
            <v>0.53</v>
          </cell>
          <cell r="BC98">
            <v>1.6600000000000001</v>
          </cell>
          <cell r="BD98">
            <v>9.73</v>
          </cell>
          <cell r="BE98">
            <v>96.42</v>
          </cell>
          <cell r="BH98">
            <v>1.31</v>
          </cell>
          <cell r="BJ98">
            <v>7.29</v>
          </cell>
          <cell r="CS98">
            <v>40</v>
          </cell>
          <cell r="CT98">
            <v>3</v>
          </cell>
        </row>
        <row r="99">
          <cell r="B99">
            <v>30</v>
          </cell>
          <cell r="J99" t="e">
            <v>#DIV/0!</v>
          </cell>
          <cell r="N99" t="e">
            <v>#DIV/0!</v>
          </cell>
          <cell r="Q99">
            <v>0</v>
          </cell>
          <cell r="S99">
            <v>252.65899999999993</v>
          </cell>
          <cell r="T99">
            <v>252.65899999999993</v>
          </cell>
          <cell r="W99" t="e">
            <v>#DIV/0!</v>
          </cell>
          <cell r="AB99">
            <v>143.35799999999998</v>
          </cell>
          <cell r="AQ99">
            <v>0</v>
          </cell>
          <cell r="BC99">
            <v>0</v>
          </cell>
          <cell r="CS99">
            <v>40</v>
          </cell>
          <cell r="CT99">
            <v>3</v>
          </cell>
          <cell r="CV99">
            <v>5.34</v>
          </cell>
          <cell r="CW99">
            <v>13.42</v>
          </cell>
        </row>
        <row r="100">
          <cell r="B100">
            <v>31</v>
          </cell>
          <cell r="C100">
            <v>367.74</v>
          </cell>
          <cell r="D100">
            <v>379</v>
          </cell>
          <cell r="F100">
            <v>9.4</v>
          </cell>
          <cell r="G100">
            <v>4.93</v>
          </cell>
          <cell r="H100">
            <v>9.4</v>
          </cell>
          <cell r="J100">
            <v>40.319148936170208</v>
          </cell>
          <cell r="L100">
            <v>7.94</v>
          </cell>
          <cell r="M100">
            <v>86.777000000000001</v>
          </cell>
          <cell r="N100">
            <v>22.896306068601582</v>
          </cell>
          <cell r="Q100">
            <v>146.79</v>
          </cell>
          <cell r="S100">
            <v>192.64599999999993</v>
          </cell>
          <cell r="T100">
            <v>192.64599999999993</v>
          </cell>
          <cell r="V100">
            <v>15.8</v>
          </cell>
          <cell r="W100">
            <v>4.1688654353562002</v>
          </cell>
          <cell r="Y100">
            <v>45.63</v>
          </cell>
          <cell r="AB100">
            <v>113.52799999999999</v>
          </cell>
          <cell r="AC100">
            <v>2.23</v>
          </cell>
          <cell r="AD100">
            <v>2.2599999999999998</v>
          </cell>
          <cell r="AH100">
            <v>5.8</v>
          </cell>
          <cell r="AI100">
            <v>7.17</v>
          </cell>
          <cell r="AK100">
            <v>2.31</v>
          </cell>
          <cell r="AL100">
            <v>5.92</v>
          </cell>
          <cell r="AM100">
            <v>5.0999999999999996</v>
          </cell>
          <cell r="AN100">
            <v>72.959999999999994</v>
          </cell>
          <cell r="AO100">
            <v>72.959999999999994</v>
          </cell>
          <cell r="AQ100">
            <v>0</v>
          </cell>
          <cell r="AS100">
            <v>7.96</v>
          </cell>
          <cell r="AU100">
            <v>1.03</v>
          </cell>
          <cell r="AX100">
            <v>5.82</v>
          </cell>
          <cell r="AY100">
            <v>96.47</v>
          </cell>
          <cell r="AZ100">
            <v>0.41</v>
          </cell>
          <cell r="BA100">
            <v>0.21</v>
          </cell>
          <cell r="BB100">
            <v>0.35</v>
          </cell>
          <cell r="BC100">
            <v>0.97</v>
          </cell>
          <cell r="BD100">
            <v>7.64</v>
          </cell>
          <cell r="BE100">
            <v>119.67</v>
          </cell>
          <cell r="BH100">
            <v>1.23</v>
          </cell>
          <cell r="BJ100">
            <v>7</v>
          </cell>
          <cell r="CS100">
            <v>40</v>
          </cell>
          <cell r="CT100">
            <v>3</v>
          </cell>
        </row>
        <row r="101">
          <cell r="B101" t="str">
            <v>APR/1</v>
          </cell>
          <cell r="C101">
            <v>275.86</v>
          </cell>
          <cell r="D101">
            <v>267</v>
          </cell>
          <cell r="F101">
            <v>4.5599999999999996</v>
          </cell>
          <cell r="G101">
            <v>6.21</v>
          </cell>
          <cell r="H101">
            <v>6.21</v>
          </cell>
          <cell r="J101" t="e">
            <v>#DIV/0!</v>
          </cell>
          <cell r="M101">
            <v>60.075000000000003</v>
          </cell>
          <cell r="Q101">
            <v>0</v>
          </cell>
          <cell r="S101">
            <v>192.64599999999993</v>
          </cell>
          <cell r="T101">
            <v>192.64599999999993</v>
          </cell>
          <cell r="V101">
            <v>11.28</v>
          </cell>
          <cell r="Y101">
            <v>45.79</v>
          </cell>
          <cell r="AB101">
            <v>113.52799999999999</v>
          </cell>
          <cell r="AC101">
            <v>2.16</v>
          </cell>
          <cell r="AD101">
            <v>2.29</v>
          </cell>
          <cell r="AN101">
            <v>68.900000000000006</v>
          </cell>
          <cell r="AO101">
            <v>68.900000000000006</v>
          </cell>
          <cell r="AQ101">
            <v>0</v>
          </cell>
          <cell r="CS101">
            <v>40</v>
          </cell>
          <cell r="CT101">
            <v>3</v>
          </cell>
        </row>
        <row r="102">
          <cell r="B102">
            <v>2</v>
          </cell>
          <cell r="J102" t="e">
            <v>#DIV/0!</v>
          </cell>
          <cell r="Q102">
            <v>0</v>
          </cell>
          <cell r="S102">
            <v>192.64599999999993</v>
          </cell>
          <cell r="T102">
            <v>192.64599999999993</v>
          </cell>
          <cell r="AB102">
            <v>113.52799999999999</v>
          </cell>
          <cell r="AQ102">
            <v>0</v>
          </cell>
          <cell r="CS102">
            <v>40</v>
          </cell>
          <cell r="CT102">
            <v>3</v>
          </cell>
        </row>
        <row r="103">
          <cell r="B103">
            <v>3</v>
          </cell>
          <cell r="C103">
            <v>382.33</v>
          </cell>
          <cell r="D103">
            <v>301</v>
          </cell>
          <cell r="F103">
            <v>6.16</v>
          </cell>
          <cell r="G103">
            <v>5.5</v>
          </cell>
          <cell r="H103">
            <v>6.16</v>
          </cell>
          <cell r="J103" t="e">
            <v>#DIV/0!</v>
          </cell>
          <cell r="M103">
            <v>66.22</v>
          </cell>
          <cell r="Q103">
            <v>0</v>
          </cell>
          <cell r="S103">
            <v>192.64599999999993</v>
          </cell>
          <cell r="T103">
            <v>192.64599999999993</v>
          </cell>
          <cell r="V103">
            <v>12.384</v>
          </cell>
          <cell r="AB103">
            <v>113.52799999999999</v>
          </cell>
          <cell r="AC103">
            <v>2.31</v>
          </cell>
          <cell r="AD103">
            <v>2.2599999999999998</v>
          </cell>
          <cell r="AN103">
            <v>68.739999999999995</v>
          </cell>
          <cell r="AO103">
            <v>68.739999999999995</v>
          </cell>
          <cell r="AQ103">
            <v>0</v>
          </cell>
          <cell r="CS103">
            <v>40</v>
          </cell>
          <cell r="CT103">
            <v>3</v>
          </cell>
        </row>
        <row r="104">
          <cell r="B104">
            <v>4</v>
          </cell>
          <cell r="C104">
            <v>393.82</v>
          </cell>
          <cell r="D104">
            <v>386</v>
          </cell>
          <cell r="F104">
            <v>8.48</v>
          </cell>
          <cell r="G104">
            <v>6.49</v>
          </cell>
          <cell r="H104">
            <v>8.48</v>
          </cell>
          <cell r="J104" t="e">
            <v>#DIV/0!</v>
          </cell>
          <cell r="M104">
            <v>86.85</v>
          </cell>
          <cell r="Q104">
            <v>0</v>
          </cell>
          <cell r="S104">
            <v>192.64599999999993</v>
          </cell>
          <cell r="T104">
            <v>192.64599999999993</v>
          </cell>
          <cell r="V104">
            <v>15.6</v>
          </cell>
          <cell r="AB104">
            <v>113.52799999999999</v>
          </cell>
          <cell r="AC104">
            <v>2.15</v>
          </cell>
          <cell r="AD104">
            <v>2.16</v>
          </cell>
          <cell r="AN104">
            <v>85.08</v>
          </cell>
          <cell r="AO104">
            <v>85.08</v>
          </cell>
          <cell r="AQ104">
            <v>0</v>
          </cell>
          <cell r="CS104">
            <v>40</v>
          </cell>
          <cell r="CT104">
            <v>3</v>
          </cell>
        </row>
        <row r="105">
          <cell r="B105">
            <v>5</v>
          </cell>
          <cell r="C105">
            <v>323.60000000000002</v>
          </cell>
          <cell r="D105">
            <v>432</v>
          </cell>
          <cell r="F105">
            <v>9.89</v>
          </cell>
          <cell r="G105">
            <v>5.28</v>
          </cell>
          <cell r="H105">
            <v>9.89</v>
          </cell>
          <cell r="J105" t="e">
            <v>#DIV/0!</v>
          </cell>
          <cell r="M105">
            <v>99.436000000000007</v>
          </cell>
          <cell r="Q105">
            <v>0</v>
          </cell>
          <cell r="S105">
            <v>192.64599999999993</v>
          </cell>
          <cell r="T105">
            <v>192.64599999999993</v>
          </cell>
          <cell r="V105">
            <v>17.5</v>
          </cell>
          <cell r="AB105">
            <v>113.52799999999999</v>
          </cell>
          <cell r="AC105">
            <v>2.0699999999999998</v>
          </cell>
          <cell r="AD105">
            <v>2.1</v>
          </cell>
          <cell r="AN105">
            <v>94.91</v>
          </cell>
          <cell r="AO105">
            <v>94.91</v>
          </cell>
          <cell r="AQ105">
            <v>0</v>
          </cell>
          <cell r="CS105">
            <v>40</v>
          </cell>
          <cell r="CT105">
            <v>3</v>
          </cell>
        </row>
        <row r="106">
          <cell r="B106">
            <v>6</v>
          </cell>
          <cell r="J106" t="e">
            <v>#DIV/0!</v>
          </cell>
          <cell r="Q106">
            <v>0</v>
          </cell>
          <cell r="S106">
            <v>192.64599999999993</v>
          </cell>
          <cell r="T106">
            <v>192.64599999999993</v>
          </cell>
          <cell r="AB106">
            <v>113.52799999999999</v>
          </cell>
          <cell r="AQ106">
            <v>0</v>
          </cell>
          <cell r="CS106">
            <v>40</v>
          </cell>
          <cell r="CT106">
            <v>3</v>
          </cell>
        </row>
        <row r="107">
          <cell r="B107">
            <v>7</v>
          </cell>
          <cell r="C107">
            <v>550.25</v>
          </cell>
          <cell r="D107">
            <v>389</v>
          </cell>
          <cell r="F107">
            <v>8.6999999999999993</v>
          </cell>
          <cell r="G107">
            <v>7.96</v>
          </cell>
          <cell r="H107">
            <v>8.6999999999999993</v>
          </cell>
          <cell r="J107" t="e">
            <v>#DIV/0!</v>
          </cell>
          <cell r="M107">
            <v>90.637</v>
          </cell>
          <cell r="Q107">
            <v>0</v>
          </cell>
          <cell r="S107">
            <v>192.64599999999993</v>
          </cell>
          <cell r="T107">
            <v>192.64599999999993</v>
          </cell>
          <cell r="V107">
            <v>15.84</v>
          </cell>
          <cell r="Y107">
            <v>40.93</v>
          </cell>
          <cell r="AB107">
            <v>113.52799999999999</v>
          </cell>
          <cell r="AC107">
            <v>2.33</v>
          </cell>
          <cell r="AD107">
            <v>2.29</v>
          </cell>
          <cell r="AN107">
            <v>98.66</v>
          </cell>
          <cell r="AO107">
            <v>98.66</v>
          </cell>
          <cell r="AQ107">
            <v>0</v>
          </cell>
          <cell r="CS107">
            <v>40</v>
          </cell>
          <cell r="CT107">
            <v>3</v>
          </cell>
        </row>
        <row r="108">
          <cell r="B108">
            <v>8</v>
          </cell>
          <cell r="C108">
            <v>604.04999999999995</v>
          </cell>
          <cell r="D108">
            <v>620</v>
          </cell>
          <cell r="F108">
            <v>13.56</v>
          </cell>
          <cell r="G108">
            <v>13.34</v>
          </cell>
          <cell r="H108">
            <v>13.56</v>
          </cell>
          <cell r="J108" t="e">
            <v>#DIV/0!</v>
          </cell>
          <cell r="M108">
            <v>143.53</v>
          </cell>
          <cell r="Q108">
            <v>0</v>
          </cell>
          <cell r="S108">
            <v>192.64599999999993</v>
          </cell>
          <cell r="T108">
            <v>192.64599999999993</v>
          </cell>
          <cell r="V108">
            <v>24.96</v>
          </cell>
          <cell r="Y108">
            <v>46.23</v>
          </cell>
          <cell r="AB108">
            <v>113.52799999999999</v>
          </cell>
          <cell r="AC108">
            <v>2.15</v>
          </cell>
          <cell r="AD108">
            <v>2.25</v>
          </cell>
          <cell r="AN108">
            <v>127.1</v>
          </cell>
          <cell r="AO108">
            <v>127.1</v>
          </cell>
          <cell r="AQ108">
            <v>0</v>
          </cell>
          <cell r="CS108">
            <v>40</v>
          </cell>
          <cell r="CT108">
            <v>3</v>
          </cell>
        </row>
        <row r="109">
          <cell r="B109">
            <v>9</v>
          </cell>
          <cell r="C109">
            <v>522.80999999999995</v>
          </cell>
          <cell r="D109">
            <v>467</v>
          </cell>
          <cell r="F109">
            <v>8.19</v>
          </cell>
          <cell r="G109">
            <v>8.31</v>
          </cell>
          <cell r="H109">
            <v>11.75</v>
          </cell>
          <cell r="J109" t="e">
            <v>#DIV/0!</v>
          </cell>
          <cell r="M109">
            <v>109.791</v>
          </cell>
          <cell r="Q109">
            <v>0</v>
          </cell>
          <cell r="S109">
            <v>192.64599999999993</v>
          </cell>
          <cell r="T109">
            <v>192.64599999999993</v>
          </cell>
          <cell r="V109">
            <v>17.745999999999999</v>
          </cell>
          <cell r="Y109">
            <v>32.79</v>
          </cell>
          <cell r="AB109">
            <v>113.52799999999999</v>
          </cell>
          <cell r="AC109">
            <v>2.15</v>
          </cell>
          <cell r="AD109">
            <v>2.14</v>
          </cell>
          <cell r="AN109">
            <v>112.37</v>
          </cell>
          <cell r="AO109">
            <v>112.37</v>
          </cell>
          <cell r="AQ109">
            <v>0</v>
          </cell>
          <cell r="CS109">
            <v>40</v>
          </cell>
          <cell r="CT109">
            <v>3</v>
          </cell>
        </row>
        <row r="110">
          <cell r="B110">
            <v>10</v>
          </cell>
          <cell r="C110">
            <v>442</v>
          </cell>
          <cell r="D110">
            <v>595</v>
          </cell>
          <cell r="F110">
            <v>12.55</v>
          </cell>
          <cell r="G110">
            <v>11.11</v>
          </cell>
          <cell r="H110">
            <v>12.55</v>
          </cell>
          <cell r="J110" t="e">
            <v>#DIV/0!</v>
          </cell>
          <cell r="M110">
            <v>137.44499999999999</v>
          </cell>
          <cell r="Q110">
            <v>0</v>
          </cell>
          <cell r="S110">
            <v>192.64599999999993</v>
          </cell>
          <cell r="T110">
            <v>192.64599999999993</v>
          </cell>
          <cell r="V110">
            <v>20.943999999999999</v>
          </cell>
          <cell r="Y110">
            <v>39.58</v>
          </cell>
          <cell r="AB110">
            <v>113.52799999999999</v>
          </cell>
          <cell r="AC110">
            <v>2.2599999999999998</v>
          </cell>
          <cell r="AD110">
            <v>2.2200000000000002</v>
          </cell>
          <cell r="AN110">
            <v>118.14</v>
          </cell>
          <cell r="AO110">
            <v>118.14</v>
          </cell>
          <cell r="AQ110">
            <v>0</v>
          </cell>
          <cell r="CS110">
            <v>40</v>
          </cell>
          <cell r="CT110">
            <v>3</v>
          </cell>
        </row>
        <row r="111">
          <cell r="B111">
            <v>11</v>
          </cell>
          <cell r="C111">
            <v>338.38</v>
          </cell>
          <cell r="D111">
            <v>237</v>
          </cell>
          <cell r="F111">
            <v>5.71</v>
          </cell>
          <cell r="G111">
            <v>4.8600000000000003</v>
          </cell>
          <cell r="H111">
            <v>5.71</v>
          </cell>
          <cell r="J111" t="e">
            <v>#DIV/0!</v>
          </cell>
          <cell r="M111">
            <v>55.268000000000001</v>
          </cell>
          <cell r="Q111">
            <v>0</v>
          </cell>
          <cell r="S111">
            <v>192.64599999999993</v>
          </cell>
          <cell r="T111">
            <v>192.64599999999993</v>
          </cell>
          <cell r="V111">
            <v>8.3249999999999993</v>
          </cell>
          <cell r="Y111">
            <v>25.11</v>
          </cell>
          <cell r="AB111">
            <v>113.52799999999999</v>
          </cell>
          <cell r="AC111">
            <v>2.4500000000000002</v>
          </cell>
          <cell r="AD111">
            <v>2.2799999999999998</v>
          </cell>
          <cell r="AN111">
            <v>61.58</v>
          </cell>
          <cell r="AO111">
            <v>61.58</v>
          </cell>
          <cell r="AQ111">
            <v>0</v>
          </cell>
          <cell r="CS111">
            <v>40</v>
          </cell>
          <cell r="CT111">
            <v>3</v>
          </cell>
        </row>
        <row r="112">
          <cell r="B112">
            <v>12</v>
          </cell>
          <cell r="C112">
            <v>450.2</v>
          </cell>
          <cell r="D112">
            <v>567</v>
          </cell>
          <cell r="F112">
            <v>13.21</v>
          </cell>
          <cell r="G112">
            <v>9.09</v>
          </cell>
          <cell r="H112">
            <v>13.21</v>
          </cell>
          <cell r="J112" t="e">
            <v>#DIV/0!</v>
          </cell>
          <cell r="M112">
            <v>131.6</v>
          </cell>
          <cell r="Q112">
            <v>0</v>
          </cell>
          <cell r="S112">
            <v>192.64599999999993</v>
          </cell>
          <cell r="T112">
            <v>192.64599999999993</v>
          </cell>
          <cell r="V112">
            <v>19.844999999999999</v>
          </cell>
          <cell r="Y112">
            <v>25.96</v>
          </cell>
          <cell r="AB112">
            <v>113.52799999999999</v>
          </cell>
          <cell r="AC112">
            <v>2.39</v>
          </cell>
          <cell r="AD112">
            <v>2.36</v>
          </cell>
          <cell r="AN112">
            <v>113.4</v>
          </cell>
          <cell r="AO112">
            <v>104.38</v>
          </cell>
          <cell r="AQ112">
            <v>0</v>
          </cell>
          <cell r="CS112">
            <v>40</v>
          </cell>
          <cell r="CT112">
            <v>3</v>
          </cell>
        </row>
        <row r="113">
          <cell r="B113">
            <v>13</v>
          </cell>
          <cell r="J113" t="e">
            <v>#DIV/0!</v>
          </cell>
          <cell r="Q113">
            <v>0</v>
          </cell>
          <cell r="S113">
            <v>192.64599999999993</v>
          </cell>
          <cell r="T113">
            <v>192.64599999999993</v>
          </cell>
          <cell r="AB113">
            <v>113.52799999999999</v>
          </cell>
          <cell r="AQ113">
            <v>0</v>
          </cell>
          <cell r="CS113">
            <v>40</v>
          </cell>
          <cell r="CT113">
            <v>3</v>
          </cell>
        </row>
        <row r="114">
          <cell r="B114">
            <v>14</v>
          </cell>
          <cell r="C114">
            <v>520.48</v>
          </cell>
          <cell r="D114">
            <v>390</v>
          </cell>
          <cell r="F114">
            <v>8.8699999999999992</v>
          </cell>
          <cell r="G114">
            <v>9.0399999999999991</v>
          </cell>
          <cell r="H114">
            <v>9.0399999999999991</v>
          </cell>
          <cell r="J114" t="e">
            <v>#DIV/0!</v>
          </cell>
          <cell r="M114">
            <v>91.65</v>
          </cell>
          <cell r="Q114">
            <v>0</v>
          </cell>
          <cell r="S114">
            <v>192.64599999999993</v>
          </cell>
          <cell r="T114">
            <v>192.64599999999993</v>
          </cell>
          <cell r="V114">
            <v>13.88</v>
          </cell>
          <cell r="Y114">
            <v>12.98</v>
          </cell>
          <cell r="AB114">
            <v>113.52799999999999</v>
          </cell>
          <cell r="AC114">
            <v>2.4700000000000002</v>
          </cell>
          <cell r="AD114">
            <v>2.4</v>
          </cell>
          <cell r="AN114">
            <v>91.99</v>
          </cell>
          <cell r="AO114">
            <v>101.01</v>
          </cell>
          <cell r="AQ114">
            <v>0</v>
          </cell>
          <cell r="CS114">
            <v>40</v>
          </cell>
          <cell r="CT114">
            <v>3</v>
          </cell>
        </row>
        <row r="115">
          <cell r="B115">
            <v>15</v>
          </cell>
          <cell r="C115">
            <v>310.94</v>
          </cell>
          <cell r="D115">
            <v>442</v>
          </cell>
          <cell r="F115">
            <v>7.75</v>
          </cell>
          <cell r="G115">
            <v>12.47</v>
          </cell>
          <cell r="H115">
            <v>12.47</v>
          </cell>
          <cell r="J115" t="e">
            <v>#DIV/0!</v>
          </cell>
          <cell r="M115">
            <v>105.417</v>
          </cell>
          <cell r="Q115">
            <v>0</v>
          </cell>
          <cell r="S115">
            <v>192.64599999999993</v>
          </cell>
          <cell r="T115">
            <v>192.64599999999993</v>
          </cell>
          <cell r="V115">
            <v>15.504</v>
          </cell>
          <cell r="AB115">
            <v>113.52799999999999</v>
          </cell>
          <cell r="AC115">
            <v>2.36</v>
          </cell>
          <cell r="AD115">
            <v>2.33</v>
          </cell>
          <cell r="AN115">
            <v>88.25</v>
          </cell>
          <cell r="AO115">
            <v>88.25</v>
          </cell>
          <cell r="AQ115">
            <v>0</v>
          </cell>
          <cell r="CS115">
            <v>40</v>
          </cell>
          <cell r="CT115">
            <v>3</v>
          </cell>
        </row>
        <row r="116">
          <cell r="B116">
            <v>16</v>
          </cell>
          <cell r="C116">
            <v>460.01</v>
          </cell>
          <cell r="D116">
            <v>420</v>
          </cell>
          <cell r="F116">
            <v>6.92</v>
          </cell>
          <cell r="G116">
            <v>9.85</v>
          </cell>
          <cell r="H116">
            <v>9.85</v>
          </cell>
          <cell r="J116" t="e">
            <v>#DIV/0!</v>
          </cell>
          <cell r="M116">
            <v>98.49</v>
          </cell>
          <cell r="Q116">
            <v>0</v>
          </cell>
          <cell r="S116">
            <v>192.64599999999993</v>
          </cell>
          <cell r="T116">
            <v>192.64599999999993</v>
          </cell>
          <cell r="V116">
            <v>16.13</v>
          </cell>
          <cell r="Y116">
            <v>31.86</v>
          </cell>
          <cell r="AB116">
            <v>113.52799999999999</v>
          </cell>
          <cell r="AC116">
            <v>2.2599999999999998</v>
          </cell>
          <cell r="AD116">
            <v>2.31</v>
          </cell>
          <cell r="AN116">
            <v>94.25</v>
          </cell>
          <cell r="AO116">
            <v>94.25</v>
          </cell>
          <cell r="AQ116">
            <v>0</v>
          </cell>
          <cell r="CS116">
            <v>40</v>
          </cell>
          <cell r="CT116">
            <v>3</v>
          </cell>
        </row>
        <row r="117">
          <cell r="B117">
            <v>17</v>
          </cell>
          <cell r="C117">
            <v>560.87</v>
          </cell>
          <cell r="D117">
            <v>613</v>
          </cell>
          <cell r="F117">
            <v>11.21</v>
          </cell>
          <cell r="G117">
            <v>14.55</v>
          </cell>
          <cell r="H117">
            <v>14.55</v>
          </cell>
          <cell r="J117" t="e">
            <v>#DIV/0!</v>
          </cell>
          <cell r="M117">
            <v>141.10900000000001</v>
          </cell>
          <cell r="Q117">
            <v>0</v>
          </cell>
          <cell r="S117">
            <v>192.64599999999993</v>
          </cell>
          <cell r="T117">
            <v>192.64599999999993</v>
          </cell>
          <cell r="V117">
            <v>22.898</v>
          </cell>
          <cell r="Y117">
            <v>5.87</v>
          </cell>
          <cell r="AB117">
            <v>113.52799999999999</v>
          </cell>
          <cell r="AC117">
            <v>2.15</v>
          </cell>
          <cell r="AD117">
            <v>2.29</v>
          </cell>
          <cell r="AN117">
            <v>120.16</v>
          </cell>
          <cell r="AO117">
            <v>120.16</v>
          </cell>
          <cell r="AQ117">
            <v>0</v>
          </cell>
          <cell r="CS117">
            <v>40</v>
          </cell>
          <cell r="CT117">
            <v>3</v>
          </cell>
        </row>
        <row r="118">
          <cell r="B118">
            <v>18</v>
          </cell>
          <cell r="J118" t="e">
            <v>#DIV/0!</v>
          </cell>
          <cell r="Q118">
            <v>0</v>
          </cell>
          <cell r="S118">
            <v>192.64599999999993</v>
          </cell>
          <cell r="T118">
            <v>192.64599999999993</v>
          </cell>
          <cell r="AB118">
            <v>113.52799999999999</v>
          </cell>
          <cell r="AQ118">
            <v>0</v>
          </cell>
          <cell r="CS118">
            <v>40</v>
          </cell>
          <cell r="CT118">
            <v>3</v>
          </cell>
        </row>
        <row r="119">
          <cell r="B119">
            <v>19</v>
          </cell>
          <cell r="C119">
            <v>717.38</v>
          </cell>
          <cell r="D119">
            <v>736</v>
          </cell>
          <cell r="F119">
            <v>13.27</v>
          </cell>
          <cell r="G119">
            <v>17.239999999999998</v>
          </cell>
          <cell r="H119">
            <v>17.239999999999998</v>
          </cell>
          <cell r="J119" t="e">
            <v>#DIV/0!</v>
          </cell>
          <cell r="M119">
            <v>169.32300000000001</v>
          </cell>
          <cell r="Q119">
            <v>0</v>
          </cell>
          <cell r="S119">
            <v>192.64599999999993</v>
          </cell>
          <cell r="T119">
            <v>192.64599999999993</v>
          </cell>
          <cell r="V119">
            <v>27.998000000000001</v>
          </cell>
          <cell r="Y119">
            <v>37.909999999999997</v>
          </cell>
          <cell r="AB119">
            <v>113.52799999999999</v>
          </cell>
          <cell r="AC119">
            <v>2.13</v>
          </cell>
          <cell r="AD119">
            <v>2.2000000000000002</v>
          </cell>
          <cell r="AN119">
            <v>144.6</v>
          </cell>
          <cell r="AO119">
            <v>144.6</v>
          </cell>
          <cell r="AQ119">
            <v>0</v>
          </cell>
          <cell r="CS119">
            <v>40</v>
          </cell>
          <cell r="CT119">
            <v>3</v>
          </cell>
        </row>
        <row r="120">
          <cell r="B120">
            <v>20</v>
          </cell>
          <cell r="J120" t="e">
            <v>#DIV/0!</v>
          </cell>
          <cell r="Q120">
            <v>0</v>
          </cell>
          <cell r="S120">
            <v>192.64599999999993</v>
          </cell>
          <cell r="T120">
            <v>192.64599999999993</v>
          </cell>
          <cell r="AB120">
            <v>113.52799999999999</v>
          </cell>
          <cell r="AQ120">
            <v>0</v>
          </cell>
          <cell r="CS120">
            <v>40</v>
          </cell>
          <cell r="CT120">
            <v>3</v>
          </cell>
        </row>
        <row r="121">
          <cell r="B121">
            <v>21</v>
          </cell>
          <cell r="C121">
            <v>740.02</v>
          </cell>
          <cell r="D121">
            <v>622</v>
          </cell>
          <cell r="F121">
            <v>12.2</v>
          </cell>
          <cell r="G121">
            <v>13.35</v>
          </cell>
          <cell r="H121">
            <v>13.35</v>
          </cell>
          <cell r="J121" t="e">
            <v>#DIV/0!</v>
          </cell>
          <cell r="M121">
            <v>143.184</v>
          </cell>
          <cell r="Q121">
            <v>0</v>
          </cell>
          <cell r="S121">
            <v>192.64599999999993</v>
          </cell>
          <cell r="T121">
            <v>192.64599999999993</v>
          </cell>
          <cell r="V121">
            <v>23.763999999999999</v>
          </cell>
          <cell r="Y121">
            <v>31.2</v>
          </cell>
          <cell r="AB121">
            <v>113.52799999999999</v>
          </cell>
          <cell r="AC121">
            <v>2.08</v>
          </cell>
          <cell r="AD121">
            <v>2.1800000000000002</v>
          </cell>
          <cell r="AN121">
            <v>150.74</v>
          </cell>
          <cell r="AO121">
            <v>150.74</v>
          </cell>
          <cell r="AQ121">
            <v>0</v>
          </cell>
          <cell r="CS121">
            <v>40</v>
          </cell>
          <cell r="CT121">
            <v>3</v>
          </cell>
        </row>
        <row r="122">
          <cell r="B122">
            <v>22</v>
          </cell>
          <cell r="C122">
            <v>557.38</v>
          </cell>
          <cell r="D122">
            <v>516</v>
          </cell>
          <cell r="F122">
            <v>8.77</v>
          </cell>
          <cell r="G122">
            <v>12.88</v>
          </cell>
          <cell r="H122">
            <v>12.88</v>
          </cell>
          <cell r="J122" t="e">
            <v>#DIV/0!</v>
          </cell>
          <cell r="M122">
            <v>119.29900000000001</v>
          </cell>
          <cell r="Q122">
            <v>0</v>
          </cell>
          <cell r="S122">
            <v>192.64599999999993</v>
          </cell>
          <cell r="T122">
            <v>192.64599999999993</v>
          </cell>
          <cell r="V122">
            <v>20.173999999999999</v>
          </cell>
          <cell r="Y122">
            <v>38.53</v>
          </cell>
          <cell r="AB122">
            <v>113.52799999999999</v>
          </cell>
          <cell r="AC122">
            <v>2.15</v>
          </cell>
          <cell r="AD122">
            <v>2.17</v>
          </cell>
          <cell r="AN122">
            <v>108.43</v>
          </cell>
          <cell r="AO122">
            <v>108.43</v>
          </cell>
          <cell r="AQ122">
            <v>0</v>
          </cell>
          <cell r="CS122">
            <v>40</v>
          </cell>
          <cell r="CT122">
            <v>3</v>
          </cell>
        </row>
        <row r="123">
          <cell r="B123">
            <v>23</v>
          </cell>
          <cell r="C123">
            <v>382.23</v>
          </cell>
          <cell r="D123">
            <v>435</v>
          </cell>
          <cell r="F123">
            <v>9.36</v>
          </cell>
          <cell r="G123">
            <v>10.26</v>
          </cell>
          <cell r="H123">
            <v>10.26</v>
          </cell>
          <cell r="J123" t="e">
            <v>#DIV/0!</v>
          </cell>
          <cell r="M123">
            <v>100.09</v>
          </cell>
          <cell r="Q123">
            <v>0</v>
          </cell>
          <cell r="S123">
            <v>192.64599999999993</v>
          </cell>
          <cell r="T123">
            <v>192.64599999999993</v>
          </cell>
          <cell r="V123">
            <v>17.183</v>
          </cell>
          <cell r="Y123">
            <v>12.34</v>
          </cell>
          <cell r="AB123">
            <v>113.52799999999999</v>
          </cell>
          <cell r="AC123">
            <v>2.1800000000000002</v>
          </cell>
          <cell r="AD123">
            <v>2.14</v>
          </cell>
          <cell r="AN123">
            <v>105.76</v>
          </cell>
          <cell r="AO123">
            <v>105.76</v>
          </cell>
          <cell r="AQ123">
            <v>0</v>
          </cell>
          <cell r="CS123">
            <v>40</v>
          </cell>
          <cell r="CT123">
            <v>3</v>
          </cell>
        </row>
        <row r="124">
          <cell r="B124">
            <v>24</v>
          </cell>
          <cell r="C124">
            <v>381.83</v>
          </cell>
          <cell r="D124">
            <v>449</v>
          </cell>
          <cell r="F124">
            <v>10.119999999999999</v>
          </cell>
          <cell r="G124">
            <v>11.48</v>
          </cell>
          <cell r="H124">
            <v>11.48</v>
          </cell>
          <cell r="J124" t="e">
            <v>#DIV/0!</v>
          </cell>
          <cell r="M124">
            <v>104.164</v>
          </cell>
          <cell r="Q124">
            <v>0</v>
          </cell>
          <cell r="S124">
            <v>192.64599999999993</v>
          </cell>
          <cell r="T124">
            <v>192.64599999999993</v>
          </cell>
          <cell r="V124">
            <v>18.004999999999999</v>
          </cell>
          <cell r="Y124">
            <v>20.010000000000002</v>
          </cell>
          <cell r="AB124">
            <v>113.52799999999999</v>
          </cell>
          <cell r="AC124">
            <v>2.19</v>
          </cell>
          <cell r="AD124">
            <v>2.2200000000000002</v>
          </cell>
          <cell r="AN124">
            <v>88.73</v>
          </cell>
          <cell r="AO124">
            <v>88.73</v>
          </cell>
          <cell r="AQ124">
            <v>0</v>
          </cell>
          <cell r="CS124">
            <v>40</v>
          </cell>
          <cell r="CT124">
            <v>3</v>
          </cell>
        </row>
        <row r="125">
          <cell r="B125">
            <v>25</v>
          </cell>
          <cell r="C125">
            <v>184.78</v>
          </cell>
          <cell r="D125">
            <v>148</v>
          </cell>
          <cell r="G125">
            <v>4.1500000000000004</v>
          </cell>
          <cell r="H125">
            <v>4.1500000000000004</v>
          </cell>
          <cell r="J125" t="e">
            <v>#DIV/0!</v>
          </cell>
          <cell r="M125">
            <v>34.054000000000002</v>
          </cell>
          <cell r="Q125">
            <v>0</v>
          </cell>
          <cell r="S125">
            <v>192.64599999999993</v>
          </cell>
          <cell r="T125">
            <v>192.64599999999993</v>
          </cell>
          <cell r="V125">
            <v>5.9349999999999996</v>
          </cell>
          <cell r="Y125">
            <v>11.11</v>
          </cell>
          <cell r="AB125">
            <v>113.52799999999999</v>
          </cell>
          <cell r="AC125">
            <v>2.16</v>
          </cell>
          <cell r="AD125">
            <v>2.11</v>
          </cell>
          <cell r="AN125">
            <v>32.21</v>
          </cell>
          <cell r="AO125">
            <v>32.21</v>
          </cell>
          <cell r="AQ125">
            <v>0</v>
          </cell>
          <cell r="CS125">
            <v>40</v>
          </cell>
          <cell r="CT125">
            <v>3</v>
          </cell>
        </row>
        <row r="126">
          <cell r="B126">
            <v>26</v>
          </cell>
          <cell r="C126">
            <v>195.82</v>
          </cell>
          <cell r="D126">
            <v>259</v>
          </cell>
          <cell r="G126">
            <v>7.95</v>
          </cell>
          <cell r="H126">
            <v>7.95</v>
          </cell>
          <cell r="J126" t="e">
            <v>#DIV/0!</v>
          </cell>
          <cell r="M126">
            <v>59.648000000000003</v>
          </cell>
          <cell r="Q126">
            <v>0</v>
          </cell>
          <cell r="S126">
            <v>192.64599999999993</v>
          </cell>
          <cell r="T126">
            <v>192.64599999999993</v>
          </cell>
          <cell r="V126">
            <v>10.385</v>
          </cell>
          <cell r="AB126">
            <v>113.52799999999999</v>
          </cell>
          <cell r="AC126">
            <v>2.2999999999999998</v>
          </cell>
          <cell r="AD126">
            <v>2.29</v>
          </cell>
          <cell r="AN126">
            <v>56.56</v>
          </cell>
          <cell r="AO126">
            <v>56.56</v>
          </cell>
          <cell r="AQ126">
            <v>0</v>
          </cell>
          <cell r="CS126">
            <v>40</v>
          </cell>
          <cell r="CT126">
            <v>3</v>
          </cell>
        </row>
        <row r="127">
          <cell r="B127">
            <v>27</v>
          </cell>
          <cell r="J127" t="e">
            <v>#DIV/0!</v>
          </cell>
          <cell r="Q127">
            <v>0</v>
          </cell>
          <cell r="S127">
            <v>192.64599999999993</v>
          </cell>
          <cell r="T127">
            <v>192.64599999999993</v>
          </cell>
          <cell r="AB127">
            <v>113.52799999999999</v>
          </cell>
          <cell r="AQ127">
            <v>0</v>
          </cell>
          <cell r="CS127">
            <v>40</v>
          </cell>
          <cell r="CT127">
            <v>3</v>
          </cell>
        </row>
        <row r="128">
          <cell r="B128">
            <v>28</v>
          </cell>
          <cell r="C128">
            <v>414.07</v>
          </cell>
          <cell r="D128">
            <v>394</v>
          </cell>
          <cell r="F128">
            <v>7.73</v>
          </cell>
          <cell r="G128">
            <v>10.08</v>
          </cell>
          <cell r="H128">
            <v>10.08</v>
          </cell>
          <cell r="J128" t="e">
            <v>#DIV/0!</v>
          </cell>
          <cell r="M128">
            <v>91.408000000000001</v>
          </cell>
          <cell r="Q128">
            <v>0</v>
          </cell>
          <cell r="S128">
            <v>192.64599999999993</v>
          </cell>
          <cell r="T128">
            <v>192.64599999999993</v>
          </cell>
          <cell r="V128">
            <v>16.154</v>
          </cell>
          <cell r="Y128">
            <v>13.98</v>
          </cell>
          <cell r="AB128">
            <v>113.52799999999999</v>
          </cell>
          <cell r="AC128">
            <v>2.27</v>
          </cell>
          <cell r="AD128">
            <v>2.29</v>
          </cell>
          <cell r="AN128">
            <v>67.180000000000007</v>
          </cell>
          <cell r="AO128">
            <v>67.180000000000007</v>
          </cell>
          <cell r="AQ128">
            <v>0</v>
          </cell>
          <cell r="CS128">
            <v>40</v>
          </cell>
          <cell r="CT128">
            <v>3</v>
          </cell>
        </row>
        <row r="129">
          <cell r="B129">
            <v>29</v>
          </cell>
          <cell r="C129">
            <v>297.75</v>
          </cell>
          <cell r="D129">
            <v>215</v>
          </cell>
          <cell r="G129">
            <v>7.65</v>
          </cell>
          <cell r="H129">
            <v>7.65</v>
          </cell>
          <cell r="J129" t="e">
            <v>#DIV/0!</v>
          </cell>
          <cell r="M129">
            <v>50.155999999999999</v>
          </cell>
          <cell r="Q129">
            <v>0</v>
          </cell>
          <cell r="S129">
            <v>192.64599999999993</v>
          </cell>
          <cell r="T129">
            <v>192.64599999999993</v>
          </cell>
          <cell r="V129">
            <v>8.7260000000000009</v>
          </cell>
          <cell r="Y129">
            <v>13.66</v>
          </cell>
          <cell r="AB129">
            <v>113.52799999999999</v>
          </cell>
          <cell r="AC129">
            <v>2.13</v>
          </cell>
          <cell r="AD129">
            <v>2.16</v>
          </cell>
          <cell r="AN129">
            <v>64.81</v>
          </cell>
          <cell r="AO129">
            <v>64.81</v>
          </cell>
          <cell r="AQ129">
            <v>0</v>
          </cell>
          <cell r="CS129">
            <v>40</v>
          </cell>
          <cell r="CT129">
            <v>3</v>
          </cell>
        </row>
        <row r="130">
          <cell r="B130">
            <v>30</v>
          </cell>
          <cell r="C130">
            <v>190.83</v>
          </cell>
          <cell r="D130">
            <v>296</v>
          </cell>
          <cell r="G130">
            <v>8.9600000000000009</v>
          </cell>
          <cell r="H130">
            <v>8.9600000000000009</v>
          </cell>
          <cell r="J130" t="e">
            <v>#DIV/0!</v>
          </cell>
          <cell r="M130">
            <v>69.290999999999997</v>
          </cell>
          <cell r="Q130">
            <v>0</v>
          </cell>
          <cell r="S130">
            <v>192.64599999999993</v>
          </cell>
          <cell r="T130">
            <v>192.64599999999993</v>
          </cell>
          <cell r="V130">
            <v>11.96</v>
          </cell>
          <cell r="Y130">
            <v>6.84</v>
          </cell>
          <cell r="AB130">
            <v>113.52799999999999</v>
          </cell>
          <cell r="AC130">
            <v>2.1</v>
          </cell>
          <cell r="AD130">
            <v>2.09</v>
          </cell>
          <cell r="AN130">
            <v>61</v>
          </cell>
          <cell r="AO130">
            <v>61</v>
          </cell>
          <cell r="AQ130">
            <v>0</v>
          </cell>
          <cell r="CS130">
            <v>40</v>
          </cell>
          <cell r="CT130">
            <v>3</v>
          </cell>
        </row>
        <row r="131">
          <cell r="B131">
            <v>31</v>
          </cell>
          <cell r="J131" t="e">
            <v>#DIV/0!</v>
          </cell>
          <cell r="Q131">
            <v>0</v>
          </cell>
          <cell r="S131">
            <v>192.64599999999993</v>
          </cell>
          <cell r="T131">
            <v>192.64599999999993</v>
          </cell>
          <cell r="AB131">
            <v>113.52799999999999</v>
          </cell>
          <cell r="AQ131">
            <v>0</v>
          </cell>
          <cell r="CS131">
            <v>40</v>
          </cell>
          <cell r="CT131">
            <v>3</v>
          </cell>
        </row>
        <row r="132">
          <cell r="B132" t="str">
            <v>MEI/1</v>
          </cell>
          <cell r="D132">
            <v>202</v>
          </cell>
          <cell r="G132">
            <v>7.11</v>
          </cell>
          <cell r="H132">
            <v>7.11</v>
          </cell>
          <cell r="J132">
            <v>28.410689170182838</v>
          </cell>
          <cell r="M132">
            <v>47.292000000000002</v>
          </cell>
          <cell r="Q132">
            <v>51.41</v>
          </cell>
          <cell r="S132">
            <v>137.84299999999985</v>
          </cell>
          <cell r="T132">
            <v>137.84299999999985</v>
          </cell>
          <cell r="V132">
            <v>8.1389999999999993</v>
          </cell>
          <cell r="Y132">
            <v>14.1</v>
          </cell>
          <cell r="AB132">
            <v>8.006999999999989</v>
          </cell>
          <cell r="AN132">
            <v>44.79</v>
          </cell>
          <cell r="AO132">
            <v>44.79</v>
          </cell>
          <cell r="AQ132">
            <v>0</v>
          </cell>
          <cell r="CS132">
            <v>40</v>
          </cell>
          <cell r="CT132">
            <v>3</v>
          </cell>
        </row>
        <row r="133">
          <cell r="B133">
            <v>2</v>
          </cell>
          <cell r="D133">
            <v>203</v>
          </cell>
          <cell r="G133">
            <v>7.77</v>
          </cell>
          <cell r="H133">
            <v>7.77</v>
          </cell>
          <cell r="J133">
            <v>26.126126126126128</v>
          </cell>
          <cell r="M133">
            <v>47.052</v>
          </cell>
          <cell r="Q133">
            <v>74.92</v>
          </cell>
          <cell r="S133">
            <v>109.97499999999984</v>
          </cell>
          <cell r="T133">
            <v>109.97499999999984</v>
          </cell>
          <cell r="V133">
            <v>8.1630000000000003</v>
          </cell>
          <cell r="Y133">
            <v>6.52</v>
          </cell>
          <cell r="AB133">
            <v>9.6499999999999879</v>
          </cell>
          <cell r="AN133">
            <v>39.54</v>
          </cell>
          <cell r="AO133">
            <v>39.54</v>
          </cell>
          <cell r="AQ133">
            <v>0</v>
          </cell>
          <cell r="CS133">
            <v>40</v>
          </cell>
          <cell r="CT133">
            <v>3</v>
          </cell>
        </row>
        <row r="134">
          <cell r="B134">
            <v>3</v>
          </cell>
          <cell r="D134">
            <v>352</v>
          </cell>
          <cell r="G134">
            <v>12.62</v>
          </cell>
          <cell r="H134">
            <v>12.62</v>
          </cell>
          <cell r="J134">
            <v>27.892234548335978</v>
          </cell>
          <cell r="M134">
            <v>82.075000000000003</v>
          </cell>
          <cell r="Q134">
            <v>51.69</v>
          </cell>
          <cell r="S134">
            <v>140.35999999999984</v>
          </cell>
          <cell r="T134">
            <v>140.35999999999984</v>
          </cell>
          <cell r="V134">
            <v>14.2</v>
          </cell>
          <cell r="AB134">
            <v>23.849999999999987</v>
          </cell>
          <cell r="AN134">
            <v>78.760000000000005</v>
          </cell>
          <cell r="AO134">
            <v>78.760000000000005</v>
          </cell>
          <cell r="AQ134">
            <v>0</v>
          </cell>
          <cell r="CS134">
            <v>40</v>
          </cell>
          <cell r="CT134">
            <v>3</v>
          </cell>
        </row>
        <row r="135">
          <cell r="B135">
            <v>4</v>
          </cell>
          <cell r="Q135">
            <v>0</v>
          </cell>
          <cell r="S135">
            <v>140.35999999999984</v>
          </cell>
          <cell r="T135">
            <v>140.35999999999984</v>
          </cell>
          <cell r="AB135">
            <v>23.849999999999987</v>
          </cell>
          <cell r="AQ135">
            <v>0</v>
          </cell>
          <cell r="CS135">
            <v>40</v>
          </cell>
          <cell r="CT135">
            <v>3</v>
          </cell>
        </row>
        <row r="136">
          <cell r="B136">
            <v>5</v>
          </cell>
          <cell r="D136">
            <v>297</v>
          </cell>
          <cell r="G136">
            <v>10.17</v>
          </cell>
          <cell r="H136">
            <v>10.17</v>
          </cell>
          <cell r="J136">
            <v>29.20353982300885</v>
          </cell>
          <cell r="M136">
            <v>68.635999999999996</v>
          </cell>
          <cell r="Q136">
            <v>78.44</v>
          </cell>
          <cell r="S136">
            <v>130.55599999999984</v>
          </cell>
          <cell r="T136">
            <v>130.55599999999984</v>
          </cell>
          <cell r="V136">
            <v>11.9</v>
          </cell>
          <cell r="AB136">
            <v>35.749999999999986</v>
          </cell>
          <cell r="AN136">
            <v>60.94</v>
          </cell>
          <cell r="AO136">
            <v>60.94</v>
          </cell>
          <cell r="AQ136">
            <v>0</v>
          </cell>
          <cell r="CS136">
            <v>40</v>
          </cell>
          <cell r="CT136">
            <v>3</v>
          </cell>
        </row>
        <row r="137">
          <cell r="B137">
            <v>6</v>
          </cell>
          <cell r="D137">
            <v>416</v>
          </cell>
          <cell r="G137">
            <v>11.96</v>
          </cell>
          <cell r="H137">
            <v>11.96</v>
          </cell>
          <cell r="J137">
            <v>34.782608695652172</v>
          </cell>
          <cell r="M137">
            <v>95.888000000000005</v>
          </cell>
          <cell r="Q137">
            <v>0</v>
          </cell>
          <cell r="S137">
            <v>226.44399999999985</v>
          </cell>
          <cell r="T137">
            <v>226.44399999999985</v>
          </cell>
          <cell r="V137">
            <v>15.43</v>
          </cell>
          <cell r="Y137">
            <v>32.93</v>
          </cell>
          <cell r="AB137">
            <v>18.249999999999986</v>
          </cell>
          <cell r="AN137">
            <v>85.49</v>
          </cell>
          <cell r="AO137">
            <v>85.49</v>
          </cell>
          <cell r="AQ137">
            <v>0</v>
          </cell>
          <cell r="CS137">
            <v>40</v>
          </cell>
          <cell r="CT137">
            <v>3</v>
          </cell>
        </row>
        <row r="138">
          <cell r="B138">
            <v>7</v>
          </cell>
          <cell r="D138">
            <v>374</v>
          </cell>
          <cell r="G138">
            <v>12.04</v>
          </cell>
          <cell r="H138">
            <v>12.04</v>
          </cell>
          <cell r="J138">
            <v>31.063122923588043</v>
          </cell>
          <cell r="M138">
            <v>86.468999999999994</v>
          </cell>
          <cell r="Q138">
            <v>112.05</v>
          </cell>
          <cell r="S138">
            <v>200.86299999999983</v>
          </cell>
          <cell r="T138">
            <v>200.86299999999983</v>
          </cell>
          <cell r="V138">
            <v>15.372</v>
          </cell>
          <cell r="Y138">
            <v>33.01</v>
          </cell>
          <cell r="AB138">
            <v>0.61199999999998766</v>
          </cell>
          <cell r="AN138">
            <v>81.75</v>
          </cell>
          <cell r="AO138">
            <v>81.75</v>
          </cell>
          <cell r="AQ138">
            <v>0</v>
          </cell>
          <cell r="CS138">
            <v>40</v>
          </cell>
          <cell r="CT138">
            <v>3</v>
          </cell>
        </row>
        <row r="139">
          <cell r="B139">
            <v>8</v>
          </cell>
          <cell r="D139">
            <v>446</v>
          </cell>
          <cell r="G139">
            <v>13.23</v>
          </cell>
          <cell r="H139">
            <v>13.23</v>
          </cell>
          <cell r="J139">
            <v>33.711262282690853</v>
          </cell>
          <cell r="M139">
            <v>102.624</v>
          </cell>
          <cell r="Q139">
            <v>126.29</v>
          </cell>
          <cell r="S139">
            <v>177.19699999999983</v>
          </cell>
          <cell r="T139">
            <v>177.19699999999983</v>
          </cell>
          <cell r="V139">
            <v>17.928999999999998</v>
          </cell>
          <cell r="Y139">
            <v>6.31</v>
          </cell>
          <cell r="AB139">
            <v>12.230999999999987</v>
          </cell>
          <cell r="AN139">
            <v>91.73</v>
          </cell>
          <cell r="AO139">
            <v>91.73</v>
          </cell>
          <cell r="AQ139">
            <v>0</v>
          </cell>
          <cell r="CS139">
            <v>40</v>
          </cell>
          <cell r="CT139">
            <v>3</v>
          </cell>
        </row>
        <row r="140">
          <cell r="B140">
            <v>9</v>
          </cell>
          <cell r="D140">
            <v>232</v>
          </cell>
          <cell r="F140">
            <v>2</v>
          </cell>
          <cell r="G140">
            <v>6.5</v>
          </cell>
          <cell r="H140">
            <v>8.5</v>
          </cell>
          <cell r="J140">
            <v>27.294117647058822</v>
          </cell>
          <cell r="M140">
            <v>53.36</v>
          </cell>
          <cell r="Q140">
            <v>121.79</v>
          </cell>
          <cell r="S140">
            <v>108.76699999999984</v>
          </cell>
          <cell r="T140">
            <v>108.76699999999984</v>
          </cell>
          <cell r="V140">
            <v>9.3490000000000002</v>
          </cell>
          <cell r="Y140">
            <v>18.88</v>
          </cell>
          <cell r="AB140">
            <v>2.6999999999999886</v>
          </cell>
          <cell r="AN140">
            <v>51.66</v>
          </cell>
          <cell r="AO140">
            <v>51.66</v>
          </cell>
          <cell r="AQ140">
            <v>0</v>
          </cell>
          <cell r="CS140">
            <v>40</v>
          </cell>
          <cell r="CT140">
            <v>3</v>
          </cell>
        </row>
        <row r="141">
          <cell r="B141">
            <v>10</v>
          </cell>
          <cell r="D141">
            <v>525</v>
          </cell>
          <cell r="G141">
            <v>18.62</v>
          </cell>
          <cell r="H141">
            <v>18.62</v>
          </cell>
          <cell r="J141">
            <v>28.195488721804509</v>
          </cell>
          <cell r="M141">
            <v>118.884</v>
          </cell>
          <cell r="Q141">
            <v>109.88</v>
          </cell>
          <cell r="S141">
            <v>117.77099999999984</v>
          </cell>
          <cell r="T141">
            <v>117.77099999999984</v>
          </cell>
          <cell r="V141">
            <v>19.309999999999999</v>
          </cell>
          <cell r="Y141">
            <v>13.37</v>
          </cell>
          <cell r="AB141">
            <v>8.6399999999999881</v>
          </cell>
          <cell r="AN141">
            <v>106.08</v>
          </cell>
          <cell r="AO141">
            <v>86.08</v>
          </cell>
          <cell r="AQ141">
            <v>20</v>
          </cell>
          <cell r="CS141">
            <v>40</v>
          </cell>
          <cell r="CT141">
            <v>3</v>
          </cell>
        </row>
        <row r="142">
          <cell r="B142">
            <v>11</v>
          </cell>
          <cell r="Q142">
            <v>0</v>
          </cell>
          <cell r="S142">
            <v>117.77099999999984</v>
          </cell>
          <cell r="T142">
            <v>117.77099999999984</v>
          </cell>
          <cell r="AB142">
            <v>8.6399999999999881</v>
          </cell>
          <cell r="AQ142">
            <v>20</v>
          </cell>
          <cell r="CS142">
            <v>40</v>
          </cell>
          <cell r="CT142">
            <v>3</v>
          </cell>
        </row>
        <row r="143">
          <cell r="B143">
            <v>12</v>
          </cell>
          <cell r="D143">
            <v>327</v>
          </cell>
          <cell r="G143">
            <v>11.46</v>
          </cell>
          <cell r="H143">
            <v>11.46</v>
          </cell>
          <cell r="J143">
            <v>28.534031413612563</v>
          </cell>
          <cell r="M143">
            <v>72.593999999999994</v>
          </cell>
          <cell r="Q143">
            <v>65.489999999999995</v>
          </cell>
          <cell r="S143">
            <v>124.87499999999984</v>
          </cell>
          <cell r="T143">
            <v>124.87499999999984</v>
          </cell>
          <cell r="V143">
            <v>12.585000000000001</v>
          </cell>
          <cell r="Y143">
            <v>19.63</v>
          </cell>
          <cell r="AB143">
            <v>1.5949999999999882</v>
          </cell>
          <cell r="AN143">
            <v>60.29</v>
          </cell>
          <cell r="AO143">
            <v>80.290000000000006</v>
          </cell>
          <cell r="AQ143">
            <v>0</v>
          </cell>
          <cell r="CS143">
            <v>40</v>
          </cell>
          <cell r="CT143">
            <v>3</v>
          </cell>
        </row>
        <row r="144">
          <cell r="B144">
            <v>13</v>
          </cell>
          <cell r="D144">
            <v>514</v>
          </cell>
          <cell r="G144">
            <v>17.899999999999999</v>
          </cell>
          <cell r="H144">
            <v>17.899999999999999</v>
          </cell>
          <cell r="J144">
            <v>28.715083798882684</v>
          </cell>
          <cell r="M144">
            <v>113.33</v>
          </cell>
          <cell r="Q144">
            <v>96.4</v>
          </cell>
          <cell r="S144">
            <v>141.80499999999984</v>
          </cell>
          <cell r="T144">
            <v>141.80499999999984</v>
          </cell>
          <cell r="V144">
            <v>19.058</v>
          </cell>
          <cell r="Y144">
            <v>6.68</v>
          </cell>
          <cell r="AB144">
            <v>13.972999999999988</v>
          </cell>
          <cell r="AN144">
            <v>114.88</v>
          </cell>
          <cell r="AO144">
            <v>114.88</v>
          </cell>
          <cell r="AQ144">
            <v>0</v>
          </cell>
          <cell r="CS144">
            <v>40</v>
          </cell>
          <cell r="CT144">
            <v>3</v>
          </cell>
        </row>
        <row r="145">
          <cell r="B145">
            <v>14</v>
          </cell>
          <cell r="Q145">
            <v>0</v>
          </cell>
          <cell r="S145">
            <v>141.80499999999984</v>
          </cell>
          <cell r="T145">
            <v>141.80499999999984</v>
          </cell>
          <cell r="AB145">
            <v>13.972999999999988</v>
          </cell>
          <cell r="AQ145">
            <v>0</v>
          </cell>
          <cell r="CS145">
            <v>40</v>
          </cell>
          <cell r="CT145">
            <v>3</v>
          </cell>
        </row>
        <row r="146">
          <cell r="B146">
            <v>15</v>
          </cell>
          <cell r="Q146">
            <v>0</v>
          </cell>
          <cell r="S146">
            <v>141.80499999999984</v>
          </cell>
          <cell r="T146">
            <v>141.80499999999984</v>
          </cell>
          <cell r="AB146">
            <v>13.972999999999988</v>
          </cell>
          <cell r="AQ146">
            <v>0</v>
          </cell>
          <cell r="CS146">
            <v>40</v>
          </cell>
          <cell r="CT146">
            <v>3</v>
          </cell>
        </row>
        <row r="147">
          <cell r="B147">
            <v>16</v>
          </cell>
          <cell r="D147">
            <v>302</v>
          </cell>
          <cell r="G147">
            <v>10.47</v>
          </cell>
          <cell r="H147">
            <v>10.47</v>
          </cell>
          <cell r="J147">
            <v>28.844317096466092</v>
          </cell>
          <cell r="M147">
            <v>66.91</v>
          </cell>
          <cell r="Q147">
            <v>0</v>
          </cell>
          <cell r="S147">
            <v>208.71499999999983</v>
          </cell>
          <cell r="T147">
            <v>208.71499999999983</v>
          </cell>
          <cell r="V147">
            <v>11.61</v>
          </cell>
          <cell r="Y147">
            <v>6.96</v>
          </cell>
          <cell r="AB147">
            <v>18.622999999999987</v>
          </cell>
          <cell r="AN147">
            <v>50.78</v>
          </cell>
          <cell r="AO147">
            <v>50.78</v>
          </cell>
          <cell r="AQ147">
            <v>0</v>
          </cell>
          <cell r="CS147">
            <v>40</v>
          </cell>
          <cell r="CT147">
            <v>3</v>
          </cell>
        </row>
        <row r="148">
          <cell r="B148">
            <v>17</v>
          </cell>
          <cell r="D148">
            <v>594</v>
          </cell>
          <cell r="G148">
            <v>21.22</v>
          </cell>
          <cell r="H148">
            <v>21.22</v>
          </cell>
          <cell r="J148">
            <v>27.992459943449578</v>
          </cell>
          <cell r="M148">
            <v>131.673</v>
          </cell>
          <cell r="Q148">
            <v>0</v>
          </cell>
          <cell r="S148">
            <v>340.38799999999981</v>
          </cell>
          <cell r="T148">
            <v>340.38799999999981</v>
          </cell>
          <cell r="V148">
            <v>23.004999999999999</v>
          </cell>
          <cell r="Y148">
            <v>13.44</v>
          </cell>
          <cell r="AB148">
            <v>28.187999999999988</v>
          </cell>
          <cell r="AN148">
            <v>136.38</v>
          </cell>
          <cell r="AO148">
            <v>136.38</v>
          </cell>
          <cell r="AQ148">
            <v>0</v>
          </cell>
          <cell r="CS148">
            <v>40</v>
          </cell>
          <cell r="CT148">
            <v>3</v>
          </cell>
        </row>
        <row r="149">
          <cell r="B149">
            <v>18</v>
          </cell>
          <cell r="Q149">
            <v>0</v>
          </cell>
          <cell r="S149">
            <v>340.38799999999981</v>
          </cell>
          <cell r="T149">
            <v>340.38799999999981</v>
          </cell>
          <cell r="AB149">
            <v>28.187999999999988</v>
          </cell>
          <cell r="AQ149">
            <v>0</v>
          </cell>
          <cell r="CS149">
            <v>40</v>
          </cell>
          <cell r="CT149">
            <v>3</v>
          </cell>
        </row>
        <row r="150">
          <cell r="B150">
            <v>19</v>
          </cell>
          <cell r="D150">
            <v>713</v>
          </cell>
          <cell r="G150">
            <v>21.42</v>
          </cell>
          <cell r="H150">
            <v>21.42</v>
          </cell>
          <cell r="J150">
            <v>33.286647992530341</v>
          </cell>
          <cell r="M150">
            <v>158.286</v>
          </cell>
          <cell r="Q150">
            <v>0</v>
          </cell>
          <cell r="S150">
            <v>498.67399999999981</v>
          </cell>
          <cell r="T150">
            <v>498.67399999999981</v>
          </cell>
          <cell r="V150">
            <v>28.805</v>
          </cell>
          <cell r="Y150">
            <v>25.87</v>
          </cell>
          <cell r="AB150">
            <v>31.122999999999987</v>
          </cell>
          <cell r="AN150">
            <v>139.47999999999999</v>
          </cell>
          <cell r="AO150">
            <v>139.47999999999999</v>
          </cell>
          <cell r="AQ150">
            <v>0</v>
          </cell>
          <cell r="CS150">
            <v>40</v>
          </cell>
          <cell r="CT150">
            <v>3</v>
          </cell>
        </row>
        <row r="151">
          <cell r="B151">
            <v>20</v>
          </cell>
          <cell r="D151">
            <v>800</v>
          </cell>
          <cell r="G151">
            <v>22.78</v>
          </cell>
          <cell r="H151">
            <v>22.78</v>
          </cell>
          <cell r="J151">
            <v>35.118525021949075</v>
          </cell>
          <cell r="M151">
            <v>184.8</v>
          </cell>
          <cell r="Q151">
            <v>229</v>
          </cell>
          <cell r="S151">
            <v>454.47399999999982</v>
          </cell>
          <cell r="T151">
            <v>454.47399999999982</v>
          </cell>
          <cell r="V151">
            <v>32.4</v>
          </cell>
          <cell r="Y151">
            <v>38.4</v>
          </cell>
          <cell r="AB151">
            <v>25.122999999999983</v>
          </cell>
          <cell r="AN151">
            <v>168</v>
          </cell>
          <cell r="AO151">
            <v>130.9</v>
          </cell>
          <cell r="AQ151">
            <v>37.099999999999994</v>
          </cell>
          <cell r="CS151">
            <v>40</v>
          </cell>
          <cell r="CT151">
            <v>3</v>
          </cell>
        </row>
        <row r="152">
          <cell r="B152">
            <v>21</v>
          </cell>
          <cell r="D152">
            <v>426</v>
          </cell>
          <cell r="F152">
            <v>8.83</v>
          </cell>
          <cell r="G152">
            <v>12.8</v>
          </cell>
          <cell r="H152">
            <v>12.8</v>
          </cell>
          <cell r="J152">
            <v>33.28125</v>
          </cell>
          <cell r="M152">
            <v>100.11</v>
          </cell>
          <cell r="Q152">
            <v>115.12</v>
          </cell>
          <cell r="S152">
            <v>439.46399999999983</v>
          </cell>
          <cell r="T152">
            <v>439.46399999999983</v>
          </cell>
          <cell r="V152">
            <v>17.113</v>
          </cell>
          <cell r="Y152">
            <v>32.72</v>
          </cell>
          <cell r="AB152">
            <v>9.515999999999984</v>
          </cell>
          <cell r="AN152">
            <v>89.46</v>
          </cell>
          <cell r="AO152">
            <v>113.7</v>
          </cell>
          <cell r="AQ152">
            <v>12.859999999999985</v>
          </cell>
          <cell r="CS152">
            <v>40</v>
          </cell>
          <cell r="CT152">
            <v>3</v>
          </cell>
        </row>
        <row r="153">
          <cell r="B153">
            <v>22</v>
          </cell>
          <cell r="D153">
            <v>676</v>
          </cell>
          <cell r="F153">
            <v>2.61</v>
          </cell>
          <cell r="G153">
            <v>18.100000000000001</v>
          </cell>
          <cell r="H153">
            <v>20.71</v>
          </cell>
          <cell r="I153">
            <v>1.43</v>
          </cell>
          <cell r="J153">
            <v>32.641236117817478</v>
          </cell>
          <cell r="M153">
            <v>160.21199999999999</v>
          </cell>
          <cell r="Q153">
            <v>172.91</v>
          </cell>
          <cell r="S153">
            <v>426.76599999999985</v>
          </cell>
          <cell r="T153">
            <v>426.76599999999985</v>
          </cell>
          <cell r="V153">
            <v>26.364000000000001</v>
          </cell>
          <cell r="AB153">
            <v>35.879999999999981</v>
          </cell>
          <cell r="AN153">
            <v>157.93</v>
          </cell>
          <cell r="AO153">
            <v>170.79</v>
          </cell>
          <cell r="AQ153">
            <v>0</v>
          </cell>
          <cell r="CS153">
            <v>40</v>
          </cell>
          <cell r="CT153">
            <v>3</v>
          </cell>
        </row>
        <row r="154">
          <cell r="B154">
            <v>23</v>
          </cell>
          <cell r="D154">
            <v>232</v>
          </cell>
          <cell r="G154">
            <v>7.09</v>
          </cell>
          <cell r="H154">
            <v>7.09</v>
          </cell>
          <cell r="J154">
            <v>32.722143864598024</v>
          </cell>
          <cell r="M154">
            <v>56.03</v>
          </cell>
          <cell r="Q154">
            <v>208.22</v>
          </cell>
          <cell r="S154">
            <v>274.57599999999979</v>
          </cell>
          <cell r="T154">
            <v>274.57599999999979</v>
          </cell>
          <cell r="V154">
            <v>9.5120000000000005</v>
          </cell>
          <cell r="AB154">
            <v>45.391999999999982</v>
          </cell>
          <cell r="AN154">
            <v>60.15</v>
          </cell>
          <cell r="AO154">
            <v>60.15</v>
          </cell>
          <cell r="AQ154">
            <v>0</v>
          </cell>
          <cell r="CS154">
            <v>40</v>
          </cell>
          <cell r="CT154">
            <v>3</v>
          </cell>
        </row>
        <row r="155">
          <cell r="B155">
            <v>24</v>
          </cell>
          <cell r="D155">
            <v>533</v>
          </cell>
          <cell r="G155">
            <v>16.16</v>
          </cell>
          <cell r="H155">
            <v>16.16</v>
          </cell>
          <cell r="J155">
            <v>32.982673267326732</v>
          </cell>
          <cell r="M155">
            <v>128.56</v>
          </cell>
          <cell r="Q155">
            <v>120.01</v>
          </cell>
          <cell r="S155">
            <v>283.12599999999981</v>
          </cell>
          <cell r="T155">
            <v>283.12599999999981</v>
          </cell>
          <cell r="V155">
            <v>22.1</v>
          </cell>
          <cell r="Y155">
            <v>12.98</v>
          </cell>
          <cell r="AB155">
            <v>54.511999999999986</v>
          </cell>
          <cell r="AN155">
            <v>125.74</v>
          </cell>
          <cell r="AO155">
            <v>125.74</v>
          </cell>
          <cell r="AQ155">
            <v>0</v>
          </cell>
          <cell r="CS155">
            <v>40</v>
          </cell>
          <cell r="CT155">
            <v>3</v>
          </cell>
        </row>
        <row r="156">
          <cell r="B156">
            <v>25</v>
          </cell>
          <cell r="Q156">
            <v>0</v>
          </cell>
          <cell r="S156">
            <v>283.12599999999981</v>
          </cell>
          <cell r="T156">
            <v>283.12599999999981</v>
          </cell>
          <cell r="AB156">
            <v>54.511999999999986</v>
          </cell>
          <cell r="AQ156">
            <v>0</v>
          </cell>
          <cell r="CS156">
            <v>40</v>
          </cell>
          <cell r="CT156">
            <v>3</v>
          </cell>
        </row>
        <row r="157">
          <cell r="B157">
            <v>26</v>
          </cell>
          <cell r="D157">
            <v>258</v>
          </cell>
          <cell r="G157">
            <v>8.66</v>
          </cell>
          <cell r="H157">
            <v>8.66</v>
          </cell>
          <cell r="J157">
            <v>29.792147806004618</v>
          </cell>
          <cell r="M157">
            <v>62.195</v>
          </cell>
          <cell r="Q157">
            <v>126.19</v>
          </cell>
          <cell r="S157">
            <v>219.1309999999998</v>
          </cell>
          <cell r="T157">
            <v>219.1309999999998</v>
          </cell>
          <cell r="V157">
            <v>10.759</v>
          </cell>
          <cell r="Y157">
            <v>44.71</v>
          </cell>
          <cell r="AB157">
            <v>20.560999999999986</v>
          </cell>
          <cell r="AN157">
            <v>54.35</v>
          </cell>
          <cell r="AO157">
            <v>54.35</v>
          </cell>
          <cell r="AQ157">
            <v>0</v>
          </cell>
          <cell r="CS157">
            <v>40</v>
          </cell>
          <cell r="CT157">
            <v>3</v>
          </cell>
        </row>
        <row r="158">
          <cell r="B158">
            <v>27</v>
          </cell>
          <cell r="D158">
            <v>168</v>
          </cell>
          <cell r="G158">
            <v>6.09</v>
          </cell>
          <cell r="H158">
            <v>6.09</v>
          </cell>
          <cell r="J158">
            <v>27.586206896551726</v>
          </cell>
          <cell r="M158">
            <v>40.438000000000002</v>
          </cell>
          <cell r="Q158">
            <v>125.5</v>
          </cell>
          <cell r="S158">
            <v>134.06899999999979</v>
          </cell>
          <cell r="T158">
            <v>134.06899999999979</v>
          </cell>
          <cell r="V158">
            <v>6.835</v>
          </cell>
          <cell r="Y158">
            <v>19.7</v>
          </cell>
          <cell r="AB158">
            <v>7.6959999999999873</v>
          </cell>
          <cell r="AN158">
            <v>35.28</v>
          </cell>
          <cell r="AO158">
            <v>28.35</v>
          </cell>
          <cell r="AQ158">
            <v>6.93</v>
          </cell>
          <cell r="CS158">
            <v>40</v>
          </cell>
          <cell r="CT158">
            <v>3</v>
          </cell>
        </row>
        <row r="159">
          <cell r="B159">
            <v>28</v>
          </cell>
          <cell r="D159">
            <v>247</v>
          </cell>
          <cell r="F159">
            <v>4.47</v>
          </cell>
          <cell r="G159">
            <v>7.85</v>
          </cell>
          <cell r="H159">
            <v>7.85</v>
          </cell>
          <cell r="J159">
            <v>31.464968152866245</v>
          </cell>
          <cell r="M159">
            <v>59.28</v>
          </cell>
          <cell r="Q159">
            <v>0</v>
          </cell>
          <cell r="S159">
            <v>193.34899999999979</v>
          </cell>
          <cell r="T159">
            <v>193.34899999999979</v>
          </cell>
          <cell r="V159">
            <v>10.156000000000001</v>
          </cell>
          <cell r="Y159">
            <v>6.62</v>
          </cell>
          <cell r="AB159">
            <v>11.231999999999989</v>
          </cell>
          <cell r="AN159">
            <v>51.87</v>
          </cell>
          <cell r="AO159">
            <v>49.28</v>
          </cell>
          <cell r="AQ159">
            <v>9.519999999999996</v>
          </cell>
          <cell r="CS159">
            <v>40</v>
          </cell>
          <cell r="CT159">
            <v>3</v>
          </cell>
        </row>
        <row r="160">
          <cell r="B160">
            <v>29</v>
          </cell>
          <cell r="Q160">
            <v>0</v>
          </cell>
          <cell r="S160">
            <v>193.34899999999979</v>
          </cell>
          <cell r="T160">
            <v>193.34899999999979</v>
          </cell>
          <cell r="AB160">
            <v>11.231999999999989</v>
          </cell>
          <cell r="AQ160">
            <v>9.519999999999996</v>
          </cell>
          <cell r="CS160">
            <v>40</v>
          </cell>
          <cell r="CT160">
            <v>3</v>
          </cell>
        </row>
        <row r="161">
          <cell r="B161">
            <v>30</v>
          </cell>
          <cell r="D161">
            <v>197</v>
          </cell>
          <cell r="F161">
            <v>3.24</v>
          </cell>
          <cell r="G161">
            <v>5.98</v>
          </cell>
          <cell r="H161">
            <v>5.98</v>
          </cell>
          <cell r="J161">
            <v>32.943143812709025</v>
          </cell>
          <cell r="M161">
            <v>47.3</v>
          </cell>
          <cell r="Q161">
            <v>104.44</v>
          </cell>
          <cell r="S161">
            <v>136.20899999999978</v>
          </cell>
          <cell r="T161">
            <v>136.20899999999978</v>
          </cell>
          <cell r="V161">
            <v>8.1750000000000007</v>
          </cell>
          <cell r="Y161">
            <v>18.95</v>
          </cell>
          <cell r="AB161">
            <v>0.45699999999999008</v>
          </cell>
          <cell r="AN161">
            <v>40.729999999999997</v>
          </cell>
          <cell r="AO161">
            <v>50.25</v>
          </cell>
          <cell r="AQ161">
            <v>0</v>
          </cell>
          <cell r="CS161">
            <v>40</v>
          </cell>
          <cell r="CT161">
            <v>3</v>
          </cell>
        </row>
        <row r="162">
          <cell r="B162">
            <v>31</v>
          </cell>
          <cell r="D162">
            <v>365</v>
          </cell>
          <cell r="F162">
            <v>5.56</v>
          </cell>
          <cell r="G162">
            <v>10.46</v>
          </cell>
          <cell r="H162">
            <v>10.46</v>
          </cell>
          <cell r="J162">
            <v>34.894837476099426</v>
          </cell>
          <cell r="M162">
            <v>87.71</v>
          </cell>
          <cell r="Q162">
            <v>64.53</v>
          </cell>
          <cell r="S162">
            <v>159.38899999999975</v>
          </cell>
          <cell r="T162">
            <v>159.38899999999975</v>
          </cell>
          <cell r="V162">
            <v>15.33</v>
          </cell>
          <cell r="Y162">
            <v>6.36</v>
          </cell>
          <cell r="AB162">
            <v>9.4269999999999889</v>
          </cell>
          <cell r="AN162">
            <v>72.150000000000006</v>
          </cell>
          <cell r="AO162">
            <v>72.150000000000006</v>
          </cell>
          <cell r="AQ162">
            <v>0</v>
          </cell>
          <cell r="CS162">
            <v>40</v>
          </cell>
          <cell r="CT162">
            <v>3</v>
          </cell>
        </row>
        <row r="163">
          <cell r="B163" t="str">
            <v>JUN/1</v>
          </cell>
          <cell r="Q163">
            <v>0</v>
          </cell>
          <cell r="S163">
            <v>159.38899999999975</v>
          </cell>
          <cell r="T163">
            <v>159.38899999999975</v>
          </cell>
          <cell r="AB163">
            <v>9.4269999999999889</v>
          </cell>
          <cell r="AQ163">
            <v>0</v>
          </cell>
          <cell r="CS163">
            <v>40</v>
          </cell>
          <cell r="CT163">
            <v>3</v>
          </cell>
        </row>
        <row r="164">
          <cell r="B164">
            <v>2</v>
          </cell>
          <cell r="D164">
            <v>283</v>
          </cell>
          <cell r="F164">
            <v>2.72</v>
          </cell>
          <cell r="G164">
            <v>6.89</v>
          </cell>
          <cell r="H164">
            <v>9.61</v>
          </cell>
          <cell r="J164">
            <v>29.448491155046828</v>
          </cell>
          <cell r="M164">
            <v>66.504999999999995</v>
          </cell>
          <cell r="Q164">
            <v>67</v>
          </cell>
          <cell r="S164">
            <v>158.89399999999975</v>
          </cell>
          <cell r="T164">
            <v>158.89399999999975</v>
          </cell>
          <cell r="V164">
            <v>11.83</v>
          </cell>
          <cell r="Y164">
            <v>13.55</v>
          </cell>
          <cell r="AB164">
            <v>7.7069999999999901</v>
          </cell>
          <cell r="AN164">
            <v>63.44</v>
          </cell>
          <cell r="AO164">
            <v>63.44</v>
          </cell>
          <cell r="AQ164">
            <v>0</v>
          </cell>
          <cell r="CS164">
            <v>40</v>
          </cell>
          <cell r="CT164">
            <v>3</v>
          </cell>
        </row>
        <row r="165">
          <cell r="B165">
            <v>3</v>
          </cell>
          <cell r="D165">
            <v>305</v>
          </cell>
          <cell r="F165">
            <v>3.33</v>
          </cell>
          <cell r="G165">
            <v>9.51</v>
          </cell>
          <cell r="H165">
            <v>9.51</v>
          </cell>
          <cell r="J165">
            <v>32.071503680336491</v>
          </cell>
          <cell r="M165">
            <v>70.203000000000003</v>
          </cell>
          <cell r="Q165">
            <v>53.02</v>
          </cell>
          <cell r="S165">
            <v>176.07699999999974</v>
          </cell>
          <cell r="T165">
            <v>176.07699999999974</v>
          </cell>
          <cell r="V165">
            <v>12.9</v>
          </cell>
          <cell r="Y165">
            <v>19.52</v>
          </cell>
          <cell r="AB165">
            <v>1.0869999999999926</v>
          </cell>
          <cell r="AN165">
            <v>57.75</v>
          </cell>
          <cell r="AO165">
            <v>57.75</v>
          </cell>
          <cell r="AQ165">
            <v>0</v>
          </cell>
          <cell r="CS165">
            <v>40</v>
          </cell>
          <cell r="CT165">
            <v>3</v>
          </cell>
        </row>
        <row r="166">
          <cell r="B166">
            <v>4</v>
          </cell>
          <cell r="D166">
            <v>195</v>
          </cell>
          <cell r="F166">
            <v>5.46</v>
          </cell>
          <cell r="G166">
            <v>4.72</v>
          </cell>
          <cell r="H166">
            <v>5.46</v>
          </cell>
          <cell r="J166">
            <v>35.714285714285715</v>
          </cell>
          <cell r="M166">
            <v>45.045000000000002</v>
          </cell>
          <cell r="Q166">
            <v>77.540000000000006</v>
          </cell>
          <cell r="S166">
            <v>143.58199999999971</v>
          </cell>
          <cell r="T166">
            <v>143.58199999999971</v>
          </cell>
          <cell r="V166">
            <v>8.35</v>
          </cell>
          <cell r="Y166">
            <v>6.75</v>
          </cell>
          <cell r="AB166">
            <v>2.6869999999999923</v>
          </cell>
          <cell r="AN166">
            <v>44.63</v>
          </cell>
          <cell r="AO166">
            <v>44.63</v>
          </cell>
          <cell r="AQ166">
            <v>0</v>
          </cell>
          <cell r="CS166">
            <v>40</v>
          </cell>
          <cell r="CT166">
            <v>3</v>
          </cell>
        </row>
        <row r="167">
          <cell r="B167">
            <v>5</v>
          </cell>
          <cell r="D167">
            <v>196</v>
          </cell>
          <cell r="F167">
            <v>2.67</v>
          </cell>
          <cell r="G167">
            <v>5.93</v>
          </cell>
          <cell r="H167">
            <v>5.93</v>
          </cell>
          <cell r="J167">
            <v>33.052276559865092</v>
          </cell>
          <cell r="M167">
            <v>45.381</v>
          </cell>
          <cell r="Q167">
            <v>53.9</v>
          </cell>
          <cell r="S167">
            <v>135.0629999999997</v>
          </cell>
          <cell r="T167">
            <v>135.0629999999997</v>
          </cell>
          <cell r="V167">
            <v>8.3000000000000007</v>
          </cell>
          <cell r="Y167">
            <v>7.54</v>
          </cell>
          <cell r="AB167">
            <v>3.446999999999993</v>
          </cell>
          <cell r="AN167">
            <v>51.51</v>
          </cell>
          <cell r="AO167">
            <v>51.51</v>
          </cell>
          <cell r="AQ167">
            <v>0</v>
          </cell>
          <cell r="CS167">
            <v>40</v>
          </cell>
          <cell r="CT167">
            <v>3</v>
          </cell>
        </row>
        <row r="168">
          <cell r="B168">
            <v>6</v>
          </cell>
          <cell r="D168">
            <v>250</v>
          </cell>
          <cell r="F168">
            <v>5.32</v>
          </cell>
          <cell r="G168">
            <v>6.8</v>
          </cell>
          <cell r="H168">
            <v>6.8</v>
          </cell>
          <cell r="J168">
            <v>36.764705882352942</v>
          </cell>
          <cell r="M168">
            <v>58</v>
          </cell>
          <cell r="Q168">
            <v>65.739999999999995</v>
          </cell>
          <cell r="S168">
            <v>127.32299999999971</v>
          </cell>
          <cell r="T168">
            <v>127.32299999999971</v>
          </cell>
          <cell r="V168">
            <v>10.75</v>
          </cell>
          <cell r="Y168">
            <v>5.97</v>
          </cell>
          <cell r="AB168">
            <v>8.2269999999999932</v>
          </cell>
          <cell r="AN168">
            <v>49.76</v>
          </cell>
          <cell r="AO168">
            <v>49.76</v>
          </cell>
          <cell r="AQ168">
            <v>0</v>
          </cell>
          <cell r="CS168">
            <v>40</v>
          </cell>
          <cell r="CT168">
            <v>3</v>
          </cell>
        </row>
        <row r="169">
          <cell r="B169">
            <v>7</v>
          </cell>
          <cell r="D169">
            <v>483</v>
          </cell>
          <cell r="F169">
            <v>9.14</v>
          </cell>
          <cell r="G169">
            <v>12.16</v>
          </cell>
          <cell r="H169">
            <v>12.16</v>
          </cell>
          <cell r="J169">
            <v>39.720394736842103</v>
          </cell>
          <cell r="M169">
            <v>111.09</v>
          </cell>
          <cell r="Q169">
            <v>0</v>
          </cell>
          <cell r="S169">
            <v>238.41299999999973</v>
          </cell>
          <cell r="T169">
            <v>238.41299999999973</v>
          </cell>
          <cell r="V169">
            <v>19.733000000000001</v>
          </cell>
          <cell r="Y169">
            <v>6.41</v>
          </cell>
          <cell r="AB169">
            <v>21.549999999999994</v>
          </cell>
          <cell r="AN169">
            <v>111.74</v>
          </cell>
          <cell r="AO169">
            <v>111.74</v>
          </cell>
          <cell r="AQ169">
            <v>0</v>
          </cell>
          <cell r="CS169">
            <v>40</v>
          </cell>
          <cell r="CT169">
            <v>3</v>
          </cell>
        </row>
        <row r="170">
          <cell r="B170">
            <v>8</v>
          </cell>
          <cell r="Q170">
            <v>0</v>
          </cell>
          <cell r="S170">
            <v>238.41299999999973</v>
          </cell>
          <cell r="T170">
            <v>238.41299999999973</v>
          </cell>
          <cell r="AB170">
            <v>21.549999999999994</v>
          </cell>
          <cell r="AQ170">
            <v>0</v>
          </cell>
          <cell r="CS170">
            <v>40</v>
          </cell>
          <cell r="CT170">
            <v>3</v>
          </cell>
        </row>
        <row r="171">
          <cell r="B171">
            <v>9</v>
          </cell>
          <cell r="D171">
            <v>456</v>
          </cell>
          <cell r="F171">
            <v>9.91</v>
          </cell>
          <cell r="G171">
            <v>12.26</v>
          </cell>
          <cell r="H171">
            <v>12.26</v>
          </cell>
          <cell r="J171">
            <v>37.194127243066887</v>
          </cell>
          <cell r="M171">
            <v>105.455</v>
          </cell>
          <cell r="Q171">
            <v>98.88</v>
          </cell>
          <cell r="S171">
            <v>244.98799999999972</v>
          </cell>
          <cell r="T171">
            <v>244.98799999999972</v>
          </cell>
          <cell r="V171">
            <v>18.47</v>
          </cell>
          <cell r="Y171">
            <v>19.72</v>
          </cell>
          <cell r="AB171">
            <v>20.299999999999997</v>
          </cell>
          <cell r="AN171">
            <v>90.81</v>
          </cell>
          <cell r="AO171">
            <v>90.81</v>
          </cell>
          <cell r="AQ171">
            <v>0</v>
          </cell>
          <cell r="CS171">
            <v>40</v>
          </cell>
          <cell r="CT171">
            <v>3</v>
          </cell>
        </row>
        <row r="172">
          <cell r="B172">
            <v>10</v>
          </cell>
          <cell r="D172">
            <v>507</v>
          </cell>
          <cell r="F172">
            <v>9.59</v>
          </cell>
          <cell r="G172">
            <v>13.46</v>
          </cell>
          <cell r="H172">
            <v>13.46</v>
          </cell>
          <cell r="J172">
            <v>37.667161961367007</v>
          </cell>
          <cell r="M172">
            <v>119.375</v>
          </cell>
          <cell r="Q172">
            <v>108.43</v>
          </cell>
          <cell r="S172">
            <v>255.93299999999971</v>
          </cell>
          <cell r="T172">
            <v>255.93299999999971</v>
          </cell>
          <cell r="V172">
            <v>21.24</v>
          </cell>
          <cell r="Y172">
            <v>26.44</v>
          </cell>
          <cell r="AB172">
            <v>15.099999999999991</v>
          </cell>
          <cell r="AN172">
            <v>121.65</v>
          </cell>
          <cell r="AO172">
            <v>121.65</v>
          </cell>
          <cell r="AQ172">
            <v>0</v>
          </cell>
          <cell r="CS172">
            <v>40</v>
          </cell>
          <cell r="CT172">
            <v>3</v>
          </cell>
        </row>
        <row r="173">
          <cell r="B173">
            <v>11</v>
          </cell>
          <cell r="D173">
            <v>311</v>
          </cell>
          <cell r="F173">
            <v>5.2</v>
          </cell>
          <cell r="G173">
            <v>10.06</v>
          </cell>
          <cell r="H173">
            <v>10.06</v>
          </cell>
          <cell r="J173">
            <v>30.914512922465207</v>
          </cell>
          <cell r="M173">
            <v>74.7</v>
          </cell>
          <cell r="Q173">
            <v>114.01</v>
          </cell>
          <cell r="S173">
            <v>216.62299999999971</v>
          </cell>
          <cell r="T173">
            <v>216.62299999999971</v>
          </cell>
          <cell r="V173">
            <v>11.82</v>
          </cell>
          <cell r="Y173">
            <v>6.9</v>
          </cell>
          <cell r="AB173">
            <v>20.019999999999989</v>
          </cell>
          <cell r="AN173">
            <v>58.57</v>
          </cell>
          <cell r="AO173">
            <v>58.57</v>
          </cell>
          <cell r="AQ173">
            <v>0</v>
          </cell>
          <cell r="CS173">
            <v>40</v>
          </cell>
          <cell r="CT173">
            <v>3</v>
          </cell>
        </row>
        <row r="174">
          <cell r="B174">
            <v>12</v>
          </cell>
          <cell r="D174">
            <v>592</v>
          </cell>
          <cell r="F174">
            <v>12.98</v>
          </cell>
          <cell r="G174">
            <v>11.19</v>
          </cell>
          <cell r="H174">
            <v>12.98</v>
          </cell>
          <cell r="J174">
            <v>45.608628659476118</v>
          </cell>
          <cell r="M174">
            <v>142.376</v>
          </cell>
          <cell r="Q174">
            <v>97.22</v>
          </cell>
          <cell r="S174">
            <v>261.77899999999966</v>
          </cell>
          <cell r="T174">
            <v>261.77899999999966</v>
          </cell>
          <cell r="V174">
            <v>23.09</v>
          </cell>
          <cell r="Y174">
            <v>26.4</v>
          </cell>
          <cell r="AB174">
            <v>16.709999999999987</v>
          </cell>
          <cell r="AN174">
            <v>130.97999999999999</v>
          </cell>
          <cell r="AO174">
            <v>130.97999999999999</v>
          </cell>
          <cell r="AQ174">
            <v>0</v>
          </cell>
          <cell r="CS174">
            <v>40</v>
          </cell>
          <cell r="CT174">
            <v>3</v>
          </cell>
        </row>
        <row r="175">
          <cell r="B175">
            <v>13</v>
          </cell>
          <cell r="D175">
            <v>223</v>
          </cell>
          <cell r="F175">
            <v>5.77</v>
          </cell>
          <cell r="G175">
            <v>3.35</v>
          </cell>
          <cell r="H175">
            <v>5.77</v>
          </cell>
          <cell r="J175">
            <v>38.648180242634318</v>
          </cell>
          <cell r="M175">
            <v>53.722999999999999</v>
          </cell>
          <cell r="Q175">
            <v>108.97</v>
          </cell>
          <cell r="S175">
            <v>206.53199999999967</v>
          </cell>
          <cell r="T175">
            <v>206.53199999999967</v>
          </cell>
          <cell r="V175">
            <v>8.7899999999999991</v>
          </cell>
          <cell r="Y175">
            <v>13.45</v>
          </cell>
          <cell r="AB175">
            <v>12.049999999999986</v>
          </cell>
          <cell r="AN175">
            <v>54.94</v>
          </cell>
          <cell r="AO175">
            <v>54.94</v>
          </cell>
          <cell r="AQ175">
            <v>0</v>
          </cell>
          <cell r="CS175">
            <v>40</v>
          </cell>
          <cell r="CT175">
            <v>3</v>
          </cell>
        </row>
        <row r="176">
          <cell r="B176">
            <v>14</v>
          </cell>
          <cell r="D176">
            <v>309</v>
          </cell>
          <cell r="F176">
            <v>7</v>
          </cell>
          <cell r="G176">
            <v>5.75</v>
          </cell>
          <cell r="H176">
            <v>7</v>
          </cell>
          <cell r="J176">
            <v>44.142857142857146</v>
          </cell>
          <cell r="M176">
            <v>74.468999999999994</v>
          </cell>
          <cell r="Q176">
            <v>84.53</v>
          </cell>
          <cell r="S176">
            <v>196.47099999999963</v>
          </cell>
          <cell r="T176">
            <v>196.47099999999963</v>
          </cell>
          <cell r="V176">
            <v>12.669</v>
          </cell>
          <cell r="Y176">
            <v>17.89</v>
          </cell>
          <cell r="AB176">
            <v>6.8289999999999864</v>
          </cell>
          <cell r="AN176">
            <v>61.8</v>
          </cell>
          <cell r="AO176">
            <v>47.96</v>
          </cell>
          <cell r="AQ176">
            <v>13.839999999999996</v>
          </cell>
          <cell r="CS176">
            <v>40</v>
          </cell>
          <cell r="CT176">
            <v>3</v>
          </cell>
        </row>
        <row r="177">
          <cell r="B177">
            <v>15</v>
          </cell>
          <cell r="Q177">
            <v>0</v>
          </cell>
          <cell r="S177">
            <v>196.47099999999963</v>
          </cell>
          <cell r="T177">
            <v>196.47099999999963</v>
          </cell>
          <cell r="AB177">
            <v>6.8289999999999864</v>
          </cell>
          <cell r="AQ177">
            <v>13.839999999999996</v>
          </cell>
          <cell r="CS177">
            <v>40</v>
          </cell>
          <cell r="CT177">
            <v>3</v>
          </cell>
        </row>
        <row r="178">
          <cell r="B178">
            <v>16</v>
          </cell>
          <cell r="D178">
            <v>359</v>
          </cell>
          <cell r="F178">
            <v>6.5</v>
          </cell>
          <cell r="G178">
            <v>9.65</v>
          </cell>
          <cell r="H178">
            <v>9.65</v>
          </cell>
          <cell r="J178">
            <v>37.202072538860101</v>
          </cell>
          <cell r="M178">
            <v>86.16</v>
          </cell>
          <cell r="Q178">
            <v>74.739999999999995</v>
          </cell>
          <cell r="S178">
            <v>207.89099999999962</v>
          </cell>
          <cell r="T178">
            <v>207.89099999999962</v>
          </cell>
          <cell r="V178">
            <v>14.718999999999999</v>
          </cell>
          <cell r="Y178">
            <v>13.42</v>
          </cell>
          <cell r="AB178">
            <v>8.1279999999999877</v>
          </cell>
          <cell r="AN178">
            <v>86.68</v>
          </cell>
          <cell r="AO178">
            <v>100.52</v>
          </cell>
          <cell r="AQ178">
            <v>0</v>
          </cell>
          <cell r="CS178">
            <v>40</v>
          </cell>
          <cell r="CT178">
            <v>3</v>
          </cell>
        </row>
        <row r="179">
          <cell r="B179">
            <v>17</v>
          </cell>
          <cell r="D179">
            <v>438</v>
          </cell>
          <cell r="F179">
            <v>7.83</v>
          </cell>
          <cell r="G179">
            <v>11.8</v>
          </cell>
          <cell r="H179">
            <v>11.8</v>
          </cell>
          <cell r="J179">
            <v>37.118644067796609</v>
          </cell>
          <cell r="M179">
            <v>105.123</v>
          </cell>
          <cell r="Q179">
            <v>130.94999999999999</v>
          </cell>
          <cell r="S179">
            <v>182.06399999999962</v>
          </cell>
          <cell r="T179">
            <v>182.06399999999962</v>
          </cell>
          <cell r="V179">
            <v>17.957999999999998</v>
          </cell>
          <cell r="Y179">
            <v>13.35</v>
          </cell>
          <cell r="AB179">
            <v>12.735999999999985</v>
          </cell>
          <cell r="AN179">
            <v>96.01</v>
          </cell>
          <cell r="AO179">
            <v>96.01</v>
          </cell>
          <cell r="AQ179">
            <v>0</v>
          </cell>
          <cell r="CS179">
            <v>40</v>
          </cell>
          <cell r="CT179">
            <v>3</v>
          </cell>
        </row>
        <row r="180">
          <cell r="B180">
            <v>18</v>
          </cell>
          <cell r="D180">
            <v>368</v>
          </cell>
          <cell r="F180">
            <v>10.210000000000001</v>
          </cell>
          <cell r="G180">
            <v>5.34</v>
          </cell>
          <cell r="H180">
            <v>10.210000000000001</v>
          </cell>
          <cell r="J180">
            <v>36.043095004897154</v>
          </cell>
          <cell r="M180">
            <v>88.32</v>
          </cell>
          <cell r="Q180">
            <v>97.66</v>
          </cell>
          <cell r="S180">
            <v>172.72399999999962</v>
          </cell>
          <cell r="T180">
            <v>172.72399999999962</v>
          </cell>
          <cell r="V180">
            <v>15.16</v>
          </cell>
          <cell r="Y180">
            <v>20.5</v>
          </cell>
          <cell r="AB180">
            <v>7.3959999999999866</v>
          </cell>
          <cell r="AN180">
            <v>78.37</v>
          </cell>
          <cell r="AO180">
            <v>78.37</v>
          </cell>
          <cell r="AQ180">
            <v>0</v>
          </cell>
          <cell r="CS180">
            <v>40</v>
          </cell>
          <cell r="CT180">
            <v>3</v>
          </cell>
        </row>
        <row r="181">
          <cell r="B181">
            <v>19</v>
          </cell>
          <cell r="D181">
            <v>544</v>
          </cell>
          <cell r="F181">
            <v>8.36</v>
          </cell>
          <cell r="G181">
            <v>12.33</v>
          </cell>
          <cell r="H181">
            <v>12.33</v>
          </cell>
          <cell r="J181">
            <v>44.120032441200323</v>
          </cell>
          <cell r="M181">
            <v>127.29600000000001</v>
          </cell>
          <cell r="Q181">
            <v>48.75</v>
          </cell>
          <cell r="S181">
            <v>251.26999999999964</v>
          </cell>
          <cell r="T181">
            <v>251.26999999999964</v>
          </cell>
          <cell r="V181">
            <v>21.815000000000001</v>
          </cell>
          <cell r="Y181">
            <v>7.17</v>
          </cell>
          <cell r="AB181">
            <v>22.04099999999999</v>
          </cell>
          <cell r="AN181">
            <v>105.84</v>
          </cell>
          <cell r="AO181">
            <v>105.84</v>
          </cell>
          <cell r="AQ181">
            <v>0</v>
          </cell>
          <cell r="CS181">
            <v>40</v>
          </cell>
          <cell r="CT181">
            <v>3</v>
          </cell>
        </row>
        <row r="182">
          <cell r="B182">
            <v>20</v>
          </cell>
          <cell r="D182">
            <v>282</v>
          </cell>
          <cell r="F182">
            <v>5.92</v>
          </cell>
          <cell r="G182">
            <v>6.77</v>
          </cell>
          <cell r="H182">
            <v>6.85</v>
          </cell>
          <cell r="J182">
            <v>41.167883211678834</v>
          </cell>
          <cell r="M182">
            <v>66.27</v>
          </cell>
          <cell r="Q182">
            <v>114.77</v>
          </cell>
          <cell r="S182">
            <v>202.76999999999964</v>
          </cell>
          <cell r="T182">
            <v>202.76999999999964</v>
          </cell>
          <cell r="V182">
            <v>10.959</v>
          </cell>
          <cell r="Y182">
            <v>18.75</v>
          </cell>
          <cell r="AB182">
            <v>14.249999999999986</v>
          </cell>
          <cell r="AN182">
            <v>77.97</v>
          </cell>
          <cell r="AO182">
            <v>77.97</v>
          </cell>
          <cell r="AQ182">
            <v>0</v>
          </cell>
          <cell r="CS182">
            <v>40</v>
          </cell>
          <cell r="CT182">
            <v>3</v>
          </cell>
        </row>
        <row r="183">
          <cell r="B183">
            <v>21</v>
          </cell>
          <cell r="D183">
            <v>655</v>
          </cell>
          <cell r="F183">
            <v>13.97</v>
          </cell>
          <cell r="G183">
            <v>12.23</v>
          </cell>
          <cell r="H183">
            <v>13.97</v>
          </cell>
          <cell r="J183">
            <v>46.886184681460271</v>
          </cell>
          <cell r="M183">
            <v>152.99299999999999</v>
          </cell>
          <cell r="Q183">
            <v>0</v>
          </cell>
          <cell r="S183">
            <v>355.76299999999964</v>
          </cell>
          <cell r="T183">
            <v>355.76299999999964</v>
          </cell>
          <cell r="V183">
            <v>25.78</v>
          </cell>
          <cell r="Y183">
            <v>19.28</v>
          </cell>
          <cell r="AB183">
            <v>20.749999999999986</v>
          </cell>
          <cell r="AN183">
            <v>144</v>
          </cell>
          <cell r="AO183">
            <v>117.37</v>
          </cell>
          <cell r="AQ183">
            <v>26.629999999999995</v>
          </cell>
          <cell r="CS183">
            <v>40</v>
          </cell>
          <cell r="CT183">
            <v>3</v>
          </cell>
        </row>
        <row r="184">
          <cell r="B184">
            <v>22</v>
          </cell>
          <cell r="Q184">
            <v>0</v>
          </cell>
          <cell r="S184">
            <v>355.76299999999964</v>
          </cell>
          <cell r="T184">
            <v>355.76299999999964</v>
          </cell>
          <cell r="AB184">
            <v>20.749999999999986</v>
          </cell>
          <cell r="AQ184">
            <v>26.629999999999995</v>
          </cell>
          <cell r="CS184">
            <v>40</v>
          </cell>
          <cell r="CT184">
            <v>3</v>
          </cell>
        </row>
        <row r="185">
          <cell r="B185">
            <v>23</v>
          </cell>
          <cell r="D185">
            <v>616</v>
          </cell>
          <cell r="F185">
            <v>13.67</v>
          </cell>
          <cell r="G185">
            <v>10.86</v>
          </cell>
          <cell r="H185">
            <v>13.67</v>
          </cell>
          <cell r="J185">
            <v>45.062179956108267</v>
          </cell>
          <cell r="M185">
            <v>138.81200000000001</v>
          </cell>
          <cell r="Q185">
            <v>0</v>
          </cell>
          <cell r="S185">
            <v>494.57499999999965</v>
          </cell>
          <cell r="T185">
            <v>494.57499999999965</v>
          </cell>
          <cell r="V185">
            <v>22.97</v>
          </cell>
          <cell r="Y185">
            <v>12.82</v>
          </cell>
          <cell r="AB185">
            <v>30.899999999999984</v>
          </cell>
          <cell r="AN185">
            <v>117.94</v>
          </cell>
          <cell r="AO185">
            <v>144.57</v>
          </cell>
          <cell r="AQ185">
            <v>0</v>
          </cell>
          <cell r="CS185">
            <v>40</v>
          </cell>
          <cell r="CT185">
            <v>3</v>
          </cell>
        </row>
        <row r="186">
          <cell r="B186">
            <v>24</v>
          </cell>
          <cell r="D186">
            <v>500</v>
          </cell>
          <cell r="F186">
            <v>11.7</v>
          </cell>
          <cell r="G186">
            <v>8.14</v>
          </cell>
          <cell r="H186">
            <v>11.7</v>
          </cell>
          <cell r="J186">
            <v>42.73504273504274</v>
          </cell>
          <cell r="M186">
            <v>110.182</v>
          </cell>
          <cell r="Q186">
            <v>136.57</v>
          </cell>
          <cell r="S186">
            <v>468.18699999999961</v>
          </cell>
          <cell r="T186">
            <v>468.18699999999961</v>
          </cell>
          <cell r="V186">
            <v>18.940000000000001</v>
          </cell>
          <cell r="Y186">
            <v>33.590000000000003</v>
          </cell>
          <cell r="AB186">
            <v>16.249999999999986</v>
          </cell>
          <cell r="AN186">
            <v>116.88</v>
          </cell>
          <cell r="AO186">
            <v>116.88</v>
          </cell>
          <cell r="AQ186">
            <v>0</v>
          </cell>
          <cell r="CS186">
            <v>40</v>
          </cell>
          <cell r="CT186">
            <v>3</v>
          </cell>
        </row>
        <row r="187">
          <cell r="B187">
            <v>25</v>
          </cell>
          <cell r="D187">
            <v>365</v>
          </cell>
          <cell r="F187">
            <v>10.039999999999999</v>
          </cell>
          <cell r="G187">
            <v>3.77</v>
          </cell>
          <cell r="H187">
            <v>10.039999999999999</v>
          </cell>
          <cell r="J187">
            <v>36.354581673306775</v>
          </cell>
          <cell r="M187">
            <v>78.494</v>
          </cell>
          <cell r="Q187">
            <v>131.65</v>
          </cell>
          <cell r="S187">
            <v>415.03099999999961</v>
          </cell>
          <cell r="T187">
            <v>415.03099999999961</v>
          </cell>
          <cell r="V187">
            <v>13.72</v>
          </cell>
          <cell r="AB187">
            <v>29.969999999999985</v>
          </cell>
          <cell r="AN187">
            <v>89.19</v>
          </cell>
          <cell r="AO187">
            <v>89.19</v>
          </cell>
          <cell r="AQ187">
            <v>0</v>
          </cell>
          <cell r="CS187">
            <v>40</v>
          </cell>
          <cell r="CT187">
            <v>3</v>
          </cell>
        </row>
        <row r="188">
          <cell r="B188">
            <v>26</v>
          </cell>
          <cell r="D188">
            <v>204</v>
          </cell>
          <cell r="F188">
            <v>2.54</v>
          </cell>
          <cell r="G188">
            <v>5.72</v>
          </cell>
          <cell r="H188">
            <v>8.26</v>
          </cell>
          <cell r="J188">
            <v>24.697336561743342</v>
          </cell>
          <cell r="M188">
            <v>43.679000000000002</v>
          </cell>
          <cell r="Q188">
            <v>109.26</v>
          </cell>
          <cell r="S188">
            <v>349.44999999999959</v>
          </cell>
          <cell r="T188">
            <v>349.44999999999959</v>
          </cell>
          <cell r="V188">
            <v>7.79</v>
          </cell>
          <cell r="AB188">
            <v>37.759999999999984</v>
          </cell>
          <cell r="AN188">
            <v>44.8</v>
          </cell>
          <cell r="AO188">
            <v>36.21</v>
          </cell>
          <cell r="AQ188">
            <v>8.5899999999999963</v>
          </cell>
          <cell r="CS188">
            <v>40</v>
          </cell>
          <cell r="CT188">
            <v>3</v>
          </cell>
        </row>
        <row r="189">
          <cell r="B189">
            <v>27</v>
          </cell>
          <cell r="D189">
            <v>206</v>
          </cell>
          <cell r="F189">
            <v>6.67</v>
          </cell>
          <cell r="H189">
            <v>6.67</v>
          </cell>
          <cell r="J189">
            <v>30.88455772113943</v>
          </cell>
          <cell r="M189">
            <v>44.186999999999998</v>
          </cell>
          <cell r="Q189">
            <v>125.65</v>
          </cell>
          <cell r="S189">
            <v>267.98699999999963</v>
          </cell>
          <cell r="T189">
            <v>223.79999999999961</v>
          </cell>
          <cell r="U189">
            <v>44.186999999999998</v>
          </cell>
          <cell r="V189">
            <v>7.83</v>
          </cell>
          <cell r="Y189">
            <v>18.75</v>
          </cell>
          <cell r="AB189">
            <v>26.839999999999982</v>
          </cell>
          <cell r="AN189">
            <v>45.32</v>
          </cell>
          <cell r="AO189">
            <v>46.64</v>
          </cell>
          <cell r="AQ189">
            <v>7.269999999999996</v>
          </cell>
          <cell r="CS189">
            <v>40</v>
          </cell>
          <cell r="CT189">
            <v>3</v>
          </cell>
        </row>
        <row r="190">
          <cell r="B190">
            <v>28</v>
          </cell>
          <cell r="D190">
            <v>400</v>
          </cell>
          <cell r="F190">
            <v>12.02</v>
          </cell>
          <cell r="H190">
            <v>12.02</v>
          </cell>
          <cell r="J190">
            <v>33.277870216306155</v>
          </cell>
          <cell r="M190">
            <v>84.866</v>
          </cell>
          <cell r="Q190">
            <v>109.39</v>
          </cell>
          <cell r="S190">
            <v>243.46299999999962</v>
          </cell>
          <cell r="T190">
            <v>114.40999999999963</v>
          </cell>
          <cell r="U190">
            <v>129.053</v>
          </cell>
          <cell r="V190">
            <v>15.6</v>
          </cell>
          <cell r="Y190">
            <v>18.98</v>
          </cell>
          <cell r="AB190">
            <v>23.459999999999983</v>
          </cell>
          <cell r="AN190">
            <v>84</v>
          </cell>
          <cell r="AO190">
            <v>58.33</v>
          </cell>
          <cell r="AQ190">
            <v>32.94</v>
          </cell>
          <cell r="CS190">
            <v>40</v>
          </cell>
          <cell r="CT190">
            <v>3</v>
          </cell>
        </row>
        <row r="191">
          <cell r="B191">
            <v>29</v>
          </cell>
          <cell r="Q191">
            <v>0</v>
          </cell>
          <cell r="S191">
            <v>243.46299999999962</v>
          </cell>
          <cell r="T191">
            <v>114.40999999999963</v>
          </cell>
          <cell r="U191">
            <v>129.053</v>
          </cell>
          <cell r="AB191">
            <v>23.459999999999983</v>
          </cell>
          <cell r="AQ191">
            <v>32.94</v>
          </cell>
          <cell r="CS191">
            <v>40</v>
          </cell>
          <cell r="CT191">
            <v>3</v>
          </cell>
        </row>
        <row r="192">
          <cell r="B192">
            <v>30</v>
          </cell>
          <cell r="D192">
            <v>355</v>
          </cell>
          <cell r="F192">
            <v>11.31</v>
          </cell>
          <cell r="H192">
            <v>11.31</v>
          </cell>
          <cell r="J192">
            <v>31.388152077807248</v>
          </cell>
          <cell r="M192">
            <v>75.545000000000002</v>
          </cell>
          <cell r="Q192">
            <v>74.64</v>
          </cell>
          <cell r="S192">
            <v>244.36799999999965</v>
          </cell>
          <cell r="T192">
            <v>78.319999999999652</v>
          </cell>
          <cell r="U192">
            <v>166.048</v>
          </cell>
          <cell r="V192">
            <v>14.52</v>
          </cell>
          <cell r="Y192">
            <v>26.22</v>
          </cell>
          <cell r="AB192">
            <v>11.759999999999984</v>
          </cell>
          <cell r="AN192">
            <v>71.16</v>
          </cell>
          <cell r="AO192">
            <v>104.1</v>
          </cell>
          <cell r="AQ192">
            <v>0</v>
          </cell>
          <cell r="CS192">
            <v>40</v>
          </cell>
          <cell r="CT192">
            <v>3</v>
          </cell>
        </row>
        <row r="193">
          <cell r="B193">
            <v>31</v>
          </cell>
          <cell r="Q193">
            <v>0</v>
          </cell>
          <cell r="S193">
            <v>244.36799999999965</v>
          </cell>
          <cell r="T193">
            <v>78.319999999999652</v>
          </cell>
          <cell r="U193">
            <v>166.048</v>
          </cell>
          <cell r="AB193">
            <v>11.759999999999984</v>
          </cell>
          <cell r="AQ193">
            <v>0</v>
          </cell>
          <cell r="CS193">
            <v>40</v>
          </cell>
          <cell r="CT193">
            <v>3</v>
          </cell>
        </row>
        <row r="194">
          <cell r="B194" t="str">
            <v>JUL/1</v>
          </cell>
          <cell r="D194">
            <v>401</v>
          </cell>
          <cell r="F194">
            <v>11.6</v>
          </cell>
          <cell r="H194">
            <v>11.6</v>
          </cell>
          <cell r="J194">
            <v>34.568965517241381</v>
          </cell>
          <cell r="M194">
            <v>85.036000000000001</v>
          </cell>
          <cell r="Q194">
            <v>86.3</v>
          </cell>
          <cell r="S194">
            <v>243.10399999999964</v>
          </cell>
          <cell r="T194">
            <v>78.319999999999652</v>
          </cell>
          <cell r="U194">
            <v>164.78399999999999</v>
          </cell>
          <cell r="V194">
            <v>16.04</v>
          </cell>
          <cell r="Y194">
            <v>6.6</v>
          </cell>
          <cell r="AB194">
            <v>21.199999999999982</v>
          </cell>
          <cell r="CS194">
            <v>40</v>
          </cell>
          <cell r="CT194">
            <v>3</v>
          </cell>
        </row>
        <row r="195">
          <cell r="B195">
            <v>2</v>
          </cell>
          <cell r="D195">
            <v>320</v>
          </cell>
          <cell r="F195">
            <v>9.1</v>
          </cell>
          <cell r="H195">
            <v>9.1</v>
          </cell>
          <cell r="J195">
            <v>35.164835164835168</v>
          </cell>
          <cell r="M195">
            <v>65.664000000000001</v>
          </cell>
          <cell r="Q195">
            <v>77.040000000000006</v>
          </cell>
          <cell r="S195">
            <v>231.72799999999961</v>
          </cell>
          <cell r="T195">
            <v>78.319999999999624</v>
          </cell>
          <cell r="U195">
            <v>153.40799999999999</v>
          </cell>
          <cell r="V195">
            <v>12.89</v>
          </cell>
          <cell r="Y195">
            <v>19.48</v>
          </cell>
          <cell r="AB195">
            <v>14.609999999999982</v>
          </cell>
          <cell r="CS195">
            <v>40</v>
          </cell>
          <cell r="CT195">
            <v>3</v>
          </cell>
        </row>
        <row r="196">
          <cell r="B196">
            <v>3</v>
          </cell>
          <cell r="D196">
            <v>287</v>
          </cell>
          <cell r="F196">
            <v>8.2200000000000006</v>
          </cell>
          <cell r="H196">
            <v>8.2200000000000006</v>
          </cell>
          <cell r="J196">
            <v>34.914841849148416</v>
          </cell>
          <cell r="M196">
            <v>58.222999999999999</v>
          </cell>
          <cell r="Q196">
            <v>67.489999999999995</v>
          </cell>
          <cell r="S196">
            <v>222.46099999999961</v>
          </cell>
          <cell r="T196">
            <v>78.319999999999624</v>
          </cell>
          <cell r="U196">
            <v>144.14099999999999</v>
          </cell>
          <cell r="V196">
            <v>11.59</v>
          </cell>
          <cell r="Y196">
            <v>18.54</v>
          </cell>
          <cell r="AB196">
            <v>7.6599999999999824</v>
          </cell>
          <cell r="CS196">
            <v>40</v>
          </cell>
          <cell r="CT196">
            <v>3</v>
          </cell>
        </row>
        <row r="197">
          <cell r="B197">
            <v>4</v>
          </cell>
          <cell r="D197">
            <v>221</v>
          </cell>
          <cell r="F197">
            <v>6.72</v>
          </cell>
          <cell r="H197">
            <v>6.72</v>
          </cell>
          <cell r="J197">
            <v>32.886904761904766</v>
          </cell>
          <cell r="M197">
            <v>44.908999999999999</v>
          </cell>
          <cell r="Q197">
            <v>67.03</v>
          </cell>
          <cell r="S197">
            <v>200.33999999999961</v>
          </cell>
          <cell r="T197">
            <v>78.319999999999609</v>
          </cell>
          <cell r="U197">
            <v>122.02</v>
          </cell>
          <cell r="V197">
            <v>8.7899999999999991</v>
          </cell>
          <cell r="Y197">
            <v>11.74</v>
          </cell>
          <cell r="AB197">
            <v>4.7099999999999813</v>
          </cell>
          <cell r="CS197">
            <v>40</v>
          </cell>
          <cell r="CT197">
            <v>3</v>
          </cell>
        </row>
        <row r="198">
          <cell r="B198">
            <v>5</v>
          </cell>
          <cell r="D198">
            <v>326</v>
          </cell>
          <cell r="F198">
            <v>9.73</v>
          </cell>
          <cell r="H198">
            <v>9.73</v>
          </cell>
          <cell r="J198">
            <v>33.504624871531348</v>
          </cell>
          <cell r="M198">
            <v>65.715000000000003</v>
          </cell>
          <cell r="Q198">
            <v>54.34</v>
          </cell>
          <cell r="S198">
            <v>211.71499999999961</v>
          </cell>
          <cell r="T198">
            <v>78.319999999999595</v>
          </cell>
          <cell r="U198">
            <v>133.39500000000001</v>
          </cell>
          <cell r="V198">
            <v>12.68</v>
          </cell>
          <cell r="Y198">
            <v>6.68</v>
          </cell>
          <cell r="AB198">
            <v>10.70999999999998</v>
          </cell>
          <cell r="CS198">
            <v>40</v>
          </cell>
          <cell r="CT198">
            <v>3</v>
          </cell>
        </row>
        <row r="199">
          <cell r="B199">
            <v>6</v>
          </cell>
          <cell r="Q199">
            <v>0</v>
          </cell>
          <cell r="S199">
            <v>211.71499999999961</v>
          </cell>
          <cell r="T199">
            <v>45.666999999999604</v>
          </cell>
          <cell r="U199">
            <v>166.048</v>
          </cell>
          <cell r="AB199">
            <v>10.70999999999998</v>
          </cell>
          <cell r="CS199">
            <v>40</v>
          </cell>
          <cell r="CT199">
            <v>3</v>
          </cell>
        </row>
        <row r="200">
          <cell r="B200">
            <v>7</v>
          </cell>
          <cell r="Q200">
            <v>0</v>
          </cell>
          <cell r="S200">
            <v>211.71499999999961</v>
          </cell>
          <cell r="T200">
            <v>45.666999999999604</v>
          </cell>
          <cell r="U200">
            <v>166.048</v>
          </cell>
          <cell r="AB200">
            <v>10.70999999999998</v>
          </cell>
          <cell r="CS200">
            <v>40</v>
          </cell>
          <cell r="CT200">
            <v>3</v>
          </cell>
        </row>
        <row r="201">
          <cell r="B201">
            <v>8</v>
          </cell>
          <cell r="Q201">
            <v>0</v>
          </cell>
          <cell r="S201">
            <v>211.71499999999961</v>
          </cell>
          <cell r="T201">
            <v>45.666999999999604</v>
          </cell>
          <cell r="U201">
            <v>166.048</v>
          </cell>
          <cell r="AB201">
            <v>10.70999999999998</v>
          </cell>
          <cell r="CS201">
            <v>40</v>
          </cell>
          <cell r="CT201">
            <v>3</v>
          </cell>
        </row>
        <row r="202">
          <cell r="B202">
            <v>9</v>
          </cell>
          <cell r="Q202">
            <v>0</v>
          </cell>
          <cell r="S202">
            <v>211.71499999999961</v>
          </cell>
          <cell r="T202">
            <v>45.666999999999604</v>
          </cell>
          <cell r="U202">
            <v>166.048</v>
          </cell>
          <cell r="AB202">
            <v>10.70999999999998</v>
          </cell>
          <cell r="CS202">
            <v>40</v>
          </cell>
          <cell r="CT202">
            <v>3</v>
          </cell>
        </row>
        <row r="203">
          <cell r="B203">
            <v>10</v>
          </cell>
          <cell r="Q203">
            <v>0</v>
          </cell>
          <cell r="S203">
            <v>211.71499999999961</v>
          </cell>
          <cell r="T203">
            <v>45.666999999999604</v>
          </cell>
          <cell r="U203">
            <v>166.048</v>
          </cell>
          <cell r="AB203">
            <v>10.70999999999998</v>
          </cell>
          <cell r="CS203">
            <v>40</v>
          </cell>
          <cell r="CT203">
            <v>3</v>
          </cell>
        </row>
        <row r="204">
          <cell r="B204">
            <v>11</v>
          </cell>
          <cell r="Q204">
            <v>0</v>
          </cell>
          <cell r="S204">
            <v>211.71499999999961</v>
          </cell>
          <cell r="T204">
            <v>45.666999999999604</v>
          </cell>
          <cell r="U204">
            <v>166.048</v>
          </cell>
          <cell r="AB204">
            <v>10.70999999999998</v>
          </cell>
          <cell r="CS204">
            <v>40</v>
          </cell>
          <cell r="CT204">
            <v>3</v>
          </cell>
        </row>
        <row r="205">
          <cell r="B205">
            <v>12</v>
          </cell>
          <cell r="Q205">
            <v>0</v>
          </cell>
          <cell r="S205">
            <v>211.71499999999961</v>
          </cell>
          <cell r="T205">
            <v>45.666999999999604</v>
          </cell>
          <cell r="U205">
            <v>166.048</v>
          </cell>
          <cell r="AB205">
            <v>10.70999999999998</v>
          </cell>
          <cell r="CS205">
            <v>40</v>
          </cell>
          <cell r="CT205">
            <v>3</v>
          </cell>
        </row>
        <row r="206">
          <cell r="B206">
            <v>13</v>
          </cell>
          <cell r="Q206">
            <v>0</v>
          </cell>
          <cell r="S206">
            <v>211.71499999999961</v>
          </cell>
          <cell r="T206">
            <v>45.666999999999604</v>
          </cell>
          <cell r="U206">
            <v>166.048</v>
          </cell>
          <cell r="AB206">
            <v>10.70999999999998</v>
          </cell>
          <cell r="CS206">
            <v>40</v>
          </cell>
          <cell r="CT206">
            <v>3</v>
          </cell>
        </row>
        <row r="207">
          <cell r="B207">
            <v>14</v>
          </cell>
          <cell r="Q207">
            <v>0</v>
          </cell>
          <cell r="S207">
            <v>211.71499999999961</v>
          </cell>
          <cell r="T207">
            <v>45.666999999999604</v>
          </cell>
          <cell r="U207">
            <v>166.048</v>
          </cell>
          <cell r="AB207">
            <v>10.70999999999998</v>
          </cell>
          <cell r="CS207">
            <v>40</v>
          </cell>
          <cell r="CT207">
            <v>3</v>
          </cell>
        </row>
        <row r="208">
          <cell r="B208">
            <v>15</v>
          </cell>
          <cell r="Q208">
            <v>0</v>
          </cell>
          <cell r="S208">
            <v>211.71499999999961</v>
          </cell>
          <cell r="T208">
            <v>45.666999999999604</v>
          </cell>
          <cell r="U208">
            <v>166.048</v>
          </cell>
          <cell r="AB208">
            <v>10.70999999999998</v>
          </cell>
          <cell r="CS208">
            <v>40</v>
          </cell>
          <cell r="CT208">
            <v>3</v>
          </cell>
        </row>
        <row r="209">
          <cell r="B209">
            <v>16</v>
          </cell>
          <cell r="Q209">
            <v>0</v>
          </cell>
          <cell r="S209">
            <v>211.71499999999961</v>
          </cell>
          <cell r="T209">
            <v>45.666999999999604</v>
          </cell>
          <cell r="U209">
            <v>166.048</v>
          </cell>
          <cell r="AB209">
            <v>10.70999999999998</v>
          </cell>
          <cell r="CS209">
            <v>40</v>
          </cell>
          <cell r="CT209">
            <v>3</v>
          </cell>
        </row>
        <row r="210">
          <cell r="B210">
            <v>17</v>
          </cell>
          <cell r="Q210">
            <v>0</v>
          </cell>
          <cell r="S210">
            <v>211.71499999999961</v>
          </cell>
          <cell r="T210">
            <v>45.666999999999604</v>
          </cell>
          <cell r="U210">
            <v>166.048</v>
          </cell>
          <cell r="AB210">
            <v>10.70999999999998</v>
          </cell>
          <cell r="CS210">
            <v>40</v>
          </cell>
          <cell r="CT210">
            <v>3</v>
          </cell>
        </row>
        <row r="211">
          <cell r="B211">
            <v>18</v>
          </cell>
          <cell r="Q211">
            <v>0</v>
          </cell>
          <cell r="S211">
            <v>211.71499999999961</v>
          </cell>
          <cell r="T211">
            <v>45.666999999999604</v>
          </cell>
          <cell r="U211">
            <v>166.048</v>
          </cell>
          <cell r="AB211">
            <v>10.70999999999998</v>
          </cell>
          <cell r="CS211">
            <v>40</v>
          </cell>
          <cell r="CT211">
            <v>3</v>
          </cell>
        </row>
        <row r="212">
          <cell r="B212">
            <v>19</v>
          </cell>
          <cell r="Q212">
            <v>0</v>
          </cell>
          <cell r="S212">
            <v>211.71499999999961</v>
          </cell>
          <cell r="T212">
            <v>45.666999999999604</v>
          </cell>
          <cell r="U212">
            <v>166.048</v>
          </cell>
          <cell r="AB212">
            <v>10.70999999999998</v>
          </cell>
          <cell r="CS212">
            <v>40</v>
          </cell>
          <cell r="CT212">
            <v>3</v>
          </cell>
        </row>
        <row r="213">
          <cell r="B213">
            <v>20</v>
          </cell>
          <cell r="Q213">
            <v>0</v>
          </cell>
          <cell r="S213">
            <v>211.71499999999961</v>
          </cell>
          <cell r="T213">
            <v>45.666999999999604</v>
          </cell>
          <cell r="U213">
            <v>166.048</v>
          </cell>
          <cell r="AB213">
            <v>10.70999999999998</v>
          </cell>
          <cell r="CS213">
            <v>40</v>
          </cell>
          <cell r="CT213">
            <v>3</v>
          </cell>
        </row>
        <row r="214">
          <cell r="B214">
            <v>21</v>
          </cell>
          <cell r="Q214">
            <v>0</v>
          </cell>
          <cell r="S214">
            <v>211.71499999999961</v>
          </cell>
          <cell r="T214">
            <v>45.666999999999604</v>
          </cell>
          <cell r="U214">
            <v>166.048</v>
          </cell>
          <cell r="AB214">
            <v>10.70999999999998</v>
          </cell>
          <cell r="CS214">
            <v>40</v>
          </cell>
          <cell r="CT214">
            <v>3</v>
          </cell>
        </row>
        <row r="215">
          <cell r="B215">
            <v>22</v>
          </cell>
          <cell r="Q215">
            <v>0</v>
          </cell>
          <cell r="S215">
            <v>211.71499999999961</v>
          </cell>
          <cell r="T215">
            <v>45.666999999999604</v>
          </cell>
          <cell r="U215">
            <v>166.048</v>
          </cell>
          <cell r="AB215">
            <v>10.70999999999998</v>
          </cell>
          <cell r="CS215">
            <v>40</v>
          </cell>
          <cell r="CT215">
            <v>3</v>
          </cell>
        </row>
        <row r="216">
          <cell r="B216">
            <v>23</v>
          </cell>
          <cell r="Q216">
            <v>0</v>
          </cell>
          <cell r="S216">
            <v>211.71499999999961</v>
          </cell>
          <cell r="T216">
            <v>45.666999999999604</v>
          </cell>
          <cell r="U216">
            <v>166.048</v>
          </cell>
          <cell r="AB216">
            <v>10.70999999999998</v>
          </cell>
          <cell r="CS216">
            <v>40</v>
          </cell>
          <cell r="CT216">
            <v>3</v>
          </cell>
        </row>
        <row r="217">
          <cell r="B217">
            <v>24</v>
          </cell>
          <cell r="Q217">
            <v>0</v>
          </cell>
          <cell r="S217">
            <v>211.71499999999961</v>
          </cell>
          <cell r="T217">
            <v>45.666999999999604</v>
          </cell>
          <cell r="U217">
            <v>166.048</v>
          </cell>
          <cell r="AB217">
            <v>10.70999999999998</v>
          </cell>
          <cell r="CS217">
            <v>40</v>
          </cell>
          <cell r="CT217">
            <v>3</v>
          </cell>
        </row>
        <row r="218">
          <cell r="B218">
            <v>25</v>
          </cell>
          <cell r="Q218">
            <v>0</v>
          </cell>
          <cell r="S218">
            <v>211.71499999999961</v>
          </cell>
          <cell r="T218">
            <v>45.666999999999604</v>
          </cell>
          <cell r="U218">
            <v>166.048</v>
          </cell>
          <cell r="AB218">
            <v>10.70999999999998</v>
          </cell>
          <cell r="CS218">
            <v>40</v>
          </cell>
          <cell r="CT218">
            <v>3</v>
          </cell>
        </row>
        <row r="219">
          <cell r="B219">
            <v>26</v>
          </cell>
          <cell r="Q219">
            <v>0</v>
          </cell>
          <cell r="S219">
            <v>211.71499999999961</v>
          </cell>
          <cell r="T219">
            <v>45.666999999999604</v>
          </cell>
          <cell r="U219">
            <v>166.048</v>
          </cell>
          <cell r="AB219">
            <v>10.70999999999998</v>
          </cell>
          <cell r="CS219">
            <v>40</v>
          </cell>
          <cell r="CT219">
            <v>3</v>
          </cell>
        </row>
        <row r="220">
          <cell r="B220">
            <v>27</v>
          </cell>
          <cell r="Q220">
            <v>0</v>
          </cell>
          <cell r="S220">
            <v>211.71499999999961</v>
          </cell>
          <cell r="T220">
            <v>45.666999999999604</v>
          </cell>
          <cell r="U220">
            <v>166.048</v>
          </cell>
          <cell r="AB220">
            <v>10.70999999999998</v>
          </cell>
          <cell r="CS220">
            <v>40</v>
          </cell>
          <cell r="CT220">
            <v>3</v>
          </cell>
        </row>
        <row r="221">
          <cell r="B221">
            <v>28</v>
          </cell>
          <cell r="Q221">
            <v>0</v>
          </cell>
          <cell r="S221">
            <v>211.71499999999961</v>
          </cell>
          <cell r="T221">
            <v>45.666999999999604</v>
          </cell>
          <cell r="U221">
            <v>166.048</v>
          </cell>
          <cell r="AB221">
            <v>10.70999999999998</v>
          </cell>
          <cell r="CS221">
            <v>40</v>
          </cell>
          <cell r="CT221">
            <v>3</v>
          </cell>
        </row>
        <row r="222">
          <cell r="B222">
            <v>29</v>
          </cell>
          <cell r="Q222">
            <v>0</v>
          </cell>
          <cell r="S222">
            <v>211.71499999999961</v>
          </cell>
          <cell r="T222">
            <v>45.666999999999604</v>
          </cell>
          <cell r="U222">
            <v>166.048</v>
          </cell>
          <cell r="AB222">
            <v>10.70999999999998</v>
          </cell>
          <cell r="CS222">
            <v>40</v>
          </cell>
          <cell r="CT222">
            <v>3</v>
          </cell>
        </row>
        <row r="223">
          <cell r="B223">
            <v>30</v>
          </cell>
          <cell r="Q223">
            <v>0</v>
          </cell>
          <cell r="S223">
            <v>211.71499999999961</v>
          </cell>
          <cell r="T223">
            <v>45.666999999999604</v>
          </cell>
          <cell r="U223">
            <v>166.048</v>
          </cell>
          <cell r="AB223">
            <v>10.70999999999998</v>
          </cell>
          <cell r="CS223">
            <v>40</v>
          </cell>
          <cell r="CT223">
            <v>3</v>
          </cell>
        </row>
        <row r="224">
          <cell r="B224">
            <v>31</v>
          </cell>
          <cell r="CS224">
            <v>40</v>
          </cell>
          <cell r="CT224">
            <v>3</v>
          </cell>
        </row>
        <row r="225">
          <cell r="B225" t="str">
            <v>AGST/1</v>
          </cell>
          <cell r="CS225">
            <v>40</v>
          </cell>
          <cell r="CT225">
            <v>3</v>
          </cell>
        </row>
        <row r="226">
          <cell r="B226">
            <v>2</v>
          </cell>
          <cell r="CS226">
            <v>40</v>
          </cell>
          <cell r="CT226">
            <v>3</v>
          </cell>
        </row>
        <row r="227">
          <cell r="B227">
            <v>3</v>
          </cell>
          <cell r="CS227">
            <v>40</v>
          </cell>
          <cell r="CT227">
            <v>3</v>
          </cell>
        </row>
        <row r="228">
          <cell r="B228">
            <v>4</v>
          </cell>
          <cell r="CS228">
            <v>40</v>
          </cell>
          <cell r="CT228">
            <v>3</v>
          </cell>
        </row>
        <row r="229">
          <cell r="B229">
            <v>5</v>
          </cell>
          <cell r="CS229">
            <v>40</v>
          </cell>
          <cell r="CT229">
            <v>3</v>
          </cell>
        </row>
        <row r="230">
          <cell r="B230">
            <v>6</v>
          </cell>
          <cell r="CS230">
            <v>40</v>
          </cell>
          <cell r="CT230">
            <v>3</v>
          </cell>
        </row>
        <row r="231">
          <cell r="B231">
            <v>7</v>
          </cell>
          <cell r="CS231">
            <v>40</v>
          </cell>
          <cell r="CT231">
            <v>3</v>
          </cell>
        </row>
        <row r="232">
          <cell r="B232">
            <v>8</v>
          </cell>
          <cell r="CS232">
            <v>40</v>
          </cell>
          <cell r="CT232">
            <v>3</v>
          </cell>
        </row>
        <row r="233">
          <cell r="B233">
            <v>9</v>
          </cell>
          <cell r="CS233">
            <v>40</v>
          </cell>
          <cell r="CT233">
            <v>3</v>
          </cell>
        </row>
        <row r="234">
          <cell r="B234">
            <v>10</v>
          </cell>
          <cell r="CS234">
            <v>40</v>
          </cell>
          <cell r="CT234">
            <v>3</v>
          </cell>
        </row>
        <row r="235">
          <cell r="B235">
            <v>11</v>
          </cell>
          <cell r="CS235">
            <v>40</v>
          </cell>
          <cell r="CT235">
            <v>3</v>
          </cell>
        </row>
        <row r="236">
          <cell r="B236">
            <v>12</v>
          </cell>
          <cell r="CS236">
            <v>40</v>
          </cell>
          <cell r="CT236">
            <v>3</v>
          </cell>
        </row>
        <row r="237">
          <cell r="B237">
            <v>13</v>
          </cell>
          <cell r="CS237">
            <v>40</v>
          </cell>
          <cell r="CT237">
            <v>3</v>
          </cell>
        </row>
        <row r="238">
          <cell r="B238">
            <v>14</v>
          </cell>
          <cell r="CS238">
            <v>40</v>
          </cell>
          <cell r="CT238">
            <v>3</v>
          </cell>
        </row>
        <row r="239">
          <cell r="B239">
            <v>15</v>
          </cell>
          <cell r="CS239">
            <v>40</v>
          </cell>
          <cell r="CT239">
            <v>3</v>
          </cell>
        </row>
        <row r="240">
          <cell r="B240">
            <v>16</v>
          </cell>
          <cell r="CS240">
            <v>40</v>
          </cell>
          <cell r="CT240">
            <v>3</v>
          </cell>
        </row>
        <row r="241">
          <cell r="B241">
            <v>17</v>
          </cell>
          <cell r="CS241">
            <v>40</v>
          </cell>
          <cell r="CT241">
            <v>3</v>
          </cell>
        </row>
        <row r="242">
          <cell r="B242">
            <v>18</v>
          </cell>
          <cell r="CS242">
            <v>40</v>
          </cell>
          <cell r="CT242">
            <v>3</v>
          </cell>
        </row>
        <row r="243">
          <cell r="B243">
            <v>19</v>
          </cell>
          <cell r="CS243">
            <v>40</v>
          </cell>
          <cell r="CT243">
            <v>3</v>
          </cell>
        </row>
        <row r="244">
          <cell r="B244">
            <v>20</v>
          </cell>
          <cell r="CS244">
            <v>40</v>
          </cell>
          <cell r="CT244">
            <v>3</v>
          </cell>
        </row>
        <row r="245">
          <cell r="B245">
            <v>21</v>
          </cell>
          <cell r="CS245">
            <v>40</v>
          </cell>
          <cell r="CT245">
            <v>3</v>
          </cell>
        </row>
        <row r="246">
          <cell r="B246">
            <v>22</v>
          </cell>
          <cell r="CS246">
            <v>40</v>
          </cell>
          <cell r="CT246">
            <v>3</v>
          </cell>
        </row>
        <row r="247">
          <cell r="B247">
            <v>23</v>
          </cell>
          <cell r="CS247">
            <v>40</v>
          </cell>
          <cell r="CT247">
            <v>3</v>
          </cell>
        </row>
        <row r="248">
          <cell r="B248">
            <v>24</v>
          </cell>
          <cell r="CS248">
            <v>40</v>
          </cell>
          <cell r="CT248">
            <v>3</v>
          </cell>
        </row>
        <row r="249">
          <cell r="B249">
            <v>25</v>
          </cell>
          <cell r="CS249">
            <v>40</v>
          </cell>
          <cell r="CT249">
            <v>3</v>
          </cell>
        </row>
        <row r="250">
          <cell r="B250">
            <v>26</v>
          </cell>
          <cell r="CS250">
            <v>40</v>
          </cell>
          <cell r="CT250">
            <v>3</v>
          </cell>
        </row>
        <row r="251">
          <cell r="B251">
            <v>27</v>
          </cell>
          <cell r="CS251">
            <v>40</v>
          </cell>
          <cell r="CT251">
            <v>3</v>
          </cell>
        </row>
        <row r="252">
          <cell r="B252">
            <v>28</v>
          </cell>
          <cell r="CS252">
            <v>40</v>
          </cell>
          <cell r="CT252">
            <v>3</v>
          </cell>
        </row>
        <row r="253">
          <cell r="B253">
            <v>29</v>
          </cell>
          <cell r="CS253">
            <v>40</v>
          </cell>
          <cell r="CT253">
            <v>3</v>
          </cell>
        </row>
        <row r="254">
          <cell r="B254">
            <v>30</v>
          </cell>
          <cell r="CS254">
            <v>40</v>
          </cell>
          <cell r="CT254">
            <v>3</v>
          </cell>
        </row>
        <row r="255">
          <cell r="B255">
            <v>31</v>
          </cell>
          <cell r="CS255">
            <v>40</v>
          </cell>
          <cell r="CT255">
            <v>3</v>
          </cell>
        </row>
        <row r="256">
          <cell r="B256" t="str">
            <v>SEPT/1</v>
          </cell>
          <cell r="CS256">
            <v>40</v>
          </cell>
          <cell r="CT256">
            <v>3</v>
          </cell>
        </row>
        <row r="257">
          <cell r="B257">
            <v>2</v>
          </cell>
          <cell r="CS257">
            <v>40</v>
          </cell>
          <cell r="CT257">
            <v>3</v>
          </cell>
        </row>
        <row r="258">
          <cell r="B258">
            <v>3</v>
          </cell>
          <cell r="CS258">
            <v>40</v>
          </cell>
          <cell r="CT258">
            <v>3</v>
          </cell>
        </row>
        <row r="259">
          <cell r="B259">
            <v>4</v>
          </cell>
          <cell r="CS259">
            <v>40</v>
          </cell>
          <cell r="CT259">
            <v>3</v>
          </cell>
        </row>
        <row r="260">
          <cell r="B260">
            <v>5</v>
          </cell>
          <cell r="CS260">
            <v>40</v>
          </cell>
          <cell r="CT260">
            <v>3</v>
          </cell>
        </row>
        <row r="261">
          <cell r="B261">
            <v>6</v>
          </cell>
          <cell r="CS261">
            <v>40</v>
          </cell>
          <cell r="CT261">
            <v>3</v>
          </cell>
        </row>
        <row r="262">
          <cell r="B262">
            <v>7</v>
          </cell>
          <cell r="CS262">
            <v>40</v>
          </cell>
          <cell r="CT262">
            <v>3</v>
          </cell>
        </row>
        <row r="263">
          <cell r="B263">
            <v>8</v>
          </cell>
          <cell r="CS263">
            <v>40</v>
          </cell>
          <cell r="CT263">
            <v>3</v>
          </cell>
        </row>
        <row r="264">
          <cell r="B264">
            <v>9</v>
          </cell>
          <cell r="CS264">
            <v>40</v>
          </cell>
          <cell r="CT264">
            <v>3</v>
          </cell>
        </row>
        <row r="265">
          <cell r="B265">
            <v>10</v>
          </cell>
          <cell r="CS265">
            <v>40</v>
          </cell>
          <cell r="CT265">
            <v>3</v>
          </cell>
        </row>
        <row r="266">
          <cell r="B266">
            <v>11</v>
          </cell>
          <cell r="CS266">
            <v>40</v>
          </cell>
          <cell r="CT266">
            <v>3</v>
          </cell>
        </row>
        <row r="267">
          <cell r="B267">
            <v>12</v>
          </cell>
          <cell r="CS267">
            <v>40</v>
          </cell>
          <cell r="CT267">
            <v>3</v>
          </cell>
        </row>
        <row r="268">
          <cell r="B268">
            <v>13</v>
          </cell>
          <cell r="CS268">
            <v>40</v>
          </cell>
          <cell r="CT268">
            <v>3</v>
          </cell>
        </row>
        <row r="269">
          <cell r="B269">
            <v>14</v>
          </cell>
          <cell r="CS269">
            <v>40</v>
          </cell>
          <cell r="CT269">
            <v>3</v>
          </cell>
        </row>
        <row r="270">
          <cell r="B270">
            <v>15</v>
          </cell>
          <cell r="CS270">
            <v>40</v>
          </cell>
          <cell r="CT270">
            <v>3</v>
          </cell>
        </row>
        <row r="271">
          <cell r="B271">
            <v>16</v>
          </cell>
          <cell r="CS271">
            <v>40</v>
          </cell>
          <cell r="CT271">
            <v>3</v>
          </cell>
        </row>
        <row r="272">
          <cell r="B272">
            <v>17</v>
          </cell>
          <cell r="CS272">
            <v>40</v>
          </cell>
          <cell r="CT272">
            <v>3</v>
          </cell>
        </row>
        <row r="273">
          <cell r="B273">
            <v>18</v>
          </cell>
          <cell r="CS273">
            <v>40</v>
          </cell>
          <cell r="CT273">
            <v>3</v>
          </cell>
        </row>
        <row r="274">
          <cell r="B274">
            <v>19</v>
          </cell>
          <cell r="CS274">
            <v>40</v>
          </cell>
          <cell r="CT274">
            <v>3</v>
          </cell>
        </row>
        <row r="275">
          <cell r="B275">
            <v>20</v>
          </cell>
          <cell r="CS275">
            <v>40</v>
          </cell>
          <cell r="CT275">
            <v>3</v>
          </cell>
        </row>
        <row r="276">
          <cell r="B276">
            <v>21</v>
          </cell>
          <cell r="CS276">
            <v>40</v>
          </cell>
          <cell r="CT276">
            <v>3</v>
          </cell>
        </row>
        <row r="277">
          <cell r="B277">
            <v>22</v>
          </cell>
          <cell r="CS277">
            <v>40</v>
          </cell>
          <cell r="CT277">
            <v>3</v>
          </cell>
        </row>
        <row r="278">
          <cell r="B278">
            <v>23</v>
          </cell>
          <cell r="CS278">
            <v>40</v>
          </cell>
          <cell r="CT278">
            <v>3</v>
          </cell>
        </row>
        <row r="279">
          <cell r="B279">
            <v>24</v>
          </cell>
          <cell r="CS279">
            <v>40</v>
          </cell>
          <cell r="CT279">
            <v>3</v>
          </cell>
        </row>
        <row r="280">
          <cell r="B280">
            <v>25</v>
          </cell>
          <cell r="CS280">
            <v>40</v>
          </cell>
          <cell r="CT280">
            <v>3</v>
          </cell>
        </row>
        <row r="281">
          <cell r="B281">
            <v>26</v>
          </cell>
          <cell r="CS281">
            <v>40</v>
          </cell>
          <cell r="CT281">
            <v>3</v>
          </cell>
        </row>
        <row r="282">
          <cell r="B282">
            <v>27</v>
          </cell>
          <cell r="CS282">
            <v>40</v>
          </cell>
          <cell r="CT282">
            <v>3</v>
          </cell>
        </row>
        <row r="283">
          <cell r="B283">
            <v>28</v>
          </cell>
          <cell r="CS283">
            <v>40</v>
          </cell>
          <cell r="CT283">
            <v>3</v>
          </cell>
        </row>
        <row r="284">
          <cell r="B284">
            <v>29</v>
          </cell>
          <cell r="CS284">
            <v>40</v>
          </cell>
          <cell r="CT284">
            <v>3</v>
          </cell>
        </row>
        <row r="285">
          <cell r="B285">
            <v>30</v>
          </cell>
          <cell r="CS285">
            <v>40</v>
          </cell>
          <cell r="CT285">
            <v>3</v>
          </cell>
        </row>
        <row r="286">
          <cell r="B286">
            <v>31</v>
          </cell>
          <cell r="CS286">
            <v>40</v>
          </cell>
          <cell r="CT286">
            <v>3</v>
          </cell>
        </row>
        <row r="287">
          <cell r="B287" t="str">
            <v>OKT/1</v>
          </cell>
          <cell r="CS287">
            <v>40</v>
          </cell>
          <cell r="CT287">
            <v>3</v>
          </cell>
        </row>
        <row r="288">
          <cell r="B288">
            <v>2</v>
          </cell>
          <cell r="CS288">
            <v>40</v>
          </cell>
          <cell r="CT288">
            <v>3</v>
          </cell>
        </row>
        <row r="289">
          <cell r="B289">
            <v>3</v>
          </cell>
          <cell r="CS289">
            <v>40</v>
          </cell>
          <cell r="CT289">
            <v>3</v>
          </cell>
        </row>
        <row r="290">
          <cell r="B290">
            <v>4</v>
          </cell>
          <cell r="CS290">
            <v>40</v>
          </cell>
          <cell r="CT290">
            <v>3</v>
          </cell>
        </row>
        <row r="291">
          <cell r="B291">
            <v>5</v>
          </cell>
          <cell r="CS291">
            <v>40</v>
          </cell>
          <cell r="CT291">
            <v>3</v>
          </cell>
        </row>
        <row r="292">
          <cell r="B292">
            <v>6</v>
          </cell>
          <cell r="CS292">
            <v>40</v>
          </cell>
          <cell r="CT292">
            <v>3</v>
          </cell>
        </row>
        <row r="293">
          <cell r="B293">
            <v>7</v>
          </cell>
          <cell r="CS293">
            <v>40</v>
          </cell>
          <cell r="CT293">
            <v>3</v>
          </cell>
        </row>
        <row r="294">
          <cell r="B294">
            <v>8</v>
          </cell>
          <cell r="CS294">
            <v>40</v>
          </cell>
          <cell r="CT294">
            <v>3</v>
          </cell>
        </row>
        <row r="295">
          <cell r="B295">
            <v>9</v>
          </cell>
          <cell r="CS295">
            <v>40</v>
          </cell>
          <cell r="CT295">
            <v>3</v>
          </cell>
        </row>
        <row r="296">
          <cell r="B296">
            <v>10</v>
          </cell>
          <cell r="CS296">
            <v>40</v>
          </cell>
          <cell r="CT296">
            <v>3</v>
          </cell>
        </row>
        <row r="297">
          <cell r="B297">
            <v>11</v>
          </cell>
          <cell r="CS297">
            <v>40</v>
          </cell>
          <cell r="CT297">
            <v>3</v>
          </cell>
        </row>
        <row r="298">
          <cell r="B298">
            <v>12</v>
          </cell>
          <cell r="CS298">
            <v>40</v>
          </cell>
          <cell r="CT298">
            <v>3</v>
          </cell>
        </row>
        <row r="299">
          <cell r="B299">
            <v>13</v>
          </cell>
          <cell r="CS299">
            <v>40</v>
          </cell>
          <cell r="CT299">
            <v>3</v>
          </cell>
        </row>
        <row r="300">
          <cell r="B300">
            <v>14</v>
          </cell>
          <cell r="CS300">
            <v>40</v>
          </cell>
          <cell r="CT300">
            <v>3</v>
          </cell>
        </row>
        <row r="301">
          <cell r="B301">
            <v>15</v>
          </cell>
          <cell r="CS301">
            <v>40</v>
          </cell>
          <cell r="CT301">
            <v>3</v>
          </cell>
        </row>
        <row r="302">
          <cell r="B302">
            <v>16</v>
          </cell>
          <cell r="CS302">
            <v>40</v>
          </cell>
          <cell r="CT302">
            <v>3</v>
          </cell>
        </row>
        <row r="303">
          <cell r="B303">
            <v>17</v>
          </cell>
          <cell r="CS303">
            <v>40</v>
          </cell>
          <cell r="CT303">
            <v>3</v>
          </cell>
        </row>
        <row r="304">
          <cell r="B304">
            <v>18</v>
          </cell>
          <cell r="CS304">
            <v>40</v>
          </cell>
          <cell r="CT304">
            <v>3</v>
          </cell>
        </row>
        <row r="305">
          <cell r="B305">
            <v>19</v>
          </cell>
          <cell r="CS305">
            <v>40</v>
          </cell>
          <cell r="CT305">
            <v>3</v>
          </cell>
        </row>
        <row r="306">
          <cell r="B306">
            <v>20</v>
          </cell>
          <cell r="CS306">
            <v>40</v>
          </cell>
          <cell r="CT306">
            <v>3</v>
          </cell>
        </row>
        <row r="307">
          <cell r="B307">
            <v>21</v>
          </cell>
          <cell r="CS307">
            <v>40</v>
          </cell>
          <cell r="CT307">
            <v>3</v>
          </cell>
        </row>
        <row r="308">
          <cell r="B308">
            <v>22</v>
          </cell>
          <cell r="CS308">
            <v>40</v>
          </cell>
          <cell r="CT308">
            <v>3</v>
          </cell>
        </row>
        <row r="309">
          <cell r="B309">
            <v>23</v>
          </cell>
          <cell r="CS309">
            <v>40</v>
          </cell>
          <cell r="CT309">
            <v>3</v>
          </cell>
        </row>
        <row r="310">
          <cell r="B310">
            <v>24</v>
          </cell>
          <cell r="CS310">
            <v>40</v>
          </cell>
          <cell r="CT310">
            <v>3</v>
          </cell>
        </row>
        <row r="311">
          <cell r="B311">
            <v>25</v>
          </cell>
          <cell r="CS311">
            <v>40</v>
          </cell>
          <cell r="CT311">
            <v>3</v>
          </cell>
        </row>
        <row r="312">
          <cell r="B312">
            <v>26</v>
          </cell>
          <cell r="CS312">
            <v>40</v>
          </cell>
          <cell r="CT312">
            <v>3</v>
          </cell>
        </row>
        <row r="313">
          <cell r="B313">
            <v>27</v>
          </cell>
          <cell r="CS313">
            <v>40</v>
          </cell>
          <cell r="CT313">
            <v>3</v>
          </cell>
        </row>
        <row r="314">
          <cell r="B314">
            <v>28</v>
          </cell>
          <cell r="CS314">
            <v>40</v>
          </cell>
          <cell r="CT314">
            <v>3</v>
          </cell>
        </row>
        <row r="315">
          <cell r="B315">
            <v>29</v>
          </cell>
          <cell r="CS315">
            <v>40</v>
          </cell>
          <cell r="CT315">
            <v>3</v>
          </cell>
        </row>
        <row r="316">
          <cell r="B316">
            <v>30</v>
          </cell>
          <cell r="CS316">
            <v>40</v>
          </cell>
          <cell r="CT316">
            <v>3</v>
          </cell>
        </row>
        <row r="317">
          <cell r="B317">
            <v>31</v>
          </cell>
          <cell r="CS317">
            <v>40</v>
          </cell>
          <cell r="CT317">
            <v>3</v>
          </cell>
        </row>
        <row r="318">
          <cell r="B318" t="str">
            <v>NOP/1</v>
          </cell>
          <cell r="CS318">
            <v>40</v>
          </cell>
          <cell r="CT318">
            <v>3</v>
          </cell>
        </row>
        <row r="319">
          <cell r="B319">
            <v>2</v>
          </cell>
          <cell r="CS319">
            <v>40</v>
          </cell>
          <cell r="CT319">
            <v>3</v>
          </cell>
        </row>
        <row r="320">
          <cell r="B320">
            <v>3</v>
          </cell>
          <cell r="CS320">
            <v>40</v>
          </cell>
          <cell r="CT320">
            <v>3</v>
          </cell>
        </row>
        <row r="321">
          <cell r="B321">
            <v>4</v>
          </cell>
          <cell r="CS321">
            <v>40</v>
          </cell>
          <cell r="CT321">
            <v>3</v>
          </cell>
        </row>
        <row r="322">
          <cell r="B322">
            <v>5</v>
          </cell>
          <cell r="CS322">
            <v>40</v>
          </cell>
          <cell r="CT322">
            <v>3</v>
          </cell>
        </row>
        <row r="323">
          <cell r="B323">
            <v>6</v>
          </cell>
          <cell r="CS323">
            <v>40</v>
          </cell>
          <cell r="CT323">
            <v>3</v>
          </cell>
        </row>
        <row r="324">
          <cell r="B324">
            <v>7</v>
          </cell>
          <cell r="CS324">
            <v>40</v>
          </cell>
          <cell r="CT324">
            <v>3</v>
          </cell>
        </row>
        <row r="325">
          <cell r="B325">
            <v>8</v>
          </cell>
          <cell r="CS325">
            <v>40</v>
          </cell>
          <cell r="CT325">
            <v>3</v>
          </cell>
        </row>
        <row r="326">
          <cell r="B326">
            <v>9</v>
          </cell>
          <cell r="CS326">
            <v>40</v>
          </cell>
          <cell r="CT326">
            <v>3</v>
          </cell>
        </row>
        <row r="327">
          <cell r="B327">
            <v>10</v>
          </cell>
          <cell r="CS327">
            <v>40</v>
          </cell>
          <cell r="CT327">
            <v>3</v>
          </cell>
        </row>
        <row r="328">
          <cell r="B328">
            <v>11</v>
          </cell>
          <cell r="CS328">
            <v>40</v>
          </cell>
          <cell r="CT328">
            <v>3</v>
          </cell>
        </row>
        <row r="329">
          <cell r="B329">
            <v>12</v>
          </cell>
          <cell r="CS329">
            <v>40</v>
          </cell>
          <cell r="CT329">
            <v>3</v>
          </cell>
        </row>
        <row r="330">
          <cell r="B330">
            <v>13</v>
          </cell>
          <cell r="CS330">
            <v>40</v>
          </cell>
          <cell r="CT330">
            <v>3</v>
          </cell>
        </row>
        <row r="331">
          <cell r="B331">
            <v>14</v>
          </cell>
          <cell r="CS331">
            <v>40</v>
          </cell>
          <cell r="CT331">
            <v>3</v>
          </cell>
        </row>
        <row r="332">
          <cell r="B332">
            <v>15</v>
          </cell>
          <cell r="CS332">
            <v>40</v>
          </cell>
          <cell r="CT332">
            <v>3</v>
          </cell>
        </row>
        <row r="333">
          <cell r="B333">
            <v>16</v>
          </cell>
          <cell r="CS333">
            <v>40</v>
          </cell>
          <cell r="CT333">
            <v>3</v>
          </cell>
        </row>
        <row r="334">
          <cell r="B334">
            <v>17</v>
          </cell>
          <cell r="CS334">
            <v>40</v>
          </cell>
          <cell r="CT334">
            <v>3</v>
          </cell>
        </row>
        <row r="335">
          <cell r="B335">
            <v>18</v>
          </cell>
          <cell r="CS335">
            <v>40</v>
          </cell>
          <cell r="CT335">
            <v>3</v>
          </cell>
        </row>
        <row r="336">
          <cell r="B336">
            <v>19</v>
          </cell>
          <cell r="CS336">
            <v>40</v>
          </cell>
          <cell r="CT336">
            <v>3</v>
          </cell>
        </row>
        <row r="337">
          <cell r="B337">
            <v>20</v>
          </cell>
          <cell r="CS337">
            <v>40</v>
          </cell>
          <cell r="CT337">
            <v>3</v>
          </cell>
        </row>
        <row r="338">
          <cell r="B338">
            <v>21</v>
          </cell>
          <cell r="CS338">
            <v>40</v>
          </cell>
          <cell r="CT338">
            <v>3</v>
          </cell>
        </row>
        <row r="339">
          <cell r="B339">
            <v>22</v>
          </cell>
          <cell r="CS339">
            <v>40</v>
          </cell>
          <cell r="CT339">
            <v>3</v>
          </cell>
        </row>
        <row r="340">
          <cell r="B340">
            <v>23</v>
          </cell>
          <cell r="CS340">
            <v>40</v>
          </cell>
          <cell r="CT340">
            <v>3</v>
          </cell>
        </row>
        <row r="341">
          <cell r="B341">
            <v>24</v>
          </cell>
          <cell r="CS341">
            <v>40</v>
          </cell>
          <cell r="CT341">
            <v>3</v>
          </cell>
        </row>
        <row r="342">
          <cell r="B342">
            <v>25</v>
          </cell>
          <cell r="CS342">
            <v>40</v>
          </cell>
          <cell r="CT342">
            <v>3</v>
          </cell>
        </row>
        <row r="343">
          <cell r="B343">
            <v>26</v>
          </cell>
          <cell r="CS343">
            <v>40</v>
          </cell>
          <cell r="CT343">
            <v>3</v>
          </cell>
        </row>
        <row r="344">
          <cell r="B344">
            <v>27</v>
          </cell>
          <cell r="CS344">
            <v>40</v>
          </cell>
          <cell r="CT344">
            <v>3</v>
          </cell>
        </row>
        <row r="345">
          <cell r="B345">
            <v>28</v>
          </cell>
          <cell r="CS345">
            <v>40</v>
          </cell>
          <cell r="CT345">
            <v>3</v>
          </cell>
        </row>
        <row r="346">
          <cell r="B346">
            <v>29</v>
          </cell>
          <cell r="CS346">
            <v>40</v>
          </cell>
          <cell r="CT346">
            <v>3</v>
          </cell>
        </row>
        <row r="347">
          <cell r="B347">
            <v>30</v>
          </cell>
          <cell r="CS347">
            <v>40</v>
          </cell>
          <cell r="CT347">
            <v>3</v>
          </cell>
        </row>
        <row r="348">
          <cell r="B348">
            <v>31</v>
          </cell>
          <cell r="CS348">
            <v>40</v>
          </cell>
          <cell r="CT348">
            <v>3</v>
          </cell>
        </row>
        <row r="349">
          <cell r="B349" t="str">
            <v>DES/1</v>
          </cell>
          <cell r="CS349">
            <v>40</v>
          </cell>
          <cell r="CT349">
            <v>3</v>
          </cell>
        </row>
        <row r="350">
          <cell r="B350">
            <v>2</v>
          </cell>
          <cell r="CS350">
            <v>40</v>
          </cell>
          <cell r="CT350">
            <v>3</v>
          </cell>
        </row>
        <row r="351">
          <cell r="B351">
            <v>3</v>
          </cell>
          <cell r="CS351">
            <v>40</v>
          </cell>
          <cell r="CT351">
            <v>3</v>
          </cell>
        </row>
        <row r="352">
          <cell r="B352">
            <v>4</v>
          </cell>
          <cell r="CS352">
            <v>40</v>
          </cell>
          <cell r="CT352">
            <v>3</v>
          </cell>
        </row>
        <row r="353">
          <cell r="B353">
            <v>5</v>
          </cell>
          <cell r="CS353">
            <v>40</v>
          </cell>
          <cell r="CT353">
            <v>3</v>
          </cell>
        </row>
        <row r="354">
          <cell r="B354">
            <v>6</v>
          </cell>
          <cell r="CS354">
            <v>40</v>
          </cell>
          <cell r="CT354">
            <v>3</v>
          </cell>
        </row>
        <row r="355">
          <cell r="B355">
            <v>7</v>
          </cell>
          <cell r="CS355">
            <v>40</v>
          </cell>
          <cell r="CT355">
            <v>3</v>
          </cell>
        </row>
        <row r="356">
          <cell r="B356">
            <v>8</v>
          </cell>
          <cell r="CS356">
            <v>40</v>
          </cell>
          <cell r="CT356">
            <v>3</v>
          </cell>
        </row>
        <row r="357">
          <cell r="B357">
            <v>9</v>
          </cell>
          <cell r="CS357">
            <v>40</v>
          </cell>
          <cell r="CT357">
            <v>3</v>
          </cell>
        </row>
        <row r="358">
          <cell r="B358">
            <v>10</v>
          </cell>
          <cell r="CS358">
            <v>40</v>
          </cell>
          <cell r="CT358">
            <v>3</v>
          </cell>
        </row>
        <row r="359">
          <cell r="B359">
            <v>11</v>
          </cell>
          <cell r="CS359">
            <v>40</v>
          </cell>
          <cell r="CT359">
            <v>3</v>
          </cell>
        </row>
        <row r="360">
          <cell r="B360">
            <v>12</v>
          </cell>
          <cell r="CS360">
            <v>40</v>
          </cell>
          <cell r="CT360">
            <v>3</v>
          </cell>
        </row>
        <row r="361">
          <cell r="B361">
            <v>13</v>
          </cell>
          <cell r="CS361">
            <v>40</v>
          </cell>
          <cell r="CT361">
            <v>3</v>
          </cell>
        </row>
        <row r="362">
          <cell r="B362">
            <v>14</v>
          </cell>
          <cell r="CS362">
            <v>40</v>
          </cell>
          <cell r="CT362">
            <v>3</v>
          </cell>
        </row>
        <row r="363">
          <cell r="B363">
            <v>15</v>
          </cell>
          <cell r="CS363">
            <v>40</v>
          </cell>
          <cell r="CT363">
            <v>3</v>
          </cell>
        </row>
        <row r="364">
          <cell r="B364">
            <v>16</v>
          </cell>
          <cell r="CS364">
            <v>40</v>
          </cell>
          <cell r="CT364">
            <v>3</v>
          </cell>
        </row>
        <row r="365">
          <cell r="B365">
            <v>17</v>
          </cell>
          <cell r="CS365">
            <v>40</v>
          </cell>
          <cell r="CT365">
            <v>3</v>
          </cell>
        </row>
        <row r="366">
          <cell r="B366">
            <v>18</v>
          </cell>
          <cell r="CS366">
            <v>40</v>
          </cell>
          <cell r="CT366">
            <v>3</v>
          </cell>
        </row>
        <row r="367">
          <cell r="B367">
            <v>19</v>
          </cell>
          <cell r="CS367">
            <v>40</v>
          </cell>
          <cell r="CT367">
            <v>3</v>
          </cell>
        </row>
        <row r="368">
          <cell r="B368">
            <v>20</v>
          </cell>
          <cell r="CS368">
            <v>40</v>
          </cell>
          <cell r="CT368">
            <v>3</v>
          </cell>
        </row>
        <row r="369">
          <cell r="B369">
            <v>21</v>
          </cell>
          <cell r="CS369">
            <v>40</v>
          </cell>
          <cell r="CT369">
            <v>3</v>
          </cell>
        </row>
        <row r="370">
          <cell r="B370">
            <v>22</v>
          </cell>
          <cell r="CS370">
            <v>40</v>
          </cell>
          <cell r="CT370">
            <v>3</v>
          </cell>
        </row>
        <row r="371">
          <cell r="B371">
            <v>23</v>
          </cell>
          <cell r="CS371">
            <v>40</v>
          </cell>
          <cell r="CT371">
            <v>3</v>
          </cell>
        </row>
        <row r="372">
          <cell r="B372">
            <v>24</v>
          </cell>
          <cell r="CS372">
            <v>40</v>
          </cell>
          <cell r="CT372">
            <v>3</v>
          </cell>
        </row>
        <row r="373">
          <cell r="B373">
            <v>25</v>
          </cell>
          <cell r="CS373">
            <v>40</v>
          </cell>
          <cell r="CT373">
            <v>3</v>
          </cell>
        </row>
        <row r="374">
          <cell r="B374">
            <v>26</v>
          </cell>
          <cell r="CS374">
            <v>40</v>
          </cell>
          <cell r="CT374">
            <v>3</v>
          </cell>
        </row>
        <row r="375">
          <cell r="B375">
            <v>27</v>
          </cell>
          <cell r="CS375">
            <v>40</v>
          </cell>
          <cell r="CT375">
            <v>3</v>
          </cell>
        </row>
        <row r="376">
          <cell r="B376">
            <v>28</v>
          </cell>
          <cell r="CS376">
            <v>40</v>
          </cell>
          <cell r="CT376">
            <v>3</v>
          </cell>
        </row>
        <row r="377">
          <cell r="B377">
            <v>29</v>
          </cell>
          <cell r="CS377">
            <v>40</v>
          </cell>
          <cell r="CT377">
            <v>3</v>
          </cell>
        </row>
        <row r="378">
          <cell r="B378">
            <v>30</v>
          </cell>
          <cell r="CS378">
            <v>40</v>
          </cell>
          <cell r="CT378">
            <v>3</v>
          </cell>
        </row>
        <row r="379">
          <cell r="B379">
            <v>31</v>
          </cell>
          <cell r="CS379">
            <v>40</v>
          </cell>
          <cell r="CT379">
            <v>3</v>
          </cell>
        </row>
      </sheetData>
      <sheetData sheetId="4"/>
      <sheetData sheetId="5"/>
      <sheetData sheetId="6"/>
      <sheetData sheetId="7"/>
      <sheetData sheetId="8" refreshError="1">
        <row r="30">
          <cell r="B30">
            <v>94.814106416828707</v>
          </cell>
          <cell r="C30">
            <v>132.74279541299651</v>
          </cell>
          <cell r="D30">
            <v>157.68754663350506</v>
          </cell>
          <cell r="E30">
            <v>158.05173685068246</v>
          </cell>
          <cell r="F30">
            <v>138.20102836386553</v>
          </cell>
          <cell r="G30">
            <v>143.81331950594122</v>
          </cell>
          <cell r="H30">
            <v>175.69473175559031</v>
          </cell>
          <cell r="I30">
            <v>178.50460309773149</v>
          </cell>
          <cell r="J30">
            <v>201.01544355924358</v>
          </cell>
          <cell r="K30">
            <v>178.6221068559023</v>
          </cell>
          <cell r="L30">
            <v>183.72402652422659</v>
          </cell>
          <cell r="M30">
            <v>100.73224233989743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Bagan"/>
      <sheetName val="KPI"/>
      <sheetName val="PCR"/>
      <sheetName val="OLAH VS OT"/>
      <sheetName val="OLAH VS OT (2)"/>
      <sheetName val="graflbr-gp"/>
      <sheetName val="PABRIK"/>
      <sheetName val="GRAF TBS VS COST"/>
      <sheetName val="LAY"/>
      <sheetName val="PL Des"/>
      <sheetName val="PL Nov"/>
      <sheetName val="PL Okt"/>
      <sheetName val="K.Mesin"/>
      <sheetName val="PICA"/>
      <sheetName val="SOLAR"/>
      <sheetName val="AN PK"/>
      <sheetName val="LD Okt"/>
      <sheetName val="LD Nov"/>
      <sheetName val="LD Des"/>
      <sheetName val="LA03"/>
      <sheetName val="GRAF SM"/>
      <sheetName val="PK"/>
      <sheetName val="PO"/>
      <sheetName val="Through"/>
      <sheetName val="Rend~CPO"/>
      <sheetName val="CH Vs Er"/>
      <sheetName val="Qlt CPO"/>
      <sheetName val="Rend~Kernel"/>
      <sheetName val="Qlt KRN"/>
      <sheetName val="FFA"/>
      <sheetName val="Br Dn"/>
      <sheetName val="ER Vs FFA"/>
      <sheetName val="Qlt Vs ER"/>
      <sheetName val="CPO Loss"/>
      <sheetName val="Proses Ctr"/>
      <sheetName val="Krn Loss"/>
      <sheetName val="BD"/>
      <sheetName val="Data"/>
      <sheetName val="NAMA"/>
      <sheetName val="MPP"/>
      <sheetName val="REKAP ST M"/>
      <sheetName val="PETA"/>
      <sheetName val="SRL1"/>
      <sheetName val="SRL2"/>
      <sheetName val="AREA"/>
      <sheetName val="PABRIK (2)"/>
      <sheetName val="Pab SRL 1"/>
      <sheetName val="PABRIK _2_"/>
      <sheetName val="Olah"/>
      <sheetName val="% Lbr vs G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59">
          <cell r="B59">
            <v>14.04</v>
          </cell>
          <cell r="C59">
            <v>22.54</v>
          </cell>
          <cell r="D59">
            <v>22.31</v>
          </cell>
          <cell r="E59">
            <v>30.66</v>
          </cell>
          <cell r="F59">
            <v>30.57</v>
          </cell>
          <cell r="G59">
            <v>21.31</v>
          </cell>
          <cell r="H59">
            <v>29.59</v>
          </cell>
          <cell r="I59">
            <v>23.58</v>
          </cell>
          <cell r="J59">
            <v>22.11</v>
          </cell>
          <cell r="K59">
            <v>23.04</v>
          </cell>
          <cell r="L59">
            <v>27.68</v>
          </cell>
          <cell r="M59">
            <v>46.77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9">
          <cell r="A9" t="str">
            <v xml:space="preserve">Jan/01 </v>
          </cell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Q9">
            <v>0</v>
          </cell>
          <cell r="R9">
            <v>0</v>
          </cell>
          <cell r="T9">
            <v>0</v>
          </cell>
          <cell r="U9">
            <v>0</v>
          </cell>
          <cell r="W9">
            <v>0</v>
          </cell>
          <cell r="X9">
            <v>0</v>
          </cell>
          <cell r="AC9">
            <v>0</v>
          </cell>
          <cell r="AD9">
            <v>0</v>
          </cell>
          <cell r="AF9">
            <v>5</v>
          </cell>
        </row>
        <row r="10">
          <cell r="A10">
            <v>2</v>
          </cell>
          <cell r="B10">
            <v>2</v>
          </cell>
          <cell r="C10">
            <v>11</v>
          </cell>
          <cell r="E10">
            <v>6.75</v>
          </cell>
          <cell r="F10">
            <v>6.75</v>
          </cell>
          <cell r="H10">
            <v>5.166666666666667</v>
          </cell>
          <cell r="I10">
            <v>8.1666666666666661</v>
          </cell>
          <cell r="K10">
            <v>2.8636363636363638</v>
          </cell>
          <cell r="L10">
            <v>5.5454545454545459</v>
          </cell>
          <cell r="N10">
            <v>4.3333333333333339</v>
          </cell>
          <cell r="O10">
            <v>6.0555555555555554</v>
          </cell>
          <cell r="Q10">
            <v>3.5249999999999995</v>
          </cell>
          <cell r="R10">
            <v>5.7750000000000004</v>
          </cell>
          <cell r="T10">
            <v>15.448275862068966</v>
          </cell>
          <cell r="U10">
            <v>10.448275862068966</v>
          </cell>
          <cell r="W10">
            <v>16.434782608695652</v>
          </cell>
          <cell r="X10">
            <v>10.652173913043478</v>
          </cell>
          <cell r="AC10">
            <v>10.183673469387756</v>
          </cell>
          <cell r="AD10">
            <v>8.4489795918367339</v>
          </cell>
          <cell r="AF10">
            <v>5</v>
          </cell>
        </row>
        <row r="11">
          <cell r="A11">
            <v>3</v>
          </cell>
          <cell r="B11">
            <v>3.8</v>
          </cell>
          <cell r="C11">
            <v>5.2</v>
          </cell>
          <cell r="E11">
            <v>7.0000000000000009</v>
          </cell>
          <cell r="F11">
            <v>7.7142857142857135</v>
          </cell>
          <cell r="H11">
            <v>5.6666666666666661</v>
          </cell>
          <cell r="I11">
            <v>6.666666666666667</v>
          </cell>
          <cell r="K11">
            <v>2.8888888888888888</v>
          </cell>
          <cell r="L11">
            <v>4.9259259259259256</v>
          </cell>
          <cell r="N11">
            <v>4.1500000000000004</v>
          </cell>
          <cell r="O11">
            <v>6.6000000000000005</v>
          </cell>
          <cell r="Q11">
            <v>3.4255319148936167</v>
          </cell>
          <cell r="R11">
            <v>5.6382978723404253</v>
          </cell>
          <cell r="T11">
            <v>11.450000000000001</v>
          </cell>
          <cell r="U11">
            <v>12.65</v>
          </cell>
          <cell r="W11">
            <v>11.450000000000001</v>
          </cell>
          <cell r="X11">
            <v>12.65</v>
          </cell>
          <cell r="AC11">
            <v>6.9393939393939394</v>
          </cell>
          <cell r="AD11">
            <v>8.5959595959595951</v>
          </cell>
          <cell r="AF11">
            <v>5</v>
          </cell>
        </row>
        <row r="12">
          <cell r="A12">
            <v>4</v>
          </cell>
          <cell r="B12">
            <v>3.5000000000000004</v>
          </cell>
          <cell r="C12">
            <v>6.75</v>
          </cell>
          <cell r="E12">
            <v>4.4285714285714279</v>
          </cell>
          <cell r="F12">
            <v>6.4285714285714279</v>
          </cell>
          <cell r="H12">
            <v>4.0909090909090908</v>
          </cell>
          <cell r="I12">
            <v>6.5454545454545459</v>
          </cell>
          <cell r="K12">
            <v>4.125</v>
          </cell>
          <cell r="L12">
            <v>5.0625</v>
          </cell>
          <cell r="N12">
            <v>5.695652173913043</v>
          </cell>
          <cell r="O12">
            <v>4.4782608695652177</v>
          </cell>
          <cell r="Q12">
            <v>4.7818181818181813</v>
          </cell>
          <cell r="R12">
            <v>4.8181818181818183</v>
          </cell>
          <cell r="T12">
            <v>12.333333333333334</v>
          </cell>
          <cell r="U12">
            <v>14.444444444444443</v>
          </cell>
          <cell r="W12">
            <v>12.333333333333334</v>
          </cell>
          <cell r="X12">
            <v>14.444444444444443</v>
          </cell>
          <cell r="AC12">
            <v>7.3725490196078436</v>
          </cell>
          <cell r="AD12">
            <v>8.4019607843137258</v>
          </cell>
          <cell r="AF12">
            <v>5</v>
          </cell>
        </row>
        <row r="13">
          <cell r="A13">
            <v>5</v>
          </cell>
          <cell r="B13">
            <v>0</v>
          </cell>
          <cell r="C13">
            <v>0</v>
          </cell>
          <cell r="E13">
            <v>0</v>
          </cell>
          <cell r="F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  <cell r="W13">
            <v>0</v>
          </cell>
          <cell r="X13">
            <v>0</v>
          </cell>
          <cell r="AC13">
            <v>0</v>
          </cell>
          <cell r="AD13">
            <v>0</v>
          </cell>
          <cell r="AF13">
            <v>5</v>
          </cell>
        </row>
        <row r="14">
          <cell r="A14">
            <v>6</v>
          </cell>
          <cell r="B14">
            <v>4.5</v>
          </cell>
          <cell r="C14">
            <v>8.5</v>
          </cell>
          <cell r="E14">
            <v>7.0000000000000009</v>
          </cell>
          <cell r="F14">
            <v>6</v>
          </cell>
          <cell r="H14">
            <v>6.375</v>
          </cell>
          <cell r="I14">
            <v>6.625</v>
          </cell>
          <cell r="K14">
            <v>4.8620689655172411</v>
          </cell>
          <cell r="L14">
            <v>4.068965517241379</v>
          </cell>
          <cell r="N14">
            <v>3.8148148148148144</v>
          </cell>
          <cell r="O14">
            <v>6.7777777777777786</v>
          </cell>
          <cell r="Q14">
            <v>4.3571428571428577</v>
          </cell>
          <cell r="R14">
            <v>5.375</v>
          </cell>
          <cell r="T14">
            <v>14.212121212121213</v>
          </cell>
          <cell r="U14">
            <v>13.030303030303031</v>
          </cell>
          <cell r="W14">
            <v>0</v>
          </cell>
          <cell r="X14">
            <v>0</v>
          </cell>
          <cell r="AC14">
            <v>7.8762886597938149</v>
          </cell>
          <cell r="AD14">
            <v>8.0824742268041234</v>
          </cell>
          <cell r="AF14">
            <v>5</v>
          </cell>
        </row>
        <row r="15">
          <cell r="A15">
            <v>7</v>
          </cell>
          <cell r="B15">
            <v>0</v>
          </cell>
          <cell r="C15">
            <v>9</v>
          </cell>
          <cell r="E15">
            <v>7.875</v>
          </cell>
          <cell r="F15">
            <v>7.1249999999999991</v>
          </cell>
          <cell r="H15">
            <v>5.7272727272727275</v>
          </cell>
          <cell r="I15">
            <v>7.6363636363636367</v>
          </cell>
          <cell r="K15">
            <v>5.375</v>
          </cell>
          <cell r="L15">
            <v>3.65625</v>
          </cell>
          <cell r="N15">
            <v>6.1</v>
          </cell>
          <cell r="O15">
            <v>4.7333333333333334</v>
          </cell>
          <cell r="Q15">
            <v>5.725806451612903</v>
          </cell>
          <cell r="R15">
            <v>4.1774193548387091</v>
          </cell>
          <cell r="T15">
            <v>9.1428571428571423</v>
          </cell>
          <cell r="U15">
            <v>11.892857142857142</v>
          </cell>
          <cell r="W15">
            <v>0</v>
          </cell>
          <cell r="X15">
            <v>0</v>
          </cell>
          <cell r="AC15">
            <v>6.6732673267326739</v>
          </cell>
          <cell r="AD15">
            <v>6.6930693069306937</v>
          </cell>
          <cell r="AF15">
            <v>5</v>
          </cell>
        </row>
        <row r="16">
          <cell r="A16">
            <v>8</v>
          </cell>
          <cell r="B16">
            <v>0.66666666666666674</v>
          </cell>
          <cell r="C16">
            <v>9.3333333333333339</v>
          </cell>
          <cell r="E16">
            <v>7.625</v>
          </cell>
          <cell r="F16">
            <v>4.5</v>
          </cell>
          <cell r="H16">
            <v>5.7272727272727275</v>
          </cell>
          <cell r="I16">
            <v>5.8181818181818183</v>
          </cell>
          <cell r="K16">
            <v>5.5</v>
          </cell>
          <cell r="L16">
            <v>3.9444444444444442</v>
          </cell>
          <cell r="N16">
            <v>4.3999999999999995</v>
          </cell>
          <cell r="O16">
            <v>5.04</v>
          </cell>
          <cell r="Q16">
            <v>5.0491803278688527</v>
          </cell>
          <cell r="R16">
            <v>4.3934426229508192</v>
          </cell>
          <cell r="T16">
            <v>10.970588235294118</v>
          </cell>
          <cell r="U16">
            <v>10.441176470588236</v>
          </cell>
          <cell r="W16">
            <v>0</v>
          </cell>
          <cell r="X16">
            <v>0</v>
          </cell>
          <cell r="AC16">
            <v>7.0188679245283021</v>
          </cell>
          <cell r="AD16">
            <v>6.4811320754716979</v>
          </cell>
          <cell r="AF16">
            <v>5</v>
          </cell>
        </row>
        <row r="17">
          <cell r="A17">
            <v>9</v>
          </cell>
          <cell r="B17">
            <v>2.6</v>
          </cell>
          <cell r="C17">
            <v>9.1999999999999993</v>
          </cell>
          <cell r="E17">
            <v>7.6363636363636367</v>
          </cell>
          <cell r="F17">
            <v>6.0909090909090908</v>
          </cell>
          <cell r="H17">
            <v>6.0625</v>
          </cell>
          <cell r="I17">
            <v>7.0624999999999991</v>
          </cell>
          <cell r="K17">
            <v>2.71875</v>
          </cell>
          <cell r="L17">
            <v>4.1875</v>
          </cell>
          <cell r="N17">
            <v>4.6428571428571432</v>
          </cell>
          <cell r="O17">
            <v>5.4642857142857144</v>
          </cell>
          <cell r="Q17">
            <v>3.6166666666666667</v>
          </cell>
          <cell r="R17">
            <v>4.7833333333333332</v>
          </cell>
          <cell r="T17">
            <v>9.28125</v>
          </cell>
          <cell r="U17">
            <v>9.78125</v>
          </cell>
          <cell r="W17">
            <v>9.28125</v>
          </cell>
          <cell r="X17">
            <v>9.78125</v>
          </cell>
          <cell r="AC17">
            <v>6.4857142857142867</v>
          </cell>
          <cell r="AD17">
            <v>7.3285714285714292</v>
          </cell>
          <cell r="AF17">
            <v>5</v>
          </cell>
        </row>
        <row r="18">
          <cell r="A18">
            <v>10</v>
          </cell>
          <cell r="B18">
            <v>3</v>
          </cell>
          <cell r="C18">
            <v>5</v>
          </cell>
          <cell r="E18">
            <v>6</v>
          </cell>
          <cell r="F18">
            <v>7.0000000000000009</v>
          </cell>
          <cell r="H18">
            <v>5.4</v>
          </cell>
          <cell r="I18">
            <v>6.6000000000000005</v>
          </cell>
          <cell r="K18">
            <v>2.2903225806451615</v>
          </cell>
          <cell r="L18">
            <v>4.67741935483871</v>
          </cell>
          <cell r="N18">
            <v>4.0588235294117645</v>
          </cell>
          <cell r="O18">
            <v>6.2941176470588234</v>
          </cell>
          <cell r="Q18">
            <v>2.9166666666666665</v>
          </cell>
          <cell r="R18">
            <v>5.25</v>
          </cell>
          <cell r="T18">
            <v>9.1066224787155026</v>
          </cell>
          <cell r="U18">
            <v>12.463573510085139</v>
          </cell>
          <cell r="W18">
            <v>9.1066224787155026</v>
          </cell>
          <cell r="X18">
            <v>12.463573510085139</v>
          </cell>
          <cell r="AC18">
            <v>6.1752652557121213</v>
          </cell>
          <cell r="AD18">
            <v>8.9120305394936281</v>
          </cell>
          <cell r="AF18">
            <v>5</v>
          </cell>
        </row>
        <row r="19">
          <cell r="A19">
            <v>11</v>
          </cell>
          <cell r="B19">
            <v>1</v>
          </cell>
          <cell r="C19">
            <v>14.499999999999998</v>
          </cell>
          <cell r="E19">
            <v>6.25</v>
          </cell>
          <cell r="F19">
            <v>6</v>
          </cell>
          <cell r="H19">
            <v>5.2</v>
          </cell>
          <cell r="I19">
            <v>7.7</v>
          </cell>
          <cell r="K19">
            <v>3.0625</v>
          </cell>
          <cell r="L19">
            <v>5.4375</v>
          </cell>
          <cell r="N19">
            <v>2.2941176470588234</v>
          </cell>
          <cell r="O19">
            <v>5.6470588235294121</v>
          </cell>
          <cell r="Q19">
            <v>2.7959183673469385</v>
          </cell>
          <cell r="R19">
            <v>5.5102040816326534</v>
          </cell>
          <cell r="T19">
            <v>8.8648648648648649</v>
          </cell>
          <cell r="U19">
            <v>12.432432432432433</v>
          </cell>
          <cell r="W19">
            <v>8.8648648648648649</v>
          </cell>
          <cell r="X19">
            <v>12.432432432432433</v>
          </cell>
          <cell r="AC19">
            <v>6.3533834586466167</v>
          </cell>
          <cell r="AD19">
            <v>9.526315789473685</v>
          </cell>
          <cell r="AF19">
            <v>5</v>
          </cell>
        </row>
        <row r="20">
          <cell r="A20">
            <v>12</v>
          </cell>
          <cell r="B20">
            <v>4.5</v>
          </cell>
          <cell r="C20">
            <v>14.000000000000002</v>
          </cell>
          <cell r="E20">
            <v>5.2857142857142856</v>
          </cell>
          <cell r="F20">
            <v>4.2857142857142856</v>
          </cell>
          <cell r="H20">
            <v>5.1111111111111116</v>
          </cell>
          <cell r="I20">
            <v>6.4444444444444446</v>
          </cell>
          <cell r="K20">
            <v>4.7142857142857144</v>
          </cell>
          <cell r="L20">
            <v>5.1904761904761907</v>
          </cell>
          <cell r="N20">
            <v>4.3181818181818183</v>
          </cell>
          <cell r="O20">
            <v>4.1363636363636367</v>
          </cell>
          <cell r="Q20">
            <v>4.578125</v>
          </cell>
          <cell r="R20">
            <v>4.828125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AC20">
            <v>4.6438356164383565</v>
          </cell>
          <cell r="AD20">
            <v>5.0273972602739727</v>
          </cell>
          <cell r="AF20">
            <v>5</v>
          </cell>
        </row>
        <row r="21">
          <cell r="A21">
            <v>13</v>
          </cell>
          <cell r="B21">
            <v>0</v>
          </cell>
          <cell r="C21">
            <v>0</v>
          </cell>
          <cell r="E21">
            <v>0</v>
          </cell>
          <cell r="F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19.040000000000003</v>
          </cell>
          <cell r="U21">
            <v>9.8000000000000007</v>
          </cell>
          <cell r="W21">
            <v>19.040000000000003</v>
          </cell>
          <cell r="X21">
            <v>9.8000000000000007</v>
          </cell>
          <cell r="AC21">
            <v>19.040000000000003</v>
          </cell>
          <cell r="AD21">
            <v>9.8000000000000007</v>
          </cell>
          <cell r="AF21">
            <v>5</v>
          </cell>
        </row>
        <row r="22">
          <cell r="A22">
            <v>14</v>
          </cell>
          <cell r="B22">
            <v>5.4</v>
          </cell>
          <cell r="C22">
            <v>6.8000000000000007</v>
          </cell>
          <cell r="E22">
            <v>5.4</v>
          </cell>
          <cell r="F22">
            <v>10.6</v>
          </cell>
          <cell r="H22">
            <v>5.4</v>
          </cell>
          <cell r="I22">
            <v>9.3333333333333339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9.3888888888888875</v>
          </cell>
          <cell r="U22">
            <v>16.777777777777779</v>
          </cell>
          <cell r="W22">
            <v>9.3888888888888875</v>
          </cell>
          <cell r="X22">
            <v>16.777777777777779</v>
          </cell>
          <cell r="AC22">
            <v>8.2156862745098032</v>
          </cell>
          <cell r="AD22">
            <v>14.588235294117647</v>
          </cell>
          <cell r="AF22">
            <v>5</v>
          </cell>
        </row>
        <row r="23">
          <cell r="A23">
            <v>15</v>
          </cell>
          <cell r="B23">
            <v>5</v>
          </cell>
          <cell r="C23">
            <v>5</v>
          </cell>
          <cell r="E23">
            <v>7.1249999999999991</v>
          </cell>
          <cell r="F23">
            <v>8.375</v>
          </cell>
          <cell r="H23">
            <v>6.5454545454545459</v>
          </cell>
          <cell r="I23">
            <v>7.4545454545454541</v>
          </cell>
          <cell r="K23">
            <v>3</v>
          </cell>
          <cell r="L23">
            <v>4.2105263157894735</v>
          </cell>
          <cell r="N23">
            <v>2.9090909090909092</v>
          </cell>
          <cell r="O23">
            <v>7.0909090909090908</v>
          </cell>
          <cell r="Q23">
            <v>2.9666666666666668</v>
          </cell>
          <cell r="R23">
            <v>5.2666666666666666</v>
          </cell>
          <cell r="T23">
            <v>4.1904761904761907</v>
          </cell>
          <cell r="U23">
            <v>13.666666666666666</v>
          </cell>
          <cell r="W23">
            <v>4.1904761904761907</v>
          </cell>
          <cell r="X23">
            <v>13.666666666666666</v>
          </cell>
          <cell r="AC23">
            <v>4.0602409638554215</v>
          </cell>
          <cell r="AD23">
            <v>9.8072289156626518</v>
          </cell>
          <cell r="AF23">
            <v>5</v>
          </cell>
        </row>
        <row r="24">
          <cell r="A24">
            <v>16</v>
          </cell>
          <cell r="B24">
            <v>2</v>
          </cell>
          <cell r="C24">
            <v>4</v>
          </cell>
          <cell r="E24">
            <v>4.7777777777777777</v>
          </cell>
          <cell r="F24">
            <v>8.2222222222222232</v>
          </cell>
          <cell r="H24">
            <v>4.5</v>
          </cell>
          <cell r="I24">
            <v>7.8</v>
          </cell>
          <cell r="K24">
            <v>5.4</v>
          </cell>
          <cell r="L24">
            <v>5.25</v>
          </cell>
          <cell r="N24">
            <v>3.64</v>
          </cell>
          <cell r="O24">
            <v>6.4799999999999995</v>
          </cell>
          <cell r="Q24">
            <v>4.4222222222222225</v>
          </cell>
          <cell r="R24">
            <v>5.9333333333333336</v>
          </cell>
          <cell r="T24">
            <v>9.15</v>
          </cell>
          <cell r="U24">
            <v>10.65</v>
          </cell>
          <cell r="W24">
            <v>9.15</v>
          </cell>
          <cell r="X24">
            <v>10.65</v>
          </cell>
          <cell r="AC24">
            <v>6.4210526315789469</v>
          </cell>
          <cell r="AD24">
            <v>8.1157894736842113</v>
          </cell>
          <cell r="AF24">
            <v>5</v>
          </cell>
        </row>
        <row r="25">
          <cell r="A25">
            <v>17</v>
          </cell>
          <cell r="B25">
            <v>3</v>
          </cell>
          <cell r="C25">
            <v>8.2000000000000011</v>
          </cell>
          <cell r="E25">
            <v>7.8333333333333339</v>
          </cell>
          <cell r="F25">
            <v>6.166666666666667</v>
          </cell>
          <cell r="H25">
            <v>5.6363636363636367</v>
          </cell>
          <cell r="I25">
            <v>7.0909090909090908</v>
          </cell>
          <cell r="K25">
            <v>4.5714285714285712</v>
          </cell>
          <cell r="L25">
            <v>3.9047619047619047</v>
          </cell>
          <cell r="N25">
            <v>4.6428571428571432</v>
          </cell>
          <cell r="O25">
            <v>4.1785714285714288</v>
          </cell>
          <cell r="Q25">
            <v>4.612244897959183</v>
          </cell>
          <cell r="R25">
            <v>4.0612244897959187</v>
          </cell>
          <cell r="T25">
            <v>12</v>
          </cell>
          <cell r="U25">
            <v>9.9230769230769234</v>
          </cell>
          <cell r="W25">
            <v>12</v>
          </cell>
          <cell r="X25">
            <v>9.9230769230769234</v>
          </cell>
          <cell r="AC25">
            <v>8.8695652173913029</v>
          </cell>
          <cell r="AD25">
            <v>7.6159420289855078</v>
          </cell>
          <cell r="AF25">
            <v>5</v>
          </cell>
        </row>
        <row r="26">
          <cell r="A26">
            <v>18</v>
          </cell>
          <cell r="B26">
            <v>1.6666666666666667</v>
          </cell>
          <cell r="C26">
            <v>14.333333333333334</v>
          </cell>
          <cell r="E26">
            <v>3.1428571428571432</v>
          </cell>
          <cell r="F26">
            <v>7.5714285714285721</v>
          </cell>
          <cell r="H26">
            <v>2.7</v>
          </cell>
          <cell r="I26">
            <v>9.6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Q26">
            <v>0</v>
          </cell>
          <cell r="R26">
            <v>0</v>
          </cell>
          <cell r="T26">
            <v>10.82608695652174</v>
          </cell>
          <cell r="U26">
            <v>14.326086956521738</v>
          </cell>
          <cell r="W26">
            <v>10.82608695652174</v>
          </cell>
          <cell r="X26">
            <v>14.326086956521738</v>
          </cell>
          <cell r="AC26">
            <v>10.029411764705882</v>
          </cell>
          <cell r="AD26">
            <v>13.862745098039216</v>
          </cell>
          <cell r="AF26">
            <v>5</v>
          </cell>
        </row>
        <row r="27">
          <cell r="A27">
            <v>19</v>
          </cell>
          <cell r="B27">
            <v>0</v>
          </cell>
          <cell r="C27">
            <v>0</v>
          </cell>
          <cell r="E27">
            <v>0</v>
          </cell>
          <cell r="F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Q27">
            <v>0</v>
          </cell>
          <cell r="R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AC27">
            <v>0</v>
          </cell>
          <cell r="AD27">
            <v>0</v>
          </cell>
          <cell r="AF27">
            <v>5</v>
          </cell>
        </row>
        <row r="28">
          <cell r="A28">
            <v>20</v>
          </cell>
          <cell r="B28">
            <v>3.5000000000000004</v>
          </cell>
          <cell r="C28">
            <v>7.0000000000000009</v>
          </cell>
          <cell r="E28">
            <v>5.4</v>
          </cell>
          <cell r="F28">
            <v>9.3000000000000007</v>
          </cell>
          <cell r="H28">
            <v>5.083333333333333</v>
          </cell>
          <cell r="I28">
            <v>8.9166666666666679</v>
          </cell>
          <cell r="K28">
            <v>4.6875</v>
          </cell>
          <cell r="L28">
            <v>4.75</v>
          </cell>
          <cell r="N28">
            <v>5.8285714285714292</v>
          </cell>
          <cell r="O28">
            <v>5.8571428571428577</v>
          </cell>
          <cell r="Q28">
            <v>5.168674698795181</v>
          </cell>
          <cell r="R28">
            <v>5.2168674698795181</v>
          </cell>
          <cell r="T28">
            <v>14.48</v>
          </cell>
          <cell r="U28">
            <v>12</v>
          </cell>
          <cell r="W28">
            <v>14.48</v>
          </cell>
          <cell r="X28">
            <v>12</v>
          </cell>
          <cell r="AC28">
            <v>9.9384615384615387</v>
          </cell>
          <cell r="AD28">
            <v>8.9230769230769234</v>
          </cell>
          <cell r="AF28">
            <v>5</v>
          </cell>
        </row>
        <row r="29">
          <cell r="A29">
            <v>21</v>
          </cell>
          <cell r="B29">
            <v>2.75</v>
          </cell>
          <cell r="C29">
            <v>13.5</v>
          </cell>
          <cell r="E29">
            <v>4.2</v>
          </cell>
          <cell r="F29">
            <v>10.8</v>
          </cell>
          <cell r="H29">
            <v>3.5555555555555554</v>
          </cell>
          <cell r="I29">
            <v>12</v>
          </cell>
          <cell r="K29">
            <v>3.2</v>
          </cell>
          <cell r="L29">
            <v>4.9750000000000005</v>
          </cell>
          <cell r="N29">
            <v>4.84375</v>
          </cell>
          <cell r="O29">
            <v>5.53125</v>
          </cell>
          <cell r="Q29">
            <v>3.9305555555555558</v>
          </cell>
          <cell r="R29">
            <v>5.2222222222222223</v>
          </cell>
          <cell r="T29">
            <v>9.6451612903225801</v>
          </cell>
          <cell r="U29">
            <v>10.612903225806452</v>
          </cell>
          <cell r="W29">
            <v>9.6451612903225801</v>
          </cell>
          <cell r="X29">
            <v>10.612903225806452</v>
          </cell>
          <cell r="AC29">
            <v>6.3846153846153841</v>
          </cell>
          <cell r="AD29">
            <v>7.9860139860139858</v>
          </cell>
          <cell r="AF29">
            <v>5</v>
          </cell>
        </row>
        <row r="30">
          <cell r="A30">
            <v>22</v>
          </cell>
          <cell r="B30">
            <v>15</v>
          </cell>
          <cell r="C30">
            <v>9.6666666666666661</v>
          </cell>
          <cell r="E30">
            <v>5</v>
          </cell>
          <cell r="F30">
            <v>9.5</v>
          </cell>
          <cell r="H30">
            <v>8.3333333333333321</v>
          </cell>
          <cell r="I30">
            <v>9.5555555555555554</v>
          </cell>
          <cell r="K30">
            <v>3.0285714285714289</v>
          </cell>
          <cell r="L30">
            <v>6</v>
          </cell>
          <cell r="N30">
            <v>4.125</v>
          </cell>
          <cell r="O30">
            <v>6.3333333333333339</v>
          </cell>
          <cell r="Q30">
            <v>3.4745762711864407</v>
          </cell>
          <cell r="R30">
            <v>6.1355932203389827</v>
          </cell>
          <cell r="T30">
            <v>10.82608695652174</v>
          </cell>
          <cell r="U30">
            <v>11.565217391304348</v>
          </cell>
          <cell r="W30">
            <v>10.82608695652174</v>
          </cell>
          <cell r="X30">
            <v>11.565217391304348</v>
          </cell>
          <cell r="AC30">
            <v>6.8245614035087723</v>
          </cell>
          <cell r="AD30">
            <v>8.5964912280701764</v>
          </cell>
          <cell r="AF30">
            <v>5</v>
          </cell>
        </row>
        <row r="31">
          <cell r="A31">
            <v>23</v>
          </cell>
          <cell r="B31">
            <v>6.4</v>
          </cell>
          <cell r="C31">
            <v>9.1999999999999993</v>
          </cell>
          <cell r="E31">
            <v>5</v>
          </cell>
          <cell r="F31">
            <v>9.1666666666666661</v>
          </cell>
          <cell r="H31">
            <v>5.6363636363636367</v>
          </cell>
          <cell r="I31">
            <v>9.1818181818181817</v>
          </cell>
          <cell r="K31">
            <v>3.5135135135135136</v>
          </cell>
          <cell r="L31">
            <v>5.243243243243243</v>
          </cell>
          <cell r="N31">
            <v>4.1764705882352944</v>
          </cell>
          <cell r="O31">
            <v>5.1176470588235299</v>
          </cell>
          <cell r="Q31">
            <v>3.7222222222222219</v>
          </cell>
          <cell r="R31">
            <v>5.2037037037037033</v>
          </cell>
          <cell r="T31">
            <v>12.333333333333334</v>
          </cell>
          <cell r="U31">
            <v>10.777777777777779</v>
          </cell>
          <cell r="W31">
            <v>12.333333333333334</v>
          </cell>
          <cell r="X31">
            <v>10.777777777777779</v>
          </cell>
          <cell r="AC31">
            <v>5.8433734939759034</v>
          </cell>
          <cell r="AD31">
            <v>6.9397590361445785</v>
          </cell>
          <cell r="AF31">
            <v>5</v>
          </cell>
        </row>
        <row r="32">
          <cell r="A32">
            <v>24</v>
          </cell>
          <cell r="B32">
            <v>8.5</v>
          </cell>
          <cell r="C32">
            <v>8.5</v>
          </cell>
          <cell r="E32">
            <v>6.4</v>
          </cell>
          <cell r="F32">
            <v>8</v>
          </cell>
          <cell r="H32">
            <v>7.0000000000000009</v>
          </cell>
          <cell r="I32">
            <v>8.1428571428571441</v>
          </cell>
          <cell r="K32">
            <v>11.5</v>
          </cell>
          <cell r="L32">
            <v>14.833333333333334</v>
          </cell>
          <cell r="N32">
            <v>19.285714285714288</v>
          </cell>
          <cell r="O32">
            <v>12</v>
          </cell>
          <cell r="Q32">
            <v>15.692307692307692</v>
          </cell>
          <cell r="R32">
            <v>13.307692307692307</v>
          </cell>
          <cell r="T32">
            <v>13.5</v>
          </cell>
          <cell r="U32">
            <v>12.125</v>
          </cell>
          <cell r="W32">
            <v>13.5</v>
          </cell>
          <cell r="X32">
            <v>12.125</v>
          </cell>
          <cell r="AC32">
            <v>13.173076923076923</v>
          </cell>
          <cell r="AD32">
            <v>11.884615384615385</v>
          </cell>
          <cell r="AF32">
            <v>5</v>
          </cell>
        </row>
        <row r="33">
          <cell r="A33">
            <v>25</v>
          </cell>
          <cell r="B33">
            <v>7.0000000000000009</v>
          </cell>
          <cell r="C33">
            <v>7.6666666666666661</v>
          </cell>
          <cell r="E33">
            <v>7.1999999999999993</v>
          </cell>
          <cell r="F33">
            <v>8.2000000000000011</v>
          </cell>
          <cell r="H33">
            <v>7.1249999999999991</v>
          </cell>
          <cell r="I33">
            <v>8</v>
          </cell>
          <cell r="K33">
            <v>2</v>
          </cell>
          <cell r="L33">
            <v>4.0526315789473681</v>
          </cell>
          <cell r="N33">
            <v>1</v>
          </cell>
          <cell r="O33">
            <v>6.25</v>
          </cell>
          <cell r="Q33">
            <v>1.7037037037037037</v>
          </cell>
          <cell r="R33">
            <v>4.7037037037037033</v>
          </cell>
          <cell r="T33">
            <v>3</v>
          </cell>
          <cell r="U33">
            <v>23.857142857142858</v>
          </cell>
          <cell r="W33">
            <v>3</v>
          </cell>
          <cell r="X33">
            <v>23.857142857142858</v>
          </cell>
          <cell r="AC33">
            <v>2.9591836734693877</v>
          </cell>
          <cell r="AD33">
            <v>10.714285714285714</v>
          </cell>
          <cell r="AF33">
            <v>5</v>
          </cell>
        </row>
        <row r="34">
          <cell r="A34">
            <v>26</v>
          </cell>
          <cell r="B34">
            <v>0</v>
          </cell>
          <cell r="C34">
            <v>0</v>
          </cell>
          <cell r="E34">
            <v>0</v>
          </cell>
          <cell r="F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Q34">
            <v>0</v>
          </cell>
          <cell r="R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AC34">
            <v>0</v>
          </cell>
          <cell r="AD34">
            <v>0</v>
          </cell>
          <cell r="AF34">
            <v>5</v>
          </cell>
        </row>
        <row r="35">
          <cell r="A35">
            <v>27</v>
          </cell>
          <cell r="B35">
            <v>0</v>
          </cell>
          <cell r="C35">
            <v>0</v>
          </cell>
          <cell r="E35">
            <v>3.4285714285714288</v>
          </cell>
          <cell r="F35">
            <v>7.7142857142857135</v>
          </cell>
          <cell r="H35">
            <v>3.4285714285714288</v>
          </cell>
          <cell r="I35">
            <v>7.7142857142857135</v>
          </cell>
          <cell r="K35">
            <v>2.4444444444444446</v>
          </cell>
          <cell r="L35">
            <v>5.3333333333333339</v>
          </cell>
          <cell r="N35">
            <v>1.5333333333333332</v>
          </cell>
          <cell r="O35">
            <v>6.4666666666666668</v>
          </cell>
          <cell r="Q35">
            <v>2.0303030303030303</v>
          </cell>
          <cell r="R35">
            <v>5.8484848484848486</v>
          </cell>
          <cell r="T35">
            <v>6.9743589743589745</v>
          </cell>
          <cell r="U35">
            <v>10.512820512820513</v>
          </cell>
          <cell r="W35">
            <v>6.9743589743589745</v>
          </cell>
          <cell r="X35">
            <v>10.512820512820513</v>
          </cell>
          <cell r="AC35">
            <v>5.3813559322033893</v>
          </cell>
          <cell r="AD35">
            <v>9.0423728813559325</v>
          </cell>
          <cell r="AF35">
            <v>5</v>
          </cell>
        </row>
        <row r="36">
          <cell r="A36">
            <v>28</v>
          </cell>
          <cell r="B36">
            <v>5</v>
          </cell>
          <cell r="C36">
            <v>7.333333333333333</v>
          </cell>
          <cell r="E36">
            <v>10</v>
          </cell>
          <cell r="F36">
            <v>6.5</v>
          </cell>
          <cell r="H36">
            <v>8.3333333333333321</v>
          </cell>
          <cell r="I36">
            <v>6.7777777777777786</v>
          </cell>
          <cell r="K36">
            <v>2.5294117647058822</v>
          </cell>
          <cell r="L36">
            <v>5.1176470588235299</v>
          </cell>
          <cell r="N36">
            <v>1.5</v>
          </cell>
          <cell r="O36">
            <v>4.3999999999999995</v>
          </cell>
          <cell r="Q36">
            <v>2.1481481481481479</v>
          </cell>
          <cell r="R36">
            <v>4.8518518518518512</v>
          </cell>
          <cell r="T36">
            <v>5.9615384615384617</v>
          </cell>
          <cell r="U36">
            <v>10.730769230769232</v>
          </cell>
          <cell r="W36">
            <v>5.9615384615384617</v>
          </cell>
          <cell r="X36">
            <v>10.730769230769232</v>
          </cell>
          <cell r="AC36">
            <v>5.0340909090909092</v>
          </cell>
          <cell r="AD36">
            <v>8.5227272727272716</v>
          </cell>
          <cell r="AF36">
            <v>5</v>
          </cell>
        </row>
        <row r="37">
          <cell r="A37">
            <v>29</v>
          </cell>
          <cell r="B37">
            <v>4</v>
          </cell>
          <cell r="C37">
            <v>5.25</v>
          </cell>
          <cell r="E37">
            <v>4.375</v>
          </cell>
          <cell r="F37">
            <v>5.375</v>
          </cell>
          <cell r="H37">
            <v>4.25</v>
          </cell>
          <cell r="I37">
            <v>5.3333333333333339</v>
          </cell>
          <cell r="K37">
            <v>5.8666666666666663</v>
          </cell>
          <cell r="L37">
            <v>5.1333333333333337</v>
          </cell>
          <cell r="N37">
            <v>4</v>
          </cell>
          <cell r="O37">
            <v>4.4615384615384617</v>
          </cell>
          <cell r="Q37">
            <v>5</v>
          </cell>
          <cell r="R37">
            <v>4.8214285714285721</v>
          </cell>
          <cell r="T37">
            <v>8.7727272727272716</v>
          </cell>
          <cell r="U37">
            <v>11.454545454545455</v>
          </cell>
          <cell r="W37">
            <v>8.7727272727272716</v>
          </cell>
          <cell r="X37">
            <v>11.454545454545455</v>
          </cell>
          <cell r="AC37">
            <v>6.8690476190476186</v>
          </cell>
          <cell r="AD37">
            <v>8.3690476190476186</v>
          </cell>
          <cell r="AF37">
            <v>5</v>
          </cell>
        </row>
        <row r="38">
          <cell r="A38">
            <v>30</v>
          </cell>
          <cell r="B38">
            <v>0</v>
          </cell>
          <cell r="C38">
            <v>10</v>
          </cell>
          <cell r="E38">
            <v>4.4285714285714279</v>
          </cell>
          <cell r="F38">
            <v>8</v>
          </cell>
          <cell r="H38">
            <v>3.875</v>
          </cell>
          <cell r="I38">
            <v>8.25</v>
          </cell>
          <cell r="K38">
            <v>2.2666666666666666</v>
          </cell>
          <cell r="L38">
            <v>3.2</v>
          </cell>
          <cell r="N38">
            <v>7.5384615384615383</v>
          </cell>
          <cell r="O38">
            <v>4.4615384615384617</v>
          </cell>
          <cell r="Q38">
            <v>4.7142857142857144</v>
          </cell>
          <cell r="R38">
            <v>3.785714285714286</v>
          </cell>
          <cell r="T38">
            <v>20.454545454545457</v>
          </cell>
          <cell r="U38">
            <v>8.3636363636363633</v>
          </cell>
          <cell r="W38">
            <v>20.454545454545457</v>
          </cell>
          <cell r="X38">
            <v>8.3636363636363633</v>
          </cell>
          <cell r="AC38">
            <v>13.2875</v>
          </cell>
          <cell r="AD38">
            <v>6.75</v>
          </cell>
          <cell r="AF38">
            <v>5</v>
          </cell>
        </row>
        <row r="39">
          <cell r="A39">
            <v>31</v>
          </cell>
          <cell r="B39">
            <v>4</v>
          </cell>
          <cell r="C39">
            <v>14.000000000000002</v>
          </cell>
          <cell r="E39">
            <v>5.3333333333333339</v>
          </cell>
          <cell r="F39">
            <v>7.0000000000000009</v>
          </cell>
          <cell r="H39">
            <v>4.8888888888888893</v>
          </cell>
          <cell r="I39">
            <v>9.3333333333333339</v>
          </cell>
          <cell r="K39">
            <v>3.0833333333333335</v>
          </cell>
          <cell r="L39">
            <v>4.3333333333333339</v>
          </cell>
          <cell r="N39">
            <v>3.75</v>
          </cell>
          <cell r="O39">
            <v>4.5</v>
          </cell>
          <cell r="Q39">
            <v>3.4166666666666665</v>
          </cell>
          <cell r="R39">
            <v>4.416666666666667</v>
          </cell>
          <cell r="T39">
            <v>18.391304347826086</v>
          </cell>
          <cell r="U39">
            <v>8.304347826086957</v>
          </cell>
          <cell r="W39">
            <v>18.391304347826086</v>
          </cell>
          <cell r="X39">
            <v>8.304347826086957</v>
          </cell>
          <cell r="AC39">
            <v>12.30379746835443</v>
          </cell>
          <cell r="AD39">
            <v>7.2405063291139244</v>
          </cell>
          <cell r="AF39">
            <v>5</v>
          </cell>
        </row>
        <row r="40">
          <cell r="A40" t="str">
            <v xml:space="preserve">Feb/01 </v>
          </cell>
          <cell r="B40">
            <v>0</v>
          </cell>
          <cell r="C40">
            <v>0</v>
          </cell>
          <cell r="E40">
            <v>0</v>
          </cell>
          <cell r="F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Q40">
            <v>0</v>
          </cell>
          <cell r="R40">
            <v>0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AC40">
            <v>0</v>
          </cell>
          <cell r="AD40">
            <v>0</v>
          </cell>
          <cell r="AF40">
            <v>5</v>
          </cell>
        </row>
        <row r="41">
          <cell r="A41">
            <v>2</v>
          </cell>
          <cell r="B41">
            <v>0</v>
          </cell>
          <cell r="C41">
            <v>0</v>
          </cell>
          <cell r="E41">
            <v>0</v>
          </cell>
          <cell r="F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AC41">
            <v>0</v>
          </cell>
          <cell r="AD41">
            <v>0</v>
          </cell>
          <cell r="AF41">
            <v>5</v>
          </cell>
        </row>
        <row r="42">
          <cell r="A42">
            <v>3</v>
          </cell>
          <cell r="B42">
            <v>13.750000000000002</v>
          </cell>
          <cell r="C42">
            <v>5.5</v>
          </cell>
          <cell r="E42">
            <v>5</v>
          </cell>
          <cell r="F42">
            <v>6.8571428571428577</v>
          </cell>
          <cell r="H42">
            <v>8.1818181818181817</v>
          </cell>
          <cell r="I42">
            <v>6.3636363636363633</v>
          </cell>
          <cell r="K42">
            <v>3.3250000000000002</v>
          </cell>
          <cell r="L42">
            <v>4.6749999999999998</v>
          </cell>
          <cell r="N42">
            <v>4.96</v>
          </cell>
          <cell r="O42">
            <v>4.5199999999999996</v>
          </cell>
          <cell r="Q42">
            <v>3.9538461538461536</v>
          </cell>
          <cell r="R42">
            <v>4.6153846153846159</v>
          </cell>
          <cell r="T42">
            <v>40.157894736842103</v>
          </cell>
          <cell r="U42">
            <v>5.447368421052631</v>
          </cell>
          <cell r="W42">
            <v>40.157894736842103</v>
          </cell>
          <cell r="X42">
            <v>5.447368421052631</v>
          </cell>
          <cell r="AC42">
            <v>22.361842105263158</v>
          </cell>
          <cell r="AD42">
            <v>5.1578947368421053</v>
          </cell>
          <cell r="AF42">
            <v>5</v>
          </cell>
        </row>
        <row r="43">
          <cell r="A43">
            <v>4</v>
          </cell>
          <cell r="B43">
            <v>9</v>
          </cell>
          <cell r="C43">
            <v>9.3333333333333339</v>
          </cell>
          <cell r="E43">
            <v>1.2142857142857142</v>
          </cell>
          <cell r="F43">
            <v>2.9285714285714288</v>
          </cell>
          <cell r="H43">
            <v>2.5882352941176472</v>
          </cell>
          <cell r="I43">
            <v>4.0588235294117645</v>
          </cell>
          <cell r="K43">
            <v>2.4230769230769229</v>
          </cell>
          <cell r="L43">
            <v>5.4615384615384617</v>
          </cell>
          <cell r="N43">
            <v>2.1428571428571428</v>
          </cell>
          <cell r="O43">
            <v>6.8095238095238102</v>
          </cell>
          <cell r="Q43">
            <v>2.2978723404255321</v>
          </cell>
          <cell r="R43">
            <v>6.0638297872340425</v>
          </cell>
          <cell r="T43">
            <v>13.461538461538462</v>
          </cell>
          <cell r="U43">
            <v>11.923076923076923</v>
          </cell>
          <cell r="W43">
            <v>13.461538461538462</v>
          </cell>
          <cell r="X43">
            <v>11.923076923076923</v>
          </cell>
          <cell r="AC43">
            <v>7.3448275862068968</v>
          </cell>
          <cell r="AD43">
            <v>8.3965517241379306</v>
          </cell>
          <cell r="AF43">
            <v>5</v>
          </cell>
        </row>
        <row r="44">
          <cell r="A44">
            <v>5</v>
          </cell>
          <cell r="B44">
            <v>3.6666666666666665</v>
          </cell>
          <cell r="C44">
            <v>7.6666666666666661</v>
          </cell>
          <cell r="E44">
            <v>4.1666666666666661</v>
          </cell>
          <cell r="F44">
            <v>8.8333333333333339</v>
          </cell>
          <cell r="H44">
            <v>4</v>
          </cell>
          <cell r="I44">
            <v>8.4444444444444446</v>
          </cell>
          <cell r="K44">
            <v>3.1176470588235294</v>
          </cell>
          <cell r="L44">
            <v>5.3529411764705879</v>
          </cell>
          <cell r="N44">
            <v>3</v>
          </cell>
          <cell r="O44">
            <v>6.5</v>
          </cell>
          <cell r="Q44">
            <v>3.0689655172413794</v>
          </cell>
          <cell r="R44">
            <v>5.8275862068965516</v>
          </cell>
          <cell r="T44">
            <v>11.25</v>
          </cell>
          <cell r="U44">
            <v>13.200000000000001</v>
          </cell>
          <cell r="W44">
            <v>11.25</v>
          </cell>
          <cell r="X44">
            <v>13.200000000000001</v>
          </cell>
          <cell r="AC44">
            <v>7.3717948717948723</v>
          </cell>
          <cell r="AD44">
            <v>9.9102564102564106</v>
          </cell>
          <cell r="AF44">
            <v>5</v>
          </cell>
        </row>
        <row r="45">
          <cell r="A45">
            <v>6</v>
          </cell>
          <cell r="B45">
            <v>9.5</v>
          </cell>
          <cell r="C45">
            <v>5.5</v>
          </cell>
          <cell r="E45">
            <v>5.5</v>
          </cell>
          <cell r="F45">
            <v>6.5</v>
          </cell>
          <cell r="H45">
            <v>6.833333333333333</v>
          </cell>
          <cell r="I45">
            <v>6.166666666666667</v>
          </cell>
          <cell r="K45">
            <v>3.3529411764705883</v>
          </cell>
          <cell r="L45">
            <v>5.4705882352941178</v>
          </cell>
          <cell r="N45">
            <v>3.2399999999999998</v>
          </cell>
          <cell r="O45">
            <v>5.24</v>
          </cell>
          <cell r="Q45">
            <v>3.2857142857142856</v>
          </cell>
          <cell r="R45">
            <v>5.3333333333333339</v>
          </cell>
          <cell r="T45">
            <v>7.4375</v>
          </cell>
          <cell r="U45">
            <v>15.75</v>
          </cell>
          <cell r="W45">
            <v>7.4375</v>
          </cell>
          <cell r="X45">
            <v>15.75</v>
          </cell>
          <cell r="AC45">
            <v>5.2124999999999995</v>
          </cell>
          <cell r="AD45">
            <v>9.5625</v>
          </cell>
          <cell r="AF45">
            <v>5</v>
          </cell>
        </row>
        <row r="46">
          <cell r="A46">
            <v>7</v>
          </cell>
          <cell r="B46">
            <v>14.666666666666666</v>
          </cell>
          <cell r="C46">
            <v>8.3333333333333321</v>
          </cell>
          <cell r="E46">
            <v>5.875</v>
          </cell>
          <cell r="F46">
            <v>6</v>
          </cell>
          <cell r="H46">
            <v>8.2727272727272734</v>
          </cell>
          <cell r="I46">
            <v>6.6363636363636358</v>
          </cell>
          <cell r="K46">
            <v>13</v>
          </cell>
          <cell r="L46">
            <v>11.200000000000001</v>
          </cell>
          <cell r="N46">
            <v>8.6666666666666679</v>
          </cell>
          <cell r="O46">
            <v>5.6666666666666661</v>
          </cell>
          <cell r="Q46">
            <v>11.375</v>
          </cell>
          <cell r="R46">
            <v>9.125</v>
          </cell>
          <cell r="T46">
            <v>17.041666666666664</v>
          </cell>
          <cell r="U46">
            <v>9.9166666666666661</v>
          </cell>
          <cell r="W46">
            <v>17.041666666666664</v>
          </cell>
          <cell r="X46">
            <v>9.9166666666666661</v>
          </cell>
          <cell r="AC46">
            <v>14.925373134328357</v>
          </cell>
          <cell r="AD46">
            <v>9.2835820895522385</v>
          </cell>
          <cell r="AF46">
            <v>5</v>
          </cell>
        </row>
        <row r="47">
          <cell r="A47">
            <v>8</v>
          </cell>
          <cell r="B47">
            <v>5</v>
          </cell>
          <cell r="C47">
            <v>7.0000000000000009</v>
          </cell>
          <cell r="E47">
            <v>5.875</v>
          </cell>
          <cell r="F47">
            <v>6.75</v>
          </cell>
          <cell r="H47">
            <v>5.7777777777777777</v>
          </cell>
          <cell r="I47">
            <v>6.7777777777777786</v>
          </cell>
          <cell r="K47">
            <v>4.4242424242424239</v>
          </cell>
          <cell r="L47">
            <v>3.4848484848484853</v>
          </cell>
          <cell r="N47">
            <v>5.5185185185185182</v>
          </cell>
          <cell r="O47">
            <v>4.4444444444444446</v>
          </cell>
          <cell r="Q47">
            <v>4.9166666666666661</v>
          </cell>
          <cell r="R47">
            <v>3.916666666666667</v>
          </cell>
          <cell r="T47">
            <v>19.225000000000001</v>
          </cell>
          <cell r="U47">
            <v>13.075000000000001</v>
          </cell>
          <cell r="W47">
            <v>19.225000000000001</v>
          </cell>
          <cell r="X47">
            <v>13.075000000000001</v>
          </cell>
          <cell r="AC47">
            <v>12.651006711409396</v>
          </cell>
          <cell r="AD47">
            <v>9.0067114093959724</v>
          </cell>
          <cell r="AF47">
            <v>5</v>
          </cell>
        </row>
        <row r="48">
          <cell r="A48">
            <v>9</v>
          </cell>
          <cell r="B48">
            <v>0</v>
          </cell>
          <cell r="C48">
            <v>0</v>
          </cell>
          <cell r="E48">
            <v>0</v>
          </cell>
          <cell r="F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Q48">
            <v>0</v>
          </cell>
          <cell r="R48">
            <v>0</v>
          </cell>
          <cell r="T48">
            <v>0</v>
          </cell>
          <cell r="U48">
            <v>0</v>
          </cell>
          <cell r="W48">
            <v>0</v>
          </cell>
          <cell r="X48">
            <v>0</v>
          </cell>
          <cell r="AC48">
            <v>0</v>
          </cell>
          <cell r="AD48">
            <v>0</v>
          </cell>
          <cell r="AF48">
            <v>5</v>
          </cell>
        </row>
        <row r="49">
          <cell r="A49">
            <v>10</v>
          </cell>
          <cell r="B49">
            <v>0</v>
          </cell>
          <cell r="C49">
            <v>12</v>
          </cell>
          <cell r="E49">
            <v>15.333333333333332</v>
          </cell>
          <cell r="F49">
            <v>16</v>
          </cell>
          <cell r="H49">
            <v>11.5</v>
          </cell>
          <cell r="I49">
            <v>15</v>
          </cell>
          <cell r="K49">
            <v>5.3571428571428568</v>
          </cell>
          <cell r="L49">
            <v>3.8095238095238098</v>
          </cell>
          <cell r="N49">
            <v>6.1851851851851851</v>
          </cell>
          <cell r="O49">
            <v>5.1851851851851851</v>
          </cell>
          <cell r="Q49">
            <v>5.6811594202898554</v>
          </cell>
          <cell r="R49">
            <v>4.3478260869565215</v>
          </cell>
          <cell r="T49">
            <v>16.95918367346939</v>
          </cell>
          <cell r="U49">
            <v>10.040816326530612</v>
          </cell>
          <cell r="W49">
            <v>16.95918367346939</v>
          </cell>
          <cell r="X49">
            <v>10.040816326530612</v>
          </cell>
          <cell r="AC49">
            <v>12.280701754385964</v>
          </cell>
          <cell r="AD49">
            <v>7.859649122807018</v>
          </cell>
          <cell r="AF49">
            <v>5</v>
          </cell>
        </row>
        <row r="50">
          <cell r="A50">
            <v>11</v>
          </cell>
          <cell r="B50">
            <v>3.833333333333333</v>
          </cell>
          <cell r="C50">
            <v>2.166666666666667</v>
          </cell>
          <cell r="E50">
            <v>11.428571428571429</v>
          </cell>
          <cell r="F50">
            <v>12.857142857142856</v>
          </cell>
          <cell r="H50">
            <v>6.6315789473684212</v>
          </cell>
          <cell r="I50">
            <v>6.1052631578947363</v>
          </cell>
          <cell r="K50">
            <v>5.3529411764705879</v>
          </cell>
          <cell r="L50">
            <v>3.8529411764705883</v>
          </cell>
          <cell r="N50">
            <v>8.7391304347826093</v>
          </cell>
          <cell r="O50">
            <v>5.5652173913043477</v>
          </cell>
          <cell r="Q50">
            <v>6.7192982456140342</v>
          </cell>
          <cell r="R50">
            <v>4.5438596491228074</v>
          </cell>
          <cell r="T50">
            <v>19.571428571428569</v>
          </cell>
          <cell r="U50">
            <v>9.5</v>
          </cell>
          <cell r="W50">
            <v>19.571428571428569</v>
          </cell>
          <cell r="X50">
            <v>9.5</v>
          </cell>
          <cell r="AC50">
            <v>12.15909090909091</v>
          </cell>
          <cell r="AD50">
            <v>6.8712121212121211</v>
          </cell>
          <cell r="AF50">
            <v>5</v>
          </cell>
        </row>
        <row r="51">
          <cell r="A51">
            <v>12</v>
          </cell>
          <cell r="B51">
            <v>0</v>
          </cell>
          <cell r="C51">
            <v>0</v>
          </cell>
          <cell r="E51">
            <v>0</v>
          </cell>
          <cell r="F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Q51">
            <v>0</v>
          </cell>
          <cell r="R51">
            <v>0</v>
          </cell>
          <cell r="T51">
            <v>0</v>
          </cell>
          <cell r="U51">
            <v>0</v>
          </cell>
          <cell r="W51">
            <v>0</v>
          </cell>
          <cell r="X51">
            <v>0</v>
          </cell>
          <cell r="AC51">
            <v>0</v>
          </cell>
          <cell r="AD51">
            <v>0</v>
          </cell>
          <cell r="AF51">
            <v>5</v>
          </cell>
        </row>
        <row r="52">
          <cell r="A52">
            <v>13</v>
          </cell>
          <cell r="B52">
            <v>5.5</v>
          </cell>
          <cell r="C52">
            <v>6.25</v>
          </cell>
          <cell r="E52">
            <v>5.8571428571428577</v>
          </cell>
          <cell r="F52">
            <v>11</v>
          </cell>
          <cell r="H52">
            <v>5.7272727272727275</v>
          </cell>
          <cell r="I52">
            <v>9.2727272727272734</v>
          </cell>
          <cell r="K52">
            <v>3.1875</v>
          </cell>
          <cell r="L52">
            <v>7.0624999999999991</v>
          </cell>
          <cell r="N52">
            <v>3.9285714285714284</v>
          </cell>
          <cell r="O52">
            <v>7.4285714285714288</v>
          </cell>
          <cell r="Q52">
            <v>3.5333333333333337</v>
          </cell>
          <cell r="R52">
            <v>7.2333333333333334</v>
          </cell>
          <cell r="T52">
            <v>18.533333333333331</v>
          </cell>
          <cell r="U52">
            <v>9.6666666666666661</v>
          </cell>
          <cell r="W52">
            <v>18.533333333333331</v>
          </cell>
          <cell r="X52">
            <v>9.6666666666666661</v>
          </cell>
          <cell r="AC52">
            <v>10.211267605633804</v>
          </cell>
          <cell r="AD52">
            <v>8.577464788732394</v>
          </cell>
          <cell r="AF52">
            <v>5</v>
          </cell>
        </row>
        <row r="53">
          <cell r="A53">
            <v>14</v>
          </cell>
          <cell r="B53">
            <v>7.0000000000000009</v>
          </cell>
          <cell r="C53">
            <v>13</v>
          </cell>
          <cell r="E53">
            <v>4.5714285714285712</v>
          </cell>
          <cell r="F53">
            <v>10.428571428571429</v>
          </cell>
          <cell r="H53">
            <v>5.3</v>
          </cell>
          <cell r="I53">
            <v>11.200000000000001</v>
          </cell>
          <cell r="K53">
            <v>8.884615384615385</v>
          </cell>
          <cell r="L53">
            <v>4.8461538461538458</v>
          </cell>
          <cell r="N53">
            <v>8.4</v>
          </cell>
          <cell r="O53">
            <v>5.4</v>
          </cell>
          <cell r="Q53">
            <v>8.75</v>
          </cell>
          <cell r="R53">
            <v>5</v>
          </cell>
          <cell r="T53">
            <v>15.285714285714286</v>
          </cell>
          <cell r="U53">
            <v>9.5714285714285712</v>
          </cell>
          <cell r="W53">
            <v>15.285714285714286</v>
          </cell>
          <cell r="X53">
            <v>9.5714285714285712</v>
          </cell>
          <cell r="AC53">
            <v>9.7000000000000011</v>
          </cell>
          <cell r="AD53">
            <v>7.1</v>
          </cell>
          <cell r="AF53">
            <v>5</v>
          </cell>
        </row>
        <row r="54">
          <cell r="A54">
            <v>15</v>
          </cell>
          <cell r="B54">
            <v>4</v>
          </cell>
          <cell r="C54">
            <v>15.333333333333332</v>
          </cell>
          <cell r="E54">
            <v>9.3333333333333339</v>
          </cell>
          <cell r="F54">
            <v>11.833333333333334</v>
          </cell>
          <cell r="H54">
            <v>7.5555555555555554</v>
          </cell>
          <cell r="I54">
            <v>13</v>
          </cell>
          <cell r="K54">
            <v>4.4705882352941178</v>
          </cell>
          <cell r="L54">
            <v>5.4411764705882355</v>
          </cell>
          <cell r="N54">
            <v>4.5454545454545459</v>
          </cell>
          <cell r="O54">
            <v>7.2727272727272725</v>
          </cell>
          <cell r="Q54">
            <v>4.4888888888888889</v>
          </cell>
          <cell r="R54">
            <v>5.8888888888888884</v>
          </cell>
          <cell r="T54">
            <v>11.095238095238095</v>
          </cell>
          <cell r="U54">
            <v>13.523809523809524</v>
          </cell>
          <cell r="W54">
            <v>11.095238095238095</v>
          </cell>
          <cell r="X54">
            <v>13.523809523809524</v>
          </cell>
          <cell r="AC54">
            <v>7.6666666666666661</v>
          </cell>
          <cell r="AD54">
            <v>9.8958333333333321</v>
          </cell>
          <cell r="AF54">
            <v>5</v>
          </cell>
        </row>
        <row r="55">
          <cell r="A55">
            <v>16</v>
          </cell>
          <cell r="B55">
            <v>0</v>
          </cell>
          <cell r="C55">
            <v>0</v>
          </cell>
          <cell r="E55">
            <v>0</v>
          </cell>
          <cell r="F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Q55">
            <v>0</v>
          </cell>
          <cell r="R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AC55">
            <v>0</v>
          </cell>
          <cell r="AD55">
            <v>0</v>
          </cell>
          <cell r="AF55">
            <v>5</v>
          </cell>
        </row>
        <row r="56">
          <cell r="A56">
            <v>17</v>
          </cell>
          <cell r="B56">
            <v>12.25</v>
          </cell>
          <cell r="C56">
            <v>3</v>
          </cell>
          <cell r="E56">
            <v>14.2</v>
          </cell>
          <cell r="F56">
            <v>6.7</v>
          </cell>
          <cell r="H56">
            <v>13.642857142857142</v>
          </cell>
          <cell r="I56">
            <v>5.6428571428571423</v>
          </cell>
          <cell r="K56">
            <v>6.3571428571428568</v>
          </cell>
          <cell r="L56">
            <v>4.0714285714285721</v>
          </cell>
          <cell r="N56">
            <v>8.2758620689655178</v>
          </cell>
          <cell r="O56">
            <v>5.2413793103448274</v>
          </cell>
          <cell r="Q56">
            <v>7.333333333333333</v>
          </cell>
          <cell r="R56">
            <v>4.666666666666667</v>
          </cell>
          <cell r="T56">
            <v>17.083333333333332</v>
          </cell>
          <cell r="U56">
            <v>11.833333333333334</v>
          </cell>
          <cell r="W56">
            <v>17.083333333333332</v>
          </cell>
          <cell r="X56">
            <v>11.833333333333334</v>
          </cell>
          <cell r="AC56">
            <v>13.467065868263472</v>
          </cell>
          <cell r="AD56">
            <v>8.8682634730538918</v>
          </cell>
          <cell r="AF56">
            <v>5</v>
          </cell>
        </row>
        <row r="57">
          <cell r="A57">
            <v>18</v>
          </cell>
          <cell r="B57">
            <v>12</v>
          </cell>
          <cell r="C57">
            <v>4</v>
          </cell>
          <cell r="E57">
            <v>11.166666666666666</v>
          </cell>
          <cell r="F57">
            <v>5.166666666666667</v>
          </cell>
          <cell r="H57">
            <v>11.285714285714285</v>
          </cell>
          <cell r="I57">
            <v>5</v>
          </cell>
          <cell r="K57">
            <v>4.9090909090909092</v>
          </cell>
          <cell r="L57">
            <v>5.4545454545454541</v>
          </cell>
          <cell r="N57">
            <v>5.2424242424242422</v>
          </cell>
          <cell r="O57">
            <v>6.3636363636363633</v>
          </cell>
          <cell r="Q57">
            <v>5.0757575757575761</v>
          </cell>
          <cell r="R57">
            <v>5.9090909090909092</v>
          </cell>
          <cell r="T57">
            <v>7.5454545454545459</v>
          </cell>
          <cell r="U57">
            <v>6.0909090909090908</v>
          </cell>
          <cell r="W57">
            <v>7.5454545454545459</v>
          </cell>
          <cell r="X57">
            <v>6.0909090909090908</v>
          </cell>
          <cell r="AC57">
            <v>6.1052631578947363</v>
          </cell>
          <cell r="AD57">
            <v>5.8842105263157896</v>
          </cell>
          <cell r="AF57">
            <v>5</v>
          </cell>
        </row>
        <row r="58">
          <cell r="A58">
            <v>19</v>
          </cell>
          <cell r="B58">
            <v>5.8000000000000007</v>
          </cell>
          <cell r="C58">
            <v>8.4</v>
          </cell>
          <cell r="E58">
            <v>9.4</v>
          </cell>
          <cell r="F58">
            <v>9.6</v>
          </cell>
          <cell r="H58">
            <v>7.6</v>
          </cell>
          <cell r="I58">
            <v>9</v>
          </cell>
          <cell r="K58">
            <v>3.2758620689655173</v>
          </cell>
          <cell r="L58">
            <v>6</v>
          </cell>
          <cell r="N58">
            <v>6.4090909090909083</v>
          </cell>
          <cell r="O58">
            <v>6.3636363636363633</v>
          </cell>
          <cell r="Q58">
            <v>4.6274509803921564</v>
          </cell>
          <cell r="R58">
            <v>6.1568627450980395</v>
          </cell>
          <cell r="T58">
            <v>19.2</v>
          </cell>
          <cell r="U58">
            <v>7.55</v>
          </cell>
          <cell r="W58">
            <v>19.2</v>
          </cell>
          <cell r="X58">
            <v>7.55</v>
          </cell>
          <cell r="AC58">
            <v>10.693069306930694</v>
          </cell>
          <cell r="AD58">
            <v>6.990099009900991</v>
          </cell>
          <cell r="AF58">
            <v>5</v>
          </cell>
        </row>
        <row r="59">
          <cell r="A59">
            <v>20</v>
          </cell>
          <cell r="B59">
            <v>2</v>
          </cell>
          <cell r="C59">
            <v>16</v>
          </cell>
          <cell r="E59">
            <v>15</v>
          </cell>
          <cell r="F59">
            <v>6</v>
          </cell>
          <cell r="H59">
            <v>11.75</v>
          </cell>
          <cell r="I59">
            <v>8.5</v>
          </cell>
          <cell r="K59">
            <v>5.0666666666666664</v>
          </cell>
          <cell r="L59">
            <v>4.5111111111111111</v>
          </cell>
          <cell r="N59">
            <v>8.3103448275862064</v>
          </cell>
          <cell r="O59">
            <v>5.1034482758620694</v>
          </cell>
          <cell r="Q59">
            <v>6.3378378378378386</v>
          </cell>
          <cell r="R59">
            <v>4.743243243243243</v>
          </cell>
          <cell r="T59">
            <v>28.416666666666668</v>
          </cell>
          <cell r="U59">
            <v>12.361111111111111</v>
          </cell>
          <cell r="W59">
            <v>28.416666666666668</v>
          </cell>
          <cell r="X59">
            <v>12.361111111111111</v>
          </cell>
          <cell r="AC59">
            <v>16.941558441558442</v>
          </cell>
          <cell r="AD59">
            <v>8.5</v>
          </cell>
          <cell r="AF59">
            <v>5</v>
          </cell>
        </row>
        <row r="60">
          <cell r="A60">
            <v>21</v>
          </cell>
          <cell r="B60">
            <v>7.0000000000000009</v>
          </cell>
          <cell r="C60">
            <v>14.000000000000002</v>
          </cell>
          <cell r="E60">
            <v>19.400000000000002</v>
          </cell>
          <cell r="F60">
            <v>7.0000000000000009</v>
          </cell>
          <cell r="H60">
            <v>14.75</v>
          </cell>
          <cell r="I60">
            <v>9.625</v>
          </cell>
          <cell r="K60">
            <v>5.6470588235294121</v>
          </cell>
          <cell r="L60">
            <v>6.8235294117647065</v>
          </cell>
          <cell r="N60">
            <v>4.8823529411764701</v>
          </cell>
          <cell r="O60">
            <v>7.882352941176471</v>
          </cell>
          <cell r="Q60">
            <v>5.3921568627450984</v>
          </cell>
          <cell r="R60">
            <v>7.1764705882352935</v>
          </cell>
          <cell r="T60">
            <v>32.513513513513516</v>
          </cell>
          <cell r="U60">
            <v>8.0810810810810807</v>
          </cell>
          <cell r="W60">
            <v>32.513513513513516</v>
          </cell>
          <cell r="X60">
            <v>8.0810810810810807</v>
          </cell>
          <cell r="AC60">
            <v>21.045112781954884</v>
          </cell>
          <cell r="AD60">
            <v>7.8270676691729326</v>
          </cell>
          <cell r="AF60">
            <v>5</v>
          </cell>
        </row>
        <row r="61">
          <cell r="A61">
            <v>22</v>
          </cell>
          <cell r="B61">
            <v>3.5000000000000004</v>
          </cell>
          <cell r="C61">
            <v>8.5</v>
          </cell>
          <cell r="E61">
            <v>8.1666666666666661</v>
          </cell>
          <cell r="F61">
            <v>11</v>
          </cell>
          <cell r="H61">
            <v>7.0000000000000009</v>
          </cell>
          <cell r="I61">
            <v>10.375</v>
          </cell>
          <cell r="K61">
            <v>6.8297872340425529</v>
          </cell>
          <cell r="L61">
            <v>5.5106382978723403</v>
          </cell>
          <cell r="N61">
            <v>6.6571428571428575</v>
          </cell>
          <cell r="O61">
            <v>5.8571428571428577</v>
          </cell>
          <cell r="Q61">
            <v>6.7560975609756104</v>
          </cell>
          <cell r="R61">
            <v>5.6585365853658542</v>
          </cell>
          <cell r="T61">
            <v>27.524999999999999</v>
          </cell>
          <cell r="U61">
            <v>12.25</v>
          </cell>
          <cell r="W61">
            <v>27.524999999999999</v>
          </cell>
          <cell r="X61">
            <v>12.25</v>
          </cell>
          <cell r="AC61">
            <v>16.541176470588233</v>
          </cell>
          <cell r="AD61">
            <v>8.9823529411764707</v>
          </cell>
          <cell r="AF61">
            <v>5</v>
          </cell>
        </row>
        <row r="62">
          <cell r="A62">
            <v>23</v>
          </cell>
          <cell r="B62">
            <v>0</v>
          </cell>
          <cell r="C62">
            <v>0</v>
          </cell>
          <cell r="E62">
            <v>0</v>
          </cell>
          <cell r="F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AC62">
            <v>0</v>
          </cell>
          <cell r="AD62">
            <v>0</v>
          </cell>
          <cell r="AF62">
            <v>5</v>
          </cell>
        </row>
        <row r="63">
          <cell r="A63">
            <v>24</v>
          </cell>
          <cell r="B63">
            <v>6.6000000000000005</v>
          </cell>
          <cell r="C63">
            <v>11.799999999999999</v>
          </cell>
          <cell r="E63">
            <v>11.636363636363637</v>
          </cell>
          <cell r="F63">
            <v>9.7272727272727266</v>
          </cell>
          <cell r="H63">
            <v>10.0625</v>
          </cell>
          <cell r="I63">
            <v>10.375</v>
          </cell>
          <cell r="K63">
            <v>6.4883720930232567</v>
          </cell>
          <cell r="L63">
            <v>5.0697674418604652</v>
          </cell>
          <cell r="N63">
            <v>5.5294117647058822</v>
          </cell>
          <cell r="O63">
            <v>5.0588235294117645</v>
          </cell>
          <cell r="Q63">
            <v>6.2166666666666668</v>
          </cell>
          <cell r="R63">
            <v>5.0666666666666664</v>
          </cell>
          <cell r="T63">
            <v>37.516129032258064</v>
          </cell>
          <cell r="U63">
            <v>11.741935483870968</v>
          </cell>
          <cell r="W63">
            <v>37.516129032258064</v>
          </cell>
          <cell r="X63">
            <v>11.741935483870968</v>
          </cell>
          <cell r="AC63">
            <v>20.724637681159418</v>
          </cell>
          <cell r="AD63">
            <v>8.6811594202898554</v>
          </cell>
          <cell r="AF63">
            <v>5</v>
          </cell>
        </row>
        <row r="64">
          <cell r="A64">
            <v>25</v>
          </cell>
          <cell r="B64">
            <v>2.666666666666667</v>
          </cell>
          <cell r="C64">
            <v>13.333333333333334</v>
          </cell>
          <cell r="E64">
            <v>8</v>
          </cell>
          <cell r="F64">
            <v>9</v>
          </cell>
          <cell r="H64">
            <v>6.666666666666667</v>
          </cell>
          <cell r="I64">
            <v>10.083333333333332</v>
          </cell>
          <cell r="K64">
            <v>4.4761904761904763</v>
          </cell>
          <cell r="L64">
            <v>5.0476190476190474</v>
          </cell>
          <cell r="N64">
            <v>15.461538461538463</v>
          </cell>
          <cell r="O64">
            <v>6</v>
          </cell>
          <cell r="Q64">
            <v>7.0727272727272723</v>
          </cell>
          <cell r="R64">
            <v>5.2727272727272725</v>
          </cell>
          <cell r="T64">
            <v>14.374999999999998</v>
          </cell>
          <cell r="U64">
            <v>20.5</v>
          </cell>
          <cell r="W64">
            <v>14.374999999999998</v>
          </cell>
          <cell r="X64">
            <v>20.5</v>
          </cell>
          <cell r="AC64">
            <v>8.4216867469879517</v>
          </cell>
          <cell r="AD64">
            <v>8.9036144578313259</v>
          </cell>
          <cell r="AF64">
            <v>5</v>
          </cell>
        </row>
        <row r="65">
          <cell r="A65">
            <v>26</v>
          </cell>
          <cell r="B65">
            <v>5</v>
          </cell>
          <cell r="C65">
            <v>16</v>
          </cell>
          <cell r="E65">
            <v>9</v>
          </cell>
          <cell r="F65">
            <v>19.857142857142858</v>
          </cell>
          <cell r="H65">
            <v>8.5</v>
          </cell>
          <cell r="I65">
            <v>19.375</v>
          </cell>
          <cell r="K65">
            <v>5.1111111111111116</v>
          </cell>
          <cell r="L65">
            <v>6</v>
          </cell>
          <cell r="N65">
            <v>3.166666666666667</v>
          </cell>
          <cell r="O65">
            <v>7.0000000000000009</v>
          </cell>
          <cell r="Q65">
            <v>4.3333333333333339</v>
          </cell>
          <cell r="R65">
            <v>6.4</v>
          </cell>
          <cell r="T65">
            <v>10.549999999999999</v>
          </cell>
          <cell r="U65">
            <v>19.2</v>
          </cell>
          <cell r="W65">
            <v>10.549999999999999</v>
          </cell>
          <cell r="X65">
            <v>19.2</v>
          </cell>
          <cell r="AC65">
            <v>8.8095238095238102</v>
          </cell>
          <cell r="AD65">
            <v>16.174603174603174</v>
          </cell>
          <cell r="AF65">
            <v>5</v>
          </cell>
        </row>
        <row r="66">
          <cell r="A66">
            <v>27</v>
          </cell>
          <cell r="B66">
            <v>4.5999999999999996</v>
          </cell>
          <cell r="C66">
            <v>11.200000000000001</v>
          </cell>
          <cell r="E66">
            <v>6.5</v>
          </cell>
          <cell r="F66">
            <v>14.374999999999998</v>
          </cell>
          <cell r="H66">
            <v>5.7692307692307692</v>
          </cell>
          <cell r="I66">
            <v>13.153846153846155</v>
          </cell>
          <cell r="K66">
            <v>1.7000000000000002</v>
          </cell>
          <cell r="L66">
            <v>9.9</v>
          </cell>
          <cell r="N66">
            <v>4.2</v>
          </cell>
          <cell r="O66">
            <v>5.6000000000000005</v>
          </cell>
          <cell r="Q66">
            <v>2.9499999999999997</v>
          </cell>
          <cell r="R66">
            <v>7.75</v>
          </cell>
          <cell r="T66">
            <v>7.6956521739130439</v>
          </cell>
          <cell r="U66">
            <v>17.086956521739129</v>
          </cell>
          <cell r="W66">
            <v>7.6956521739130439</v>
          </cell>
          <cell r="X66">
            <v>17.086956521739129</v>
          </cell>
          <cell r="AC66">
            <v>6.1772151898734178</v>
          </cell>
          <cell r="AD66">
            <v>14.075949367088608</v>
          </cell>
          <cell r="AF66">
            <v>5</v>
          </cell>
        </row>
        <row r="67">
          <cell r="A67">
            <v>28</v>
          </cell>
          <cell r="B67">
            <v>4.666666666666667</v>
          </cell>
          <cell r="C67">
            <v>15.333333333333332</v>
          </cell>
          <cell r="E67">
            <v>3.1428571428571432</v>
          </cell>
          <cell r="F67">
            <v>13</v>
          </cell>
          <cell r="H67">
            <v>3.5999999999999996</v>
          </cell>
          <cell r="I67">
            <v>13.700000000000001</v>
          </cell>
          <cell r="K67">
            <v>2.3043478260869565</v>
          </cell>
          <cell r="L67">
            <v>7.304347826086957</v>
          </cell>
          <cell r="N67">
            <v>1.6363636363636365</v>
          </cell>
          <cell r="O67">
            <v>9</v>
          </cell>
          <cell r="Q67">
            <v>2.0882352941176472</v>
          </cell>
          <cell r="R67">
            <v>7.8529411764705888</v>
          </cell>
          <cell r="T67">
            <v>7.384615384615385</v>
          </cell>
          <cell r="U67">
            <v>16.038461538461537</v>
          </cell>
          <cell r="W67">
            <v>7.384615384615385</v>
          </cell>
          <cell r="X67">
            <v>16.038461538461537</v>
          </cell>
          <cell r="AC67">
            <v>5.1145833333333339</v>
          </cell>
          <cell r="AD67">
            <v>12.895833333333334</v>
          </cell>
          <cell r="AF67">
            <v>5</v>
          </cell>
        </row>
        <row r="68">
          <cell r="A68">
            <v>29</v>
          </cell>
          <cell r="B68">
            <v>0</v>
          </cell>
          <cell r="C68">
            <v>0</v>
          </cell>
          <cell r="E68">
            <v>0</v>
          </cell>
          <cell r="F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Q68">
            <v>0</v>
          </cell>
          <cell r="R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AC68">
            <v>0</v>
          </cell>
          <cell r="AD68">
            <v>0</v>
          </cell>
          <cell r="AF68">
            <v>5</v>
          </cell>
        </row>
        <row r="69">
          <cell r="A69">
            <v>30</v>
          </cell>
          <cell r="B69">
            <v>0</v>
          </cell>
          <cell r="C69">
            <v>0</v>
          </cell>
          <cell r="E69">
            <v>0</v>
          </cell>
          <cell r="F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Q69">
            <v>0</v>
          </cell>
          <cell r="R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AC69">
            <v>0</v>
          </cell>
          <cell r="AD69">
            <v>0</v>
          </cell>
          <cell r="AF69">
            <v>5</v>
          </cell>
        </row>
        <row r="70">
          <cell r="A70">
            <v>31</v>
          </cell>
          <cell r="B70">
            <v>0</v>
          </cell>
          <cell r="C70">
            <v>0</v>
          </cell>
          <cell r="E70">
            <v>0</v>
          </cell>
          <cell r="F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Q70">
            <v>0</v>
          </cell>
          <cell r="R70">
            <v>0</v>
          </cell>
          <cell r="T70">
            <v>0</v>
          </cell>
          <cell r="U70">
            <v>0</v>
          </cell>
          <cell r="W70">
            <v>0</v>
          </cell>
          <cell r="X70">
            <v>0</v>
          </cell>
          <cell r="AC70">
            <v>0</v>
          </cell>
          <cell r="AD70">
            <v>0</v>
          </cell>
          <cell r="AF70">
            <v>5</v>
          </cell>
        </row>
        <row r="71">
          <cell r="A71" t="str">
            <v xml:space="preserve">Mar/01 </v>
          </cell>
          <cell r="B71">
            <v>18</v>
          </cell>
          <cell r="C71">
            <v>2</v>
          </cell>
          <cell r="E71">
            <v>12</v>
          </cell>
          <cell r="F71">
            <v>2.5</v>
          </cell>
          <cell r="H71">
            <v>13.200000000000001</v>
          </cell>
          <cell r="I71">
            <v>2.4</v>
          </cell>
          <cell r="K71">
            <v>5.6923076923076925</v>
          </cell>
          <cell r="L71">
            <v>1.2307692307692308</v>
          </cell>
          <cell r="N71">
            <v>6.166666666666667</v>
          </cell>
          <cell r="O71">
            <v>2.3333333333333335</v>
          </cell>
          <cell r="Q71">
            <v>5.92</v>
          </cell>
          <cell r="R71">
            <v>1.76</v>
          </cell>
          <cell r="T71">
            <v>6</v>
          </cell>
          <cell r="U71">
            <v>17.18181818181818</v>
          </cell>
          <cell r="W71">
            <v>6</v>
          </cell>
          <cell r="X71">
            <v>17.18181818181818</v>
          </cell>
          <cell r="AC71">
            <v>6.4594594594594597</v>
          </cell>
          <cell r="AD71">
            <v>10.972972972972974</v>
          </cell>
          <cell r="AF71">
            <v>5</v>
          </cell>
        </row>
        <row r="72">
          <cell r="A72">
            <v>2</v>
          </cell>
          <cell r="B72">
            <v>0</v>
          </cell>
          <cell r="C72">
            <v>0</v>
          </cell>
          <cell r="E72">
            <v>0</v>
          </cell>
          <cell r="F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AC72">
            <v>0</v>
          </cell>
          <cell r="AD72">
            <v>0</v>
          </cell>
          <cell r="AF72">
            <v>5</v>
          </cell>
        </row>
        <row r="73">
          <cell r="A73">
            <v>3</v>
          </cell>
          <cell r="B73">
            <v>7.333333333333333</v>
          </cell>
          <cell r="C73">
            <v>5.6666666666666661</v>
          </cell>
          <cell r="E73">
            <v>12.625</v>
          </cell>
          <cell r="F73">
            <v>4.125</v>
          </cell>
          <cell r="H73">
            <v>11.181818181818182</v>
          </cell>
          <cell r="I73">
            <v>4.5454545454545459</v>
          </cell>
          <cell r="K73">
            <v>6.68</v>
          </cell>
          <cell r="L73">
            <v>3.7199999999999998</v>
          </cell>
          <cell r="N73">
            <v>8.4666666666666668</v>
          </cell>
          <cell r="O73">
            <v>3.6333333333333337</v>
          </cell>
          <cell r="Q73">
            <v>7.6545454545454543</v>
          </cell>
          <cell r="R73">
            <v>3.6727272727272728</v>
          </cell>
          <cell r="T73">
            <v>10.127659574468085</v>
          </cell>
          <cell r="U73">
            <v>12.553191489361701</v>
          </cell>
          <cell r="W73">
            <v>10.127659574468085</v>
          </cell>
          <cell r="X73">
            <v>12.553191489361701</v>
          </cell>
          <cell r="AC73">
            <v>9.35</v>
          </cell>
          <cell r="AD73">
            <v>8.9499999999999993</v>
          </cell>
          <cell r="AF73">
            <v>5</v>
          </cell>
        </row>
        <row r="74">
          <cell r="A74">
            <v>4</v>
          </cell>
          <cell r="B74">
            <v>0</v>
          </cell>
          <cell r="C74">
            <v>0</v>
          </cell>
          <cell r="E74">
            <v>0</v>
          </cell>
          <cell r="F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AC74">
            <v>0</v>
          </cell>
          <cell r="AD74">
            <v>0</v>
          </cell>
          <cell r="AF74">
            <v>5</v>
          </cell>
        </row>
        <row r="75">
          <cell r="A75">
            <v>5</v>
          </cell>
          <cell r="B75">
            <v>4.3333333333333339</v>
          </cell>
          <cell r="C75">
            <v>4.3333333333333339</v>
          </cell>
          <cell r="E75">
            <v>2</v>
          </cell>
          <cell r="F75">
            <v>16.333333333333332</v>
          </cell>
          <cell r="H75">
            <v>2.7777777777777777</v>
          </cell>
          <cell r="I75">
            <v>12.333333333333334</v>
          </cell>
          <cell r="K75">
            <v>1.6666666666666667</v>
          </cell>
          <cell r="L75">
            <v>6.6333333333333329</v>
          </cell>
          <cell r="N75">
            <v>3.3142857142857141</v>
          </cell>
          <cell r="O75">
            <v>8.8285714285714292</v>
          </cell>
          <cell r="Q75">
            <v>2.5538461538461537</v>
          </cell>
          <cell r="R75">
            <v>7.815384615384616</v>
          </cell>
          <cell r="T75">
            <v>8.3720930232558146</v>
          </cell>
          <cell r="U75">
            <v>17.232558139534884</v>
          </cell>
          <cell r="W75">
            <v>8.3720930232558146</v>
          </cell>
          <cell r="X75">
            <v>17.232558139534884</v>
          </cell>
          <cell r="AC75">
            <v>5.6937500000000005</v>
          </cell>
          <cell r="AD75">
            <v>13.13125</v>
          </cell>
          <cell r="AF75">
            <v>5</v>
          </cell>
        </row>
        <row r="76">
          <cell r="A76">
            <v>6</v>
          </cell>
          <cell r="B76">
            <v>2.5151515151515151</v>
          </cell>
          <cell r="C76">
            <v>6.5151515151515156</v>
          </cell>
          <cell r="E76">
            <v>1.1142857142857143</v>
          </cell>
          <cell r="F76">
            <v>8.742857142857142</v>
          </cell>
          <cell r="H76">
            <v>1.7941176470588234</v>
          </cell>
          <cell r="I76">
            <v>7.6617647058823524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7.8666666666666663</v>
          </cell>
          <cell r="U76">
            <v>16.333333333333332</v>
          </cell>
          <cell r="W76">
            <v>8.2727272727272734</v>
          </cell>
          <cell r="X76">
            <v>16.878787878787879</v>
          </cell>
          <cell r="AC76">
            <v>4.8167938931297716</v>
          </cell>
          <cell r="AD76">
            <v>11.969465648854962</v>
          </cell>
          <cell r="AF76">
            <v>5</v>
          </cell>
        </row>
        <row r="77">
          <cell r="A77">
            <v>7</v>
          </cell>
          <cell r="B77">
            <v>2.0555555555555558</v>
          </cell>
          <cell r="C77">
            <v>8.0555555555555554</v>
          </cell>
          <cell r="E77">
            <v>1.7999999999999998</v>
          </cell>
          <cell r="F77">
            <v>7.1999999999999993</v>
          </cell>
          <cell r="H77">
            <v>1.8958333333333335</v>
          </cell>
          <cell r="I77">
            <v>7.5208333333333339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Q77">
            <v>0</v>
          </cell>
          <cell r="R77">
            <v>0</v>
          </cell>
          <cell r="T77">
            <v>6.4761904761904754</v>
          </cell>
          <cell r="U77">
            <v>17.571428571428569</v>
          </cell>
          <cell r="W77">
            <v>6.4761904761904754</v>
          </cell>
          <cell r="X77">
            <v>17.571428571428569</v>
          </cell>
          <cell r="AC77">
            <v>4.0333333333333332</v>
          </cell>
          <cell r="AD77">
            <v>12.211111111111112</v>
          </cell>
          <cell r="AF77">
            <v>5</v>
          </cell>
        </row>
        <row r="78">
          <cell r="A78">
            <v>8</v>
          </cell>
          <cell r="B78">
            <v>0</v>
          </cell>
          <cell r="C78">
            <v>6.5</v>
          </cell>
          <cell r="E78">
            <v>4</v>
          </cell>
          <cell r="F78">
            <v>7.3999999999999995</v>
          </cell>
          <cell r="H78">
            <v>2.8571428571428572</v>
          </cell>
          <cell r="I78">
            <v>7.1428571428571423</v>
          </cell>
          <cell r="K78">
            <v>2.1724137931034484</v>
          </cell>
          <cell r="L78">
            <v>6.8275862068965516</v>
          </cell>
          <cell r="N78">
            <v>1.7999999999999998</v>
          </cell>
          <cell r="O78">
            <v>7.3999999999999995</v>
          </cell>
          <cell r="Q78">
            <v>2.0204081632653059</v>
          </cell>
          <cell r="R78">
            <v>7.0612244897959187</v>
          </cell>
          <cell r="T78">
            <v>7.764705882352942</v>
          </cell>
          <cell r="U78">
            <v>22.470588235294116</v>
          </cell>
          <cell r="W78">
            <v>7.764705882352942</v>
          </cell>
          <cell r="X78">
            <v>22.470588235294116</v>
          </cell>
          <cell r="AC78">
            <v>5.217741935483871</v>
          </cell>
          <cell r="AD78">
            <v>15.516129032258064</v>
          </cell>
          <cell r="AF78">
            <v>5</v>
          </cell>
        </row>
        <row r="79">
          <cell r="A79">
            <v>9</v>
          </cell>
          <cell r="B79">
            <v>0</v>
          </cell>
          <cell r="C79">
            <v>0</v>
          </cell>
          <cell r="E79">
            <v>0</v>
          </cell>
          <cell r="F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AC79">
            <v>0</v>
          </cell>
          <cell r="AD79">
            <v>0</v>
          </cell>
          <cell r="AF79">
            <v>5</v>
          </cell>
        </row>
        <row r="80">
          <cell r="A80">
            <v>10</v>
          </cell>
          <cell r="B80">
            <v>5</v>
          </cell>
          <cell r="C80">
            <v>5</v>
          </cell>
          <cell r="E80">
            <v>4.4285714285714279</v>
          </cell>
          <cell r="F80">
            <v>8.7142857142857153</v>
          </cell>
          <cell r="H80">
            <v>4.5999999999999996</v>
          </cell>
          <cell r="I80">
            <v>7.6</v>
          </cell>
          <cell r="K80">
            <v>4</v>
          </cell>
          <cell r="L80">
            <v>6.6470588235294112</v>
          </cell>
          <cell r="N80">
            <v>3.7058823529411762</v>
          </cell>
          <cell r="O80">
            <v>7.2647058823529411</v>
          </cell>
          <cell r="Q80">
            <v>3.8529411764705883</v>
          </cell>
          <cell r="R80">
            <v>6.9558823529411766</v>
          </cell>
          <cell r="T80">
            <v>7.8</v>
          </cell>
          <cell r="U80">
            <v>13.914285714285715</v>
          </cell>
          <cell r="W80">
            <v>7.8</v>
          </cell>
          <cell r="X80">
            <v>13.914285714285715</v>
          </cell>
          <cell r="AC80">
            <v>5.7702702702702702</v>
          </cell>
          <cell r="AD80">
            <v>10.29054054054054</v>
          </cell>
          <cell r="AF80">
            <v>5</v>
          </cell>
        </row>
        <row r="81">
          <cell r="A81">
            <v>11</v>
          </cell>
          <cell r="B81">
            <v>2.2608695652173916</v>
          </cell>
          <cell r="C81">
            <v>9.2173913043478262</v>
          </cell>
          <cell r="E81">
            <v>2.25</v>
          </cell>
          <cell r="F81">
            <v>8.5</v>
          </cell>
          <cell r="H81">
            <v>2.2564102564102564</v>
          </cell>
          <cell r="I81">
            <v>8.9230769230769234</v>
          </cell>
          <cell r="K81">
            <v>2.1052631578947367</v>
          </cell>
          <cell r="L81">
            <v>5.2130325814536338</v>
          </cell>
          <cell r="N81">
            <v>4.1666666666666661</v>
          </cell>
          <cell r="O81">
            <v>5.916666666666667</v>
          </cell>
          <cell r="Q81">
            <v>2.581888246628131</v>
          </cell>
          <cell r="R81">
            <v>5.3757225433526017</v>
          </cell>
          <cell r="T81">
            <v>7.4615384615384608</v>
          </cell>
          <cell r="U81">
            <v>15.153846153846153</v>
          </cell>
          <cell r="W81">
            <v>7.4615384615384608</v>
          </cell>
          <cell r="X81">
            <v>15.153846153846153</v>
          </cell>
          <cell r="AC81">
            <v>4.7866256049274085</v>
          </cell>
          <cell r="AD81">
            <v>10.153981522217334</v>
          </cell>
          <cell r="AF81">
            <v>5</v>
          </cell>
        </row>
        <row r="82">
          <cell r="A82">
            <v>12</v>
          </cell>
          <cell r="B82">
            <v>2.75</v>
          </cell>
          <cell r="C82">
            <v>8.75</v>
          </cell>
          <cell r="E82">
            <v>7.6666666666666661</v>
          </cell>
          <cell r="F82">
            <v>11.333333333333332</v>
          </cell>
          <cell r="H82">
            <v>4.8571428571428568</v>
          </cell>
          <cell r="I82">
            <v>9.8571428571428577</v>
          </cell>
          <cell r="K82">
            <v>1.4848484848484849</v>
          </cell>
          <cell r="L82">
            <v>6.0909090909090908</v>
          </cell>
          <cell r="N82">
            <v>3.4666666666666663</v>
          </cell>
          <cell r="O82">
            <v>7.4666666666666677</v>
          </cell>
          <cell r="Q82">
            <v>2.1041666666666665</v>
          </cell>
          <cell r="R82">
            <v>6.520833333333333</v>
          </cell>
          <cell r="T82">
            <v>8.6190476190476186</v>
          </cell>
          <cell r="U82">
            <v>16.80952380952381</v>
          </cell>
          <cell r="W82">
            <v>8.6190476190476186</v>
          </cell>
          <cell r="X82">
            <v>16.80952380952381</v>
          </cell>
          <cell r="AC82">
            <v>5.123711340206186</v>
          </cell>
          <cell r="AD82">
            <v>11.216494845360824</v>
          </cell>
          <cell r="AF82">
            <v>5</v>
          </cell>
        </row>
        <row r="83">
          <cell r="A83">
            <v>13</v>
          </cell>
          <cell r="B83">
            <v>4</v>
          </cell>
          <cell r="C83">
            <v>12</v>
          </cell>
          <cell r="E83">
            <v>4</v>
          </cell>
          <cell r="F83">
            <v>9.75</v>
          </cell>
          <cell r="H83">
            <v>4</v>
          </cell>
          <cell r="I83">
            <v>10.199999999999999</v>
          </cell>
          <cell r="K83">
            <v>2.2939068100358422</v>
          </cell>
          <cell r="L83">
            <v>5.913978494623656</v>
          </cell>
          <cell r="N83">
            <v>1.7999999999999998</v>
          </cell>
          <cell r="O83">
            <v>8.7999999999999989</v>
          </cell>
          <cell r="Q83">
            <v>2.1635883905013191</v>
          </cell>
          <cell r="R83">
            <v>6.6754617414248028</v>
          </cell>
          <cell r="T83">
            <v>10.285714285714285</v>
          </cell>
          <cell r="U83">
            <v>31.428571428571427</v>
          </cell>
          <cell r="W83">
            <v>10.285714285714285</v>
          </cell>
          <cell r="X83">
            <v>31.428571428571427</v>
          </cell>
          <cell r="AC83">
            <v>4.3233743409490337</v>
          </cell>
          <cell r="AD83">
            <v>13.075571177504393</v>
          </cell>
          <cell r="AF83">
            <v>5</v>
          </cell>
        </row>
        <row r="84">
          <cell r="A84">
            <v>14</v>
          </cell>
          <cell r="B84">
            <v>2</v>
          </cell>
          <cell r="C84">
            <v>7.0000000000000009</v>
          </cell>
          <cell r="E84">
            <v>3.6666666666666665</v>
          </cell>
          <cell r="F84">
            <v>6.833333333333333</v>
          </cell>
          <cell r="H84">
            <v>3.25</v>
          </cell>
          <cell r="I84">
            <v>6.8750000000000009</v>
          </cell>
          <cell r="K84">
            <v>2.8214285714285712</v>
          </cell>
          <cell r="L84">
            <v>4.9285714285714288</v>
          </cell>
          <cell r="N84">
            <v>2.7272727272727271</v>
          </cell>
          <cell r="O84">
            <v>8.9090909090909101</v>
          </cell>
          <cell r="Q84">
            <v>2.7948717948717947</v>
          </cell>
          <cell r="R84">
            <v>6.0512820512820511</v>
          </cell>
          <cell r="T84">
            <v>6.583333333333333</v>
          </cell>
          <cell r="U84">
            <v>19.416666666666664</v>
          </cell>
          <cell r="W84">
            <v>6.583333333333333</v>
          </cell>
          <cell r="X84">
            <v>19.416666666666664</v>
          </cell>
          <cell r="AC84">
            <v>4.1267605633802811</v>
          </cell>
          <cell r="AD84">
            <v>10.661971830985916</v>
          </cell>
          <cell r="AF84">
            <v>5</v>
          </cell>
        </row>
        <row r="85">
          <cell r="A85">
            <v>15</v>
          </cell>
          <cell r="B85">
            <v>4.3999999999999995</v>
          </cell>
          <cell r="C85">
            <v>6.4</v>
          </cell>
          <cell r="E85">
            <v>3.3333333333333335</v>
          </cell>
          <cell r="F85">
            <v>4</v>
          </cell>
          <cell r="H85">
            <v>3.8181818181818183</v>
          </cell>
          <cell r="I85">
            <v>5.0909090909090908</v>
          </cell>
          <cell r="K85">
            <v>3.4000000000000004</v>
          </cell>
          <cell r="L85">
            <v>4.1333333333333329</v>
          </cell>
          <cell r="N85">
            <v>4.833333333333333</v>
          </cell>
          <cell r="O85">
            <v>6.25</v>
          </cell>
          <cell r="Q85">
            <v>3.8095238095238098</v>
          </cell>
          <cell r="R85">
            <v>4.7380952380952381</v>
          </cell>
          <cell r="T85">
            <v>19.777777777777779</v>
          </cell>
          <cell r="U85">
            <v>14.333333333333334</v>
          </cell>
          <cell r="W85">
            <v>19.777777777777779</v>
          </cell>
          <cell r="X85">
            <v>14.333333333333334</v>
          </cell>
          <cell r="AC85">
            <v>10.269662921348315</v>
          </cell>
          <cell r="AD85">
            <v>8.6629213483146064</v>
          </cell>
          <cell r="AF85">
            <v>5</v>
          </cell>
        </row>
        <row r="86">
          <cell r="A86">
            <v>16</v>
          </cell>
          <cell r="B86">
            <v>8</v>
          </cell>
          <cell r="C86">
            <v>4</v>
          </cell>
          <cell r="E86">
            <v>7.0000000000000009</v>
          </cell>
          <cell r="F86">
            <v>9</v>
          </cell>
          <cell r="H86">
            <v>7.333333333333333</v>
          </cell>
          <cell r="I86">
            <v>7.333333333333333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Q86">
            <v>0</v>
          </cell>
          <cell r="R86">
            <v>0</v>
          </cell>
          <cell r="T86">
            <v>0</v>
          </cell>
          <cell r="U86">
            <v>0</v>
          </cell>
          <cell r="W86">
            <v>0</v>
          </cell>
          <cell r="X86">
            <v>0</v>
          </cell>
          <cell r="AC86">
            <v>7.333333333333333</v>
          </cell>
          <cell r="AD86">
            <v>7.333333333333333</v>
          </cell>
          <cell r="AF86">
            <v>5</v>
          </cell>
        </row>
        <row r="87">
          <cell r="A87">
            <v>17</v>
          </cell>
          <cell r="B87">
            <v>3</v>
          </cell>
          <cell r="C87">
            <v>5</v>
          </cell>
          <cell r="E87">
            <v>3.3333333333333335</v>
          </cell>
          <cell r="F87">
            <v>6.666666666666667</v>
          </cell>
          <cell r="H87">
            <v>3.2857142857142856</v>
          </cell>
          <cell r="I87">
            <v>6.4285714285714279</v>
          </cell>
          <cell r="K87">
            <v>3.4285714285714288</v>
          </cell>
          <cell r="L87">
            <v>5</v>
          </cell>
          <cell r="N87">
            <v>2.3513513513513513</v>
          </cell>
          <cell r="O87">
            <v>6.756756756756757</v>
          </cell>
          <cell r="Q87">
            <v>2.8153846153846156</v>
          </cell>
          <cell r="R87">
            <v>6</v>
          </cell>
          <cell r="T87">
            <v>2.9333333333333331</v>
          </cell>
          <cell r="U87">
            <v>5.6666666666666661</v>
          </cell>
          <cell r="W87">
            <v>2.9333333333333331</v>
          </cell>
          <cell r="X87">
            <v>5.6666666666666661</v>
          </cell>
          <cell r="AC87">
            <v>2.90625</v>
          </cell>
          <cell r="AD87">
            <v>5.807291666666667</v>
          </cell>
          <cell r="AF87">
            <v>5</v>
          </cell>
        </row>
        <row r="88">
          <cell r="A88">
            <v>18</v>
          </cell>
          <cell r="B88">
            <v>2.666666666666667</v>
          </cell>
          <cell r="C88">
            <v>6.666666666666667</v>
          </cell>
          <cell r="E88">
            <v>4.1666666666666661</v>
          </cell>
          <cell r="F88">
            <v>6.3333333333333339</v>
          </cell>
          <cell r="H88">
            <v>3.6666666666666665</v>
          </cell>
          <cell r="I88">
            <v>6.4444444444444446</v>
          </cell>
          <cell r="K88">
            <v>2.8000000000000003</v>
          </cell>
          <cell r="L88">
            <v>4.1666666666666661</v>
          </cell>
          <cell r="N88">
            <v>3.0909090909090908</v>
          </cell>
          <cell r="O88">
            <v>5.3030303030303028</v>
          </cell>
          <cell r="Q88">
            <v>2.9523809523809526</v>
          </cell>
          <cell r="R88">
            <v>4.7619047619047619</v>
          </cell>
          <cell r="T88">
            <v>8.545454545454545</v>
          </cell>
          <cell r="U88">
            <v>10.151515151515152</v>
          </cell>
          <cell r="W88">
            <v>8.545454545454545</v>
          </cell>
          <cell r="X88">
            <v>10.151515151515152</v>
          </cell>
          <cell r="AC88">
            <v>5.6739130434782608</v>
          </cell>
          <cell r="AD88">
            <v>7.4492753623188417</v>
          </cell>
          <cell r="AF88">
            <v>5</v>
          </cell>
        </row>
        <row r="89">
          <cell r="A89">
            <v>19</v>
          </cell>
          <cell r="B89">
            <v>0</v>
          </cell>
          <cell r="C89">
            <v>0</v>
          </cell>
          <cell r="E89">
            <v>6</v>
          </cell>
          <cell r="F89">
            <v>7.5</v>
          </cell>
          <cell r="H89">
            <v>6</v>
          </cell>
          <cell r="I89">
            <v>7.5</v>
          </cell>
          <cell r="K89">
            <v>3.7370242214532867</v>
          </cell>
          <cell r="L89">
            <v>4.8788927335640135</v>
          </cell>
          <cell r="N89">
            <v>4.3571428571428577</v>
          </cell>
          <cell r="O89">
            <v>4.5357142857142856</v>
          </cell>
          <cell r="Q89">
            <v>4.0421792618629171</v>
          </cell>
          <cell r="R89">
            <v>4.7100175746924426</v>
          </cell>
          <cell r="T89">
            <v>16.71875</v>
          </cell>
          <cell r="U89">
            <v>8.375</v>
          </cell>
          <cell r="W89">
            <v>16.71875</v>
          </cell>
          <cell r="X89">
            <v>8.375</v>
          </cell>
          <cell r="AC89">
            <v>10.527974783293931</v>
          </cell>
          <cell r="AD89">
            <v>6.6903073286052006</v>
          </cell>
          <cell r="AF89">
            <v>5</v>
          </cell>
        </row>
        <row r="90">
          <cell r="A90">
            <v>20</v>
          </cell>
          <cell r="B90">
            <v>4.2</v>
          </cell>
          <cell r="C90">
            <v>4.2</v>
          </cell>
          <cell r="E90">
            <v>2.833333333333333</v>
          </cell>
          <cell r="F90">
            <v>4.5</v>
          </cell>
          <cell r="H90">
            <v>3.4545454545454546</v>
          </cell>
          <cell r="I90">
            <v>4.3636363636363642</v>
          </cell>
          <cell r="K90">
            <v>3.0789473684210527</v>
          </cell>
          <cell r="L90">
            <v>4.7368421052631584</v>
          </cell>
          <cell r="N90">
            <v>2.52</v>
          </cell>
          <cell r="O90">
            <v>4.92</v>
          </cell>
          <cell r="Q90">
            <v>2.8571428571428572</v>
          </cell>
          <cell r="R90">
            <v>4.8095238095238093</v>
          </cell>
          <cell r="T90">
            <v>14.875</v>
          </cell>
          <cell r="U90">
            <v>9.1999999999999993</v>
          </cell>
          <cell r="W90">
            <v>14.875</v>
          </cell>
          <cell r="X90">
            <v>9.1999999999999993</v>
          </cell>
          <cell r="AC90">
            <v>9.1428571428571423</v>
          </cell>
          <cell r="AD90">
            <v>7.0584415584415581</v>
          </cell>
          <cell r="AF90">
            <v>5</v>
          </cell>
        </row>
        <row r="91">
          <cell r="A91">
            <v>21</v>
          </cell>
          <cell r="B91">
            <v>0</v>
          </cell>
          <cell r="C91">
            <v>9</v>
          </cell>
          <cell r="E91">
            <v>7.5</v>
          </cell>
          <cell r="F91">
            <v>8.5</v>
          </cell>
          <cell r="H91">
            <v>5</v>
          </cell>
          <cell r="I91">
            <v>8.6666666666666679</v>
          </cell>
          <cell r="K91">
            <v>4.9444444444444446</v>
          </cell>
          <cell r="L91">
            <v>4.833333333333333</v>
          </cell>
          <cell r="N91">
            <v>5.9411764705882355</v>
          </cell>
          <cell r="O91">
            <v>4.9411764705882346</v>
          </cell>
          <cell r="Q91">
            <v>5.2641509433962268</v>
          </cell>
          <cell r="R91">
            <v>4.867924528301887</v>
          </cell>
          <cell r="T91">
            <v>11.62962962962963</v>
          </cell>
          <cell r="U91">
            <v>10.333333333333334</v>
          </cell>
          <cell r="W91">
            <v>11.62962962962963</v>
          </cell>
          <cell r="X91">
            <v>10.333333333333334</v>
          </cell>
          <cell r="AC91">
            <v>8.2920353982300874</v>
          </cell>
          <cell r="AD91">
            <v>7.6814159292035402</v>
          </cell>
          <cell r="AF91">
            <v>5</v>
          </cell>
        </row>
        <row r="92">
          <cell r="A92">
            <v>22</v>
          </cell>
          <cell r="B92">
            <v>5</v>
          </cell>
          <cell r="C92">
            <v>5.3333333333333339</v>
          </cell>
          <cell r="E92">
            <v>3.8</v>
          </cell>
          <cell r="F92">
            <v>5.8000000000000007</v>
          </cell>
          <cell r="H92">
            <v>4.25</v>
          </cell>
          <cell r="I92">
            <v>5.625</v>
          </cell>
          <cell r="K92">
            <v>4</v>
          </cell>
          <cell r="L92">
            <v>4.8205128205128203</v>
          </cell>
          <cell r="N92">
            <v>4.16</v>
          </cell>
          <cell r="O92">
            <v>5.64</v>
          </cell>
          <cell r="Q92">
            <v>4.0625</v>
          </cell>
          <cell r="R92">
            <v>5.140625</v>
          </cell>
          <cell r="T92">
            <v>14.636363636363637</v>
          </cell>
          <cell r="U92">
            <v>9.0303030303030294</v>
          </cell>
          <cell r="W92">
            <v>14.636363636363637</v>
          </cell>
          <cell r="X92">
            <v>9.0303030303030294</v>
          </cell>
          <cell r="AC92">
            <v>9.1304347826086953</v>
          </cell>
          <cell r="AD92">
            <v>7.0289855072463769</v>
          </cell>
          <cell r="AF92">
            <v>5</v>
          </cell>
        </row>
        <row r="93">
          <cell r="A93">
            <v>23</v>
          </cell>
          <cell r="B93">
            <v>0</v>
          </cell>
          <cell r="C93">
            <v>0</v>
          </cell>
          <cell r="E93">
            <v>4.75</v>
          </cell>
          <cell r="F93">
            <v>5.25</v>
          </cell>
          <cell r="H93">
            <v>4.75</v>
          </cell>
          <cell r="I93">
            <v>5.25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W93">
            <v>0</v>
          </cell>
          <cell r="X93">
            <v>0</v>
          </cell>
          <cell r="AC93">
            <v>4.75</v>
          </cell>
          <cell r="AD93">
            <v>5.25</v>
          </cell>
          <cell r="AF93">
            <v>5</v>
          </cell>
        </row>
        <row r="94">
          <cell r="A94">
            <v>24</v>
          </cell>
          <cell r="B94">
            <v>0</v>
          </cell>
          <cell r="C94">
            <v>0</v>
          </cell>
          <cell r="E94">
            <v>4</v>
          </cell>
          <cell r="F94">
            <v>2.6</v>
          </cell>
          <cell r="H94">
            <v>4</v>
          </cell>
          <cell r="I94">
            <v>2.6</v>
          </cell>
          <cell r="K94">
            <v>6.583333333333333</v>
          </cell>
          <cell r="L94">
            <v>4.2291666666666661</v>
          </cell>
          <cell r="N94">
            <v>10.24</v>
          </cell>
          <cell r="O94">
            <v>4.96</v>
          </cell>
          <cell r="Q94">
            <v>7.8356164383561646</v>
          </cell>
          <cell r="R94">
            <v>4.4794520547945211</v>
          </cell>
          <cell r="T94">
            <v>18.285714285714285</v>
          </cell>
          <cell r="U94">
            <v>15.333333333333332</v>
          </cell>
          <cell r="W94">
            <v>18.285714285714285</v>
          </cell>
          <cell r="X94">
            <v>15.333333333333332</v>
          </cell>
          <cell r="AC94">
            <v>11.333333333333332</v>
          </cell>
          <cell r="AD94">
            <v>8.2000000000000011</v>
          </cell>
          <cell r="AF94">
            <v>5</v>
          </cell>
        </row>
        <row r="95">
          <cell r="A95">
            <v>25</v>
          </cell>
          <cell r="B95">
            <v>4.5</v>
          </cell>
          <cell r="C95">
            <v>6</v>
          </cell>
          <cell r="E95">
            <v>6.4</v>
          </cell>
          <cell r="F95">
            <v>4.8</v>
          </cell>
          <cell r="H95">
            <v>5.8571428571428577</v>
          </cell>
          <cell r="I95">
            <v>5.1428571428571423</v>
          </cell>
          <cell r="K95">
            <v>6.1153846153846159</v>
          </cell>
          <cell r="L95">
            <v>4.365384615384615</v>
          </cell>
          <cell r="N95">
            <v>9.6666666666666661</v>
          </cell>
          <cell r="O95">
            <v>4.666666666666667</v>
          </cell>
          <cell r="Q95">
            <v>7.0285714285714285</v>
          </cell>
          <cell r="R95">
            <v>4.4428571428571431</v>
          </cell>
          <cell r="T95">
            <v>6.5</v>
          </cell>
          <cell r="U95">
            <v>12.5</v>
          </cell>
          <cell r="W95">
            <v>6.5</v>
          </cell>
          <cell r="X95">
            <v>12.5</v>
          </cell>
          <cell r="AC95">
            <v>6.849462365591398</v>
          </cell>
          <cell r="AD95">
            <v>5.881720430107527</v>
          </cell>
          <cell r="AF95">
            <v>5</v>
          </cell>
        </row>
        <row r="96">
          <cell r="A96">
            <v>26</v>
          </cell>
          <cell r="B96">
            <v>10.75</v>
          </cell>
          <cell r="C96">
            <v>4</v>
          </cell>
          <cell r="E96">
            <v>10.285714285714285</v>
          </cell>
          <cell r="F96">
            <v>5.5714285714285712</v>
          </cell>
          <cell r="H96">
            <v>10.454545454545453</v>
          </cell>
          <cell r="I96">
            <v>5</v>
          </cell>
          <cell r="K96">
            <v>3.4444444444444446</v>
          </cell>
          <cell r="L96">
            <v>5.2222222222222223</v>
          </cell>
          <cell r="N96">
            <v>4.6428571428571432</v>
          </cell>
          <cell r="O96">
            <v>6.0714285714285712</v>
          </cell>
          <cell r="Q96">
            <v>4.1739130434782616</v>
          </cell>
          <cell r="R96">
            <v>5.7391304347826084</v>
          </cell>
          <cell r="T96">
            <v>8.9166666666666679</v>
          </cell>
          <cell r="U96">
            <v>12.75</v>
          </cell>
          <cell r="W96">
            <v>8.9166666666666679</v>
          </cell>
          <cell r="X96">
            <v>12.75</v>
          </cell>
          <cell r="AC96">
            <v>7.3275862068965507</v>
          </cell>
          <cell r="AD96">
            <v>8.5</v>
          </cell>
          <cell r="AF96">
            <v>5</v>
          </cell>
        </row>
        <row r="97">
          <cell r="A97">
            <v>27</v>
          </cell>
          <cell r="B97">
            <v>0</v>
          </cell>
          <cell r="C97">
            <v>0</v>
          </cell>
          <cell r="E97">
            <v>9.625</v>
          </cell>
          <cell r="F97">
            <v>6.75</v>
          </cell>
          <cell r="H97">
            <v>9.625</v>
          </cell>
          <cell r="I97">
            <v>6.75</v>
          </cell>
          <cell r="K97">
            <v>3.7058823529411762</v>
          </cell>
          <cell r="L97">
            <v>6.9411764705882355</v>
          </cell>
          <cell r="N97">
            <v>1.7142857142857144</v>
          </cell>
          <cell r="O97">
            <v>7.4285714285714288</v>
          </cell>
          <cell r="Q97">
            <v>3.125</v>
          </cell>
          <cell r="R97">
            <v>7.083333333333333</v>
          </cell>
          <cell r="T97">
            <v>12.173913043478262</v>
          </cell>
          <cell r="U97">
            <v>16.608695652173914</v>
          </cell>
          <cell r="W97">
            <v>12.173913043478262</v>
          </cell>
          <cell r="X97">
            <v>16.608695652173914</v>
          </cell>
          <cell r="AC97">
            <v>9.1282051282051295</v>
          </cell>
          <cell r="AD97">
            <v>12.666666666666668</v>
          </cell>
          <cell r="AF97">
            <v>5</v>
          </cell>
        </row>
        <row r="98">
          <cell r="A98">
            <v>28</v>
          </cell>
          <cell r="B98">
            <v>8</v>
          </cell>
          <cell r="C98">
            <v>5</v>
          </cell>
          <cell r="E98">
            <v>10</v>
          </cell>
          <cell r="F98">
            <v>5.75</v>
          </cell>
          <cell r="H98">
            <v>9.1428571428571423</v>
          </cell>
          <cell r="I98">
            <v>5.4285714285714288</v>
          </cell>
          <cell r="K98">
            <v>2.5</v>
          </cell>
          <cell r="L98">
            <v>5.3125</v>
          </cell>
          <cell r="N98">
            <v>3.5000000000000004</v>
          </cell>
          <cell r="O98">
            <v>8.5833333333333339</v>
          </cell>
          <cell r="Q98">
            <v>2.9285714285714288</v>
          </cell>
          <cell r="R98">
            <v>6.7142857142857144</v>
          </cell>
          <cell r="T98">
            <v>7.3684210526315779</v>
          </cell>
          <cell r="U98">
            <v>17.842105263157894</v>
          </cell>
          <cell r="W98">
            <v>7.3684210526315779</v>
          </cell>
          <cell r="X98">
            <v>17.842105263157894</v>
          </cell>
          <cell r="AC98">
            <v>5.8356164383561646</v>
          </cell>
          <cell r="AD98">
            <v>12.383561643835616</v>
          </cell>
          <cell r="AF98">
            <v>5</v>
          </cell>
        </row>
        <row r="99">
          <cell r="A99">
            <v>29</v>
          </cell>
          <cell r="B99">
            <v>10</v>
          </cell>
          <cell r="C99">
            <v>10.333333333333334</v>
          </cell>
          <cell r="E99">
            <v>11.333333333333332</v>
          </cell>
          <cell r="F99">
            <v>7.333333333333333</v>
          </cell>
          <cell r="H99">
            <v>10.888888888888888</v>
          </cell>
          <cell r="I99">
            <v>8.3333333333333321</v>
          </cell>
          <cell r="K99">
            <v>4.0851063829787231</v>
          </cell>
          <cell r="L99">
            <v>5.7021276595744679</v>
          </cell>
          <cell r="N99">
            <v>3.3000000000000003</v>
          </cell>
          <cell r="O99">
            <v>6.9</v>
          </cell>
          <cell r="Q99">
            <v>3.7241379310344822</v>
          </cell>
          <cell r="R99">
            <v>6.2528735632183903</v>
          </cell>
          <cell r="T99">
            <v>12.2</v>
          </cell>
          <cell r="U99">
            <v>13.8</v>
          </cell>
          <cell r="W99">
            <v>12.2</v>
          </cell>
          <cell r="X99">
            <v>13.8</v>
          </cell>
          <cell r="AC99">
            <v>8.9711934156378597</v>
          </cell>
          <cell r="AD99">
            <v>10.2880658436214</v>
          </cell>
          <cell r="AF99">
            <v>5</v>
          </cell>
        </row>
        <row r="100">
          <cell r="A100">
            <v>30</v>
          </cell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Q100">
            <v>0</v>
          </cell>
          <cell r="R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0</v>
          </cell>
          <cell r="AC100">
            <v>0</v>
          </cell>
          <cell r="AD100">
            <v>0</v>
          </cell>
          <cell r="AF100">
            <v>5</v>
          </cell>
        </row>
        <row r="101">
          <cell r="A101">
            <v>31</v>
          </cell>
          <cell r="B101">
            <v>12.333333333333334</v>
          </cell>
          <cell r="C101">
            <v>4.666666666666667</v>
          </cell>
          <cell r="E101">
            <v>7.0000000000000009</v>
          </cell>
          <cell r="F101">
            <v>6.25</v>
          </cell>
          <cell r="H101">
            <v>8.454545454545455</v>
          </cell>
          <cell r="I101">
            <v>5.8181818181818183</v>
          </cell>
          <cell r="K101">
            <v>3.3157894736842106</v>
          </cell>
          <cell r="L101">
            <v>5.2105263157894735</v>
          </cell>
          <cell r="N101">
            <v>4.2</v>
          </cell>
          <cell r="O101">
            <v>6.6000000000000005</v>
          </cell>
          <cell r="Q101">
            <v>3.6206896551724141</v>
          </cell>
          <cell r="R101">
            <v>5.6896551724137936</v>
          </cell>
          <cell r="T101">
            <v>10.62962962962963</v>
          </cell>
          <cell r="U101">
            <v>11.74074074074074</v>
          </cell>
          <cell r="W101">
            <v>10.62962962962963</v>
          </cell>
          <cell r="X101">
            <v>11.74074074074074</v>
          </cell>
          <cell r="AC101">
            <v>8.212765957446809</v>
          </cell>
          <cell r="AD101">
            <v>9.1808510638297864</v>
          </cell>
          <cell r="AF101">
            <v>5</v>
          </cell>
        </row>
        <row r="102">
          <cell r="A102" t="str">
            <v xml:space="preserve">Apr/01 </v>
          </cell>
          <cell r="B102">
            <v>0</v>
          </cell>
          <cell r="C102">
            <v>0</v>
          </cell>
          <cell r="E102">
            <v>6.833333333333333</v>
          </cell>
          <cell r="F102">
            <v>6.5</v>
          </cell>
          <cell r="H102">
            <v>6.833333333333333</v>
          </cell>
          <cell r="I102">
            <v>6.5</v>
          </cell>
          <cell r="K102">
            <v>3.7058823529411762</v>
          </cell>
          <cell r="L102">
            <v>4.6470588235294121</v>
          </cell>
          <cell r="N102">
            <v>4.5</v>
          </cell>
          <cell r="O102">
            <v>5.3333333333333339</v>
          </cell>
          <cell r="Q102">
            <v>4.0344827586206895</v>
          </cell>
          <cell r="R102">
            <v>4.931034482758621</v>
          </cell>
          <cell r="T102">
            <v>13.714285714285715</v>
          </cell>
          <cell r="U102">
            <v>10.285714285714285</v>
          </cell>
          <cell r="W102">
            <v>13.714285714285715</v>
          </cell>
          <cell r="X102">
            <v>10.285714285714285</v>
          </cell>
          <cell r="AC102">
            <v>9.5324675324675319</v>
          </cell>
          <cell r="AD102">
            <v>7.9740259740259738</v>
          </cell>
          <cell r="AF102">
            <v>5</v>
          </cell>
        </row>
        <row r="103">
          <cell r="A103">
            <v>2</v>
          </cell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W103">
            <v>0</v>
          </cell>
          <cell r="X103">
            <v>0</v>
          </cell>
          <cell r="AC103">
            <v>0</v>
          </cell>
          <cell r="AD103">
            <v>0</v>
          </cell>
          <cell r="AF103">
            <v>5</v>
          </cell>
        </row>
        <row r="104">
          <cell r="A104">
            <v>3</v>
          </cell>
          <cell r="B104">
            <v>12</v>
          </cell>
          <cell r="C104">
            <v>4</v>
          </cell>
          <cell r="E104">
            <v>9.75</v>
          </cell>
          <cell r="F104">
            <v>4.75</v>
          </cell>
          <cell r="H104">
            <v>10.199999999999999</v>
          </cell>
          <cell r="I104">
            <v>4.5999999999999996</v>
          </cell>
          <cell r="K104">
            <v>3.6296296296296298</v>
          </cell>
          <cell r="L104">
            <v>5.4444444444444438</v>
          </cell>
          <cell r="N104">
            <v>5.9130434782608692</v>
          </cell>
          <cell r="O104">
            <v>7.4782608695652177</v>
          </cell>
          <cell r="Q104">
            <v>4.68</v>
          </cell>
          <cell r="R104">
            <v>6.38</v>
          </cell>
          <cell r="T104">
            <v>7.88</v>
          </cell>
          <cell r="U104">
            <v>11.52</v>
          </cell>
          <cell r="W104">
            <v>7.88</v>
          </cell>
          <cell r="X104">
            <v>11.52</v>
          </cell>
          <cell r="AC104">
            <v>6.4666666666666668</v>
          </cell>
          <cell r="AD104">
            <v>8.742857142857142</v>
          </cell>
          <cell r="AF104">
            <v>5</v>
          </cell>
        </row>
        <row r="105">
          <cell r="A105">
            <v>4</v>
          </cell>
          <cell r="B105">
            <v>16.600000000000001</v>
          </cell>
          <cell r="C105">
            <v>3</v>
          </cell>
          <cell r="E105">
            <v>9.5714285714285712</v>
          </cell>
          <cell r="F105">
            <v>7.7142857142857135</v>
          </cell>
          <cell r="H105">
            <v>12.5</v>
          </cell>
          <cell r="I105">
            <v>5.75</v>
          </cell>
          <cell r="K105">
            <v>3.7391304347826089</v>
          </cell>
          <cell r="L105">
            <v>8.6086956521739122</v>
          </cell>
          <cell r="N105">
            <v>5.8181818181818183</v>
          </cell>
          <cell r="O105">
            <v>6.3181818181818183</v>
          </cell>
          <cell r="Q105">
            <v>4.7555555555555555</v>
          </cell>
          <cell r="R105">
            <v>7.4888888888888889</v>
          </cell>
          <cell r="T105">
            <v>10.791666666666666</v>
          </cell>
          <cell r="U105">
            <v>14.916666666666668</v>
          </cell>
          <cell r="W105">
            <v>10.791666666666666</v>
          </cell>
          <cell r="X105">
            <v>14.916666666666668</v>
          </cell>
          <cell r="AC105">
            <v>8.4</v>
          </cell>
          <cell r="AD105">
            <v>10.685714285714285</v>
          </cell>
          <cell r="AF105">
            <v>5</v>
          </cell>
        </row>
        <row r="106">
          <cell r="A106">
            <v>5</v>
          </cell>
          <cell r="B106">
            <v>5.5</v>
          </cell>
          <cell r="C106">
            <v>3</v>
          </cell>
          <cell r="E106">
            <v>9</v>
          </cell>
          <cell r="F106">
            <v>9.4</v>
          </cell>
          <cell r="H106">
            <v>8</v>
          </cell>
          <cell r="I106">
            <v>7.5714285714285721</v>
          </cell>
          <cell r="K106">
            <v>3.25</v>
          </cell>
          <cell r="L106">
            <v>4.3999999999999995</v>
          </cell>
          <cell r="N106">
            <v>3.2380952380952377</v>
          </cell>
          <cell r="O106">
            <v>7.2857142857142856</v>
          </cell>
          <cell r="Q106">
            <v>3.2439024390243905</v>
          </cell>
          <cell r="R106">
            <v>5.8780487804878048</v>
          </cell>
          <cell r="T106">
            <v>9.4285714285714288</v>
          </cell>
          <cell r="U106">
            <v>15.857142857142856</v>
          </cell>
          <cell r="W106">
            <v>9.4285714285714288</v>
          </cell>
          <cell r="X106">
            <v>15.857142857142856</v>
          </cell>
          <cell r="AC106">
            <v>6.5</v>
          </cell>
          <cell r="AD106">
            <v>10.666666666666668</v>
          </cell>
          <cell r="AF106">
            <v>5</v>
          </cell>
        </row>
        <row r="107">
          <cell r="A107">
            <v>6</v>
          </cell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Q107">
            <v>0</v>
          </cell>
          <cell r="R107">
            <v>0</v>
          </cell>
          <cell r="T107">
            <v>13.605263157894736</v>
          </cell>
          <cell r="U107">
            <v>10.710526315789473</v>
          </cell>
          <cell r="W107">
            <v>13.605263157894736</v>
          </cell>
          <cell r="X107">
            <v>10.710526315789473</v>
          </cell>
          <cell r="AC107">
            <v>13.605263157894736</v>
          </cell>
          <cell r="AD107">
            <v>10.710526315789473</v>
          </cell>
          <cell r="AF107">
            <v>5</v>
          </cell>
        </row>
        <row r="108">
          <cell r="A108">
            <v>7</v>
          </cell>
          <cell r="B108">
            <v>6</v>
          </cell>
          <cell r="C108">
            <v>9</v>
          </cell>
          <cell r="E108">
            <v>9.3333333333333339</v>
          </cell>
          <cell r="F108">
            <v>13.333333333333334</v>
          </cell>
          <cell r="H108">
            <v>8.5</v>
          </cell>
          <cell r="I108">
            <v>12.25</v>
          </cell>
          <cell r="K108">
            <v>7.2857142857142856</v>
          </cell>
          <cell r="L108">
            <v>4.4642857142857144</v>
          </cell>
          <cell r="N108">
            <v>6.870967741935484</v>
          </cell>
          <cell r="O108">
            <v>4.67741935483871</v>
          </cell>
          <cell r="Q108">
            <v>7.0677966101694913</v>
          </cell>
          <cell r="R108">
            <v>4.5762711864406782</v>
          </cell>
          <cell r="T108">
            <v>0</v>
          </cell>
          <cell r="U108">
            <v>0</v>
          </cell>
          <cell r="W108">
            <v>0</v>
          </cell>
          <cell r="X108">
            <v>0</v>
          </cell>
          <cell r="AC108">
            <v>7.1587301587301591</v>
          </cell>
          <cell r="AD108">
            <v>5.0634920634920633</v>
          </cell>
          <cell r="AF108">
            <v>5</v>
          </cell>
        </row>
        <row r="109">
          <cell r="A109">
            <v>8</v>
          </cell>
          <cell r="B109">
            <v>7.0000000000000009</v>
          </cell>
          <cell r="C109">
            <v>5.5</v>
          </cell>
          <cell r="E109">
            <v>5.8571428571428577</v>
          </cell>
          <cell r="F109">
            <v>5</v>
          </cell>
          <cell r="H109">
            <v>6.1111111111111107</v>
          </cell>
          <cell r="I109">
            <v>5.1111111111111116</v>
          </cell>
          <cell r="K109">
            <v>4.5</v>
          </cell>
          <cell r="L109">
            <v>4.0789473684210531</v>
          </cell>
          <cell r="N109">
            <v>6.5151515151515156</v>
          </cell>
          <cell r="O109">
            <v>4.6363636363636367</v>
          </cell>
          <cell r="Q109">
            <v>5.436619718309859</v>
          </cell>
          <cell r="R109">
            <v>4.3380281690140849</v>
          </cell>
          <cell r="T109">
            <v>11.105263157894738</v>
          </cell>
          <cell r="U109">
            <v>12.763157894736842</v>
          </cell>
          <cell r="W109">
            <v>11.105263157894738</v>
          </cell>
          <cell r="X109">
            <v>12.763157894736842</v>
          </cell>
          <cell r="AC109">
            <v>8.2371794871794872</v>
          </cell>
          <cell r="AD109">
            <v>8.4871794871794872</v>
          </cell>
          <cell r="AF109">
            <v>5</v>
          </cell>
        </row>
        <row r="110">
          <cell r="A110">
            <v>9</v>
          </cell>
          <cell r="B110">
            <v>14.000000000000002</v>
          </cell>
          <cell r="C110">
            <v>7.333333333333333</v>
          </cell>
          <cell r="E110">
            <v>5.8000000000000007</v>
          </cell>
          <cell r="F110">
            <v>5</v>
          </cell>
          <cell r="H110">
            <v>8.875</v>
          </cell>
          <cell r="I110">
            <v>5.875</v>
          </cell>
          <cell r="K110">
            <v>6.5555555555555562</v>
          </cell>
          <cell r="L110">
            <v>3.7037037037037033</v>
          </cell>
          <cell r="N110">
            <v>5.375</v>
          </cell>
          <cell r="O110">
            <v>4.84375</v>
          </cell>
          <cell r="Q110">
            <v>5.9152542372881349</v>
          </cell>
          <cell r="R110">
            <v>4.3220338983050848</v>
          </cell>
          <cell r="T110">
            <v>10.6875</v>
          </cell>
          <cell r="U110">
            <v>12.65625</v>
          </cell>
          <cell r="W110">
            <v>10.6875</v>
          </cell>
          <cell r="X110">
            <v>12.65625</v>
          </cell>
          <cell r="AC110">
            <v>8.4274809160305342</v>
          </cell>
          <cell r="AD110">
            <v>8.4885496183206115</v>
          </cell>
          <cell r="AF110">
            <v>5</v>
          </cell>
        </row>
        <row r="111">
          <cell r="A111">
            <v>10</v>
          </cell>
          <cell r="B111">
            <v>3.5000000000000004</v>
          </cell>
          <cell r="C111">
            <v>6.5</v>
          </cell>
          <cell r="E111">
            <v>5.6666666666666661</v>
          </cell>
          <cell r="F111">
            <v>4.1666666666666661</v>
          </cell>
          <cell r="H111">
            <v>5.125</v>
          </cell>
          <cell r="I111">
            <v>4.75</v>
          </cell>
          <cell r="K111">
            <v>5.9655172413793105</v>
          </cell>
          <cell r="L111">
            <v>4.4137931034482758</v>
          </cell>
          <cell r="N111">
            <v>5.458333333333333</v>
          </cell>
          <cell r="O111">
            <v>4.625</v>
          </cell>
          <cell r="Q111">
            <v>5.7358490566037732</v>
          </cell>
          <cell r="R111">
            <v>4.5094339622641515</v>
          </cell>
          <cell r="T111">
            <v>8.4090909090909083</v>
          </cell>
          <cell r="U111">
            <v>12.954545454545455</v>
          </cell>
          <cell r="W111">
            <v>8.4090909090909083</v>
          </cell>
          <cell r="X111">
            <v>12.954545454545455</v>
          </cell>
          <cell r="AC111">
            <v>6.8095238095238102</v>
          </cell>
          <cell r="AD111">
            <v>8.0666666666666664</v>
          </cell>
          <cell r="AF111">
            <v>5</v>
          </cell>
        </row>
        <row r="112">
          <cell r="A112">
            <v>11</v>
          </cell>
          <cell r="B112">
            <v>5.8000000000000007</v>
          </cell>
          <cell r="C112">
            <v>5</v>
          </cell>
          <cell r="E112">
            <v>7.5</v>
          </cell>
          <cell r="F112">
            <v>5.3333333333333339</v>
          </cell>
          <cell r="H112">
            <v>6.7272727272727275</v>
          </cell>
          <cell r="I112">
            <v>5.1818181818181817</v>
          </cell>
          <cell r="K112">
            <v>8.25</v>
          </cell>
          <cell r="L112">
            <v>3.3333333333333335</v>
          </cell>
          <cell r="N112">
            <v>8.3636363636363633</v>
          </cell>
          <cell r="O112">
            <v>3.8181818181818183</v>
          </cell>
          <cell r="Q112">
            <v>8.2857142857142847</v>
          </cell>
          <cell r="R112">
            <v>3.4857142857142858</v>
          </cell>
          <cell r="T112">
            <v>11.888888888888889</v>
          </cell>
          <cell r="U112">
            <v>10.888888888888888</v>
          </cell>
          <cell r="W112">
            <v>11.888888888888889</v>
          </cell>
          <cell r="X112">
            <v>10.888888888888888</v>
          </cell>
          <cell r="AC112">
            <v>9.6585365853658534</v>
          </cell>
          <cell r="AD112">
            <v>6.9634146341463419</v>
          </cell>
          <cell r="AF112">
            <v>5</v>
          </cell>
        </row>
        <row r="113">
          <cell r="A113">
            <v>12</v>
          </cell>
          <cell r="B113">
            <v>2</v>
          </cell>
          <cell r="C113">
            <v>8.5</v>
          </cell>
          <cell r="E113">
            <v>7.0000000000000009</v>
          </cell>
          <cell r="F113">
            <v>5.1428571428571423</v>
          </cell>
          <cell r="H113">
            <v>5.8888888888888884</v>
          </cell>
          <cell r="I113">
            <v>5.8888888888888884</v>
          </cell>
          <cell r="K113">
            <v>5.5744680851063828</v>
          </cell>
          <cell r="L113">
            <v>3.4680851063829787</v>
          </cell>
          <cell r="N113">
            <v>5.6111111111111107</v>
          </cell>
          <cell r="O113">
            <v>3.7777777777777777</v>
          </cell>
          <cell r="Q113">
            <v>5.5846153846153843</v>
          </cell>
          <cell r="R113">
            <v>3.5538461538461541</v>
          </cell>
          <cell r="T113">
            <v>0</v>
          </cell>
          <cell r="U113">
            <v>0</v>
          </cell>
          <cell r="W113">
            <v>0</v>
          </cell>
          <cell r="X113">
            <v>0</v>
          </cell>
          <cell r="AC113">
            <v>5.6216216216216219</v>
          </cell>
          <cell r="AD113">
            <v>3.8378378378378377</v>
          </cell>
          <cell r="AF113">
            <v>5</v>
          </cell>
        </row>
        <row r="114">
          <cell r="A114">
            <v>13</v>
          </cell>
          <cell r="B114">
            <v>0</v>
          </cell>
          <cell r="C114">
            <v>0</v>
          </cell>
          <cell r="E114">
            <v>0</v>
          </cell>
          <cell r="F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Q114">
            <v>0</v>
          </cell>
          <cell r="R114">
            <v>0</v>
          </cell>
          <cell r="T114">
            <v>0</v>
          </cell>
          <cell r="U114">
            <v>0</v>
          </cell>
          <cell r="W114">
            <v>0</v>
          </cell>
          <cell r="X114">
            <v>0</v>
          </cell>
          <cell r="AC114">
            <v>0</v>
          </cell>
          <cell r="AD114">
            <v>0</v>
          </cell>
          <cell r="AF114">
            <v>5</v>
          </cell>
        </row>
        <row r="115">
          <cell r="A115">
            <v>14</v>
          </cell>
          <cell r="B115">
            <v>4</v>
          </cell>
          <cell r="C115">
            <v>6</v>
          </cell>
          <cell r="E115">
            <v>6.2857142857142865</v>
          </cell>
          <cell r="F115">
            <v>5.8571428571428577</v>
          </cell>
          <cell r="H115">
            <v>6</v>
          </cell>
          <cell r="I115">
            <v>5.875</v>
          </cell>
          <cell r="K115">
            <v>6.2962962962962958</v>
          </cell>
          <cell r="L115">
            <v>3.7592592592592595</v>
          </cell>
          <cell r="N115">
            <v>8.3157894736842106</v>
          </cell>
          <cell r="O115">
            <v>3.8947368421052633</v>
          </cell>
          <cell r="Q115">
            <v>6.8219178082191787</v>
          </cell>
          <cell r="R115">
            <v>3.7945205479452055</v>
          </cell>
          <cell r="T115">
            <v>14.142857142857142</v>
          </cell>
          <cell r="U115">
            <v>12.523809523809524</v>
          </cell>
          <cell r="W115">
            <v>14.142857142857142</v>
          </cell>
          <cell r="X115">
            <v>12.523809523809524</v>
          </cell>
          <cell r="AC115">
            <v>9.2682926829268286</v>
          </cell>
          <cell r="AD115">
            <v>6.9105691056910574</v>
          </cell>
          <cell r="AF115">
            <v>5</v>
          </cell>
        </row>
        <row r="116">
          <cell r="A116">
            <v>15</v>
          </cell>
          <cell r="B116">
            <v>6</v>
          </cell>
          <cell r="C116">
            <v>2.5</v>
          </cell>
          <cell r="E116">
            <v>7.0000000000000009</v>
          </cell>
          <cell r="F116">
            <v>4.2</v>
          </cell>
          <cell r="H116">
            <v>6.7142857142857144</v>
          </cell>
          <cell r="I116">
            <v>3.7142857142857144</v>
          </cell>
          <cell r="K116">
            <v>6.0882352941176467</v>
          </cell>
          <cell r="L116">
            <v>2.8823529411764706</v>
          </cell>
          <cell r="N116">
            <v>3.6999999999999997</v>
          </cell>
          <cell r="O116">
            <v>4.1000000000000005</v>
          </cell>
          <cell r="Q116">
            <v>5.5454545454545459</v>
          </cell>
          <cell r="R116">
            <v>3.1590909090909092</v>
          </cell>
          <cell r="T116">
            <v>6.1333333333333329</v>
          </cell>
          <cell r="U116">
            <v>9.8666666666666671</v>
          </cell>
          <cell r="W116">
            <v>6.1333333333333329</v>
          </cell>
          <cell r="X116">
            <v>9.8666666666666671</v>
          </cell>
          <cell r="AC116">
            <v>5.8641975308641969</v>
          </cell>
          <cell r="AD116">
            <v>5.6913580246913575</v>
          </cell>
          <cell r="AF116">
            <v>5</v>
          </cell>
        </row>
        <row r="117">
          <cell r="A117">
            <v>16</v>
          </cell>
          <cell r="B117">
            <v>8</v>
          </cell>
          <cell r="C117">
            <v>4.25</v>
          </cell>
          <cell r="E117">
            <v>4.875</v>
          </cell>
          <cell r="F117">
            <v>5</v>
          </cell>
          <cell r="H117">
            <v>5.916666666666667</v>
          </cell>
          <cell r="I117">
            <v>4.75</v>
          </cell>
          <cell r="K117">
            <v>4</v>
          </cell>
          <cell r="L117">
            <v>3.2692307692307696</v>
          </cell>
          <cell r="N117">
            <v>3.5172413793103452</v>
          </cell>
          <cell r="O117">
            <v>5.7586206896551726</v>
          </cell>
          <cell r="Q117">
            <v>3.7454545454545456</v>
          </cell>
          <cell r="R117">
            <v>4.581818181818182</v>
          </cell>
          <cell r="T117">
            <v>7.3666666666666671</v>
          </cell>
          <cell r="U117">
            <v>13.566666666666666</v>
          </cell>
          <cell r="W117">
            <v>7.3666666666666671</v>
          </cell>
          <cell r="X117">
            <v>13.566666666666666</v>
          </cell>
          <cell r="AC117">
            <v>5.6614173228346454</v>
          </cell>
          <cell r="AD117">
            <v>8.8425196850393704</v>
          </cell>
          <cell r="AF117">
            <v>5</v>
          </cell>
        </row>
        <row r="118">
          <cell r="A118">
            <v>17</v>
          </cell>
          <cell r="B118">
            <v>1.3333333333333335</v>
          </cell>
          <cell r="C118">
            <v>6.666666666666667</v>
          </cell>
          <cell r="E118">
            <v>5.125</v>
          </cell>
          <cell r="F118">
            <v>4.875</v>
          </cell>
          <cell r="H118">
            <v>4.0909090909090908</v>
          </cell>
          <cell r="I118">
            <v>5.3636363636363633</v>
          </cell>
          <cell r="K118">
            <v>4.3589743589743586</v>
          </cell>
          <cell r="L118">
            <v>3.7948717948717952</v>
          </cell>
          <cell r="N118">
            <v>3.3333333333333335</v>
          </cell>
          <cell r="O118">
            <v>5.0333333333333332</v>
          </cell>
          <cell r="Q118">
            <v>3.9130434782608701</v>
          </cell>
          <cell r="R118">
            <v>4.3333333333333339</v>
          </cell>
          <cell r="T118">
            <v>7.5526315789473681</v>
          </cell>
          <cell r="U118">
            <v>14.000000000000002</v>
          </cell>
          <cell r="W118">
            <v>7.5526315789473681</v>
          </cell>
          <cell r="X118">
            <v>14.000000000000002</v>
          </cell>
          <cell r="AC118">
            <v>5.6987179487179489</v>
          </cell>
          <cell r="AD118">
            <v>9.115384615384615</v>
          </cell>
          <cell r="AF118">
            <v>5</v>
          </cell>
        </row>
        <row r="119">
          <cell r="A119">
            <v>18</v>
          </cell>
          <cell r="B119">
            <v>0</v>
          </cell>
          <cell r="C119">
            <v>0</v>
          </cell>
          <cell r="E119">
            <v>0</v>
          </cell>
          <cell r="F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N119">
            <v>0</v>
          </cell>
          <cell r="O119">
            <v>0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W119">
            <v>0</v>
          </cell>
          <cell r="X119">
            <v>0</v>
          </cell>
          <cell r="AC119">
            <v>0</v>
          </cell>
          <cell r="AD119">
            <v>0</v>
          </cell>
          <cell r="AF119">
            <v>5</v>
          </cell>
        </row>
        <row r="120">
          <cell r="A120">
            <v>19</v>
          </cell>
          <cell r="B120">
            <v>0</v>
          </cell>
          <cell r="C120">
            <v>0</v>
          </cell>
          <cell r="E120">
            <v>4.2222222222222223</v>
          </cell>
          <cell r="F120">
            <v>6.2222222222222223</v>
          </cell>
          <cell r="H120">
            <v>4.2222222222222223</v>
          </cell>
          <cell r="I120">
            <v>6.2222222222222223</v>
          </cell>
          <cell r="K120">
            <v>2.975609756097561</v>
          </cell>
          <cell r="L120">
            <v>4.1463414634146343</v>
          </cell>
          <cell r="N120">
            <v>3.7777777777777777</v>
          </cell>
          <cell r="O120">
            <v>5.8888888888888884</v>
          </cell>
          <cell r="Q120">
            <v>3.3506493506493507</v>
          </cell>
          <cell r="R120">
            <v>4.9610389610389616</v>
          </cell>
          <cell r="T120">
            <v>11.799999999999999</v>
          </cell>
          <cell r="U120">
            <v>11.181818181818182</v>
          </cell>
          <cell r="W120">
            <v>11.799999999999999</v>
          </cell>
          <cell r="X120">
            <v>11.181818181818182</v>
          </cell>
          <cell r="AC120">
            <v>8.1326530612244898</v>
          </cell>
          <cell r="AD120">
            <v>8.5102040816326525</v>
          </cell>
          <cell r="AF120">
            <v>5</v>
          </cell>
        </row>
        <row r="121">
          <cell r="A121">
            <v>20</v>
          </cell>
          <cell r="B121">
            <v>0</v>
          </cell>
          <cell r="C121">
            <v>0</v>
          </cell>
          <cell r="E121">
            <v>0</v>
          </cell>
          <cell r="F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W121">
            <v>0</v>
          </cell>
          <cell r="X121">
            <v>0</v>
          </cell>
          <cell r="AC121">
            <v>0</v>
          </cell>
          <cell r="AD121">
            <v>0</v>
          </cell>
          <cell r="AF121">
            <v>5</v>
          </cell>
        </row>
        <row r="122">
          <cell r="A122">
            <v>21</v>
          </cell>
          <cell r="B122">
            <v>2</v>
          </cell>
          <cell r="C122">
            <v>8.5</v>
          </cell>
          <cell r="E122">
            <v>3.7777777777777777</v>
          </cell>
          <cell r="F122">
            <v>3.7777777777777777</v>
          </cell>
          <cell r="H122">
            <v>3.4545454545454546</v>
          </cell>
          <cell r="I122">
            <v>4.6363636363636367</v>
          </cell>
          <cell r="K122">
            <v>2.7244582043343657</v>
          </cell>
          <cell r="L122">
            <v>4.4788441692466456</v>
          </cell>
          <cell r="N122">
            <v>3.8918918918918917</v>
          </cell>
          <cell r="O122">
            <v>5.756756756756757</v>
          </cell>
          <cell r="Q122">
            <v>3.2299590403744882</v>
          </cell>
          <cell r="R122">
            <v>5.0321825629022818</v>
          </cell>
          <cell r="T122">
            <v>8.2926829268292686</v>
          </cell>
          <cell r="U122">
            <v>12.195121951219512</v>
          </cell>
          <cell r="W122">
            <v>8.2926829268292686</v>
          </cell>
          <cell r="X122">
            <v>12.195121951219512</v>
          </cell>
          <cell r="AC122">
            <v>5.5701877276548055</v>
          </cell>
          <cell r="AD122">
            <v>8.2992434855701873</v>
          </cell>
          <cell r="AF122">
            <v>5</v>
          </cell>
        </row>
        <row r="123">
          <cell r="A123">
            <v>22</v>
          </cell>
          <cell r="B123">
            <v>8.5</v>
          </cell>
          <cell r="C123">
            <v>5</v>
          </cell>
          <cell r="E123">
            <v>4</v>
          </cell>
          <cell r="F123">
            <v>3.5999999999999996</v>
          </cell>
          <cell r="H123">
            <v>6</v>
          </cell>
          <cell r="I123">
            <v>4.2222222222222223</v>
          </cell>
          <cell r="K123">
            <v>2.4259259259259256</v>
          </cell>
          <cell r="L123">
            <v>4.6481481481481488</v>
          </cell>
          <cell r="N123">
            <v>3.5151515151515147</v>
          </cell>
          <cell r="O123">
            <v>4.8181818181818183</v>
          </cell>
          <cell r="Q123">
            <v>2.8390804597701149</v>
          </cell>
          <cell r="R123">
            <v>4.7126436781609193</v>
          </cell>
          <cell r="T123">
            <v>11.952380952380953</v>
          </cell>
          <cell r="U123">
            <v>10.523809523809524</v>
          </cell>
          <cell r="W123">
            <v>11.952380952380953</v>
          </cell>
          <cell r="X123">
            <v>10.523809523809524</v>
          </cell>
          <cell r="AC123">
            <v>5.8188405797101446</v>
          </cell>
          <cell r="AD123">
            <v>6.4492753623188399</v>
          </cell>
          <cell r="AF123">
            <v>5</v>
          </cell>
        </row>
        <row r="124">
          <cell r="A124">
            <v>23</v>
          </cell>
          <cell r="B124">
            <v>1.5</v>
          </cell>
          <cell r="C124">
            <v>4</v>
          </cell>
          <cell r="E124">
            <v>11</v>
          </cell>
          <cell r="F124">
            <v>4.666666666666667</v>
          </cell>
          <cell r="H124">
            <v>8.625</v>
          </cell>
          <cell r="I124">
            <v>4.5</v>
          </cell>
          <cell r="K124">
            <v>3.4683544303797471</v>
          </cell>
          <cell r="L124">
            <v>5.924050632911392</v>
          </cell>
          <cell r="N124">
            <v>3.6190476190476191</v>
          </cell>
          <cell r="O124">
            <v>5.1428571428571423</v>
          </cell>
          <cell r="Q124">
            <v>3.5206611570247932</v>
          </cell>
          <cell r="R124">
            <v>5.6528925619834709</v>
          </cell>
          <cell r="T124">
            <v>17.625</v>
          </cell>
          <cell r="U124">
            <v>11.8125</v>
          </cell>
          <cell r="W124">
            <v>17.625</v>
          </cell>
          <cell r="X124">
            <v>11.8125</v>
          </cell>
          <cell r="AC124">
            <v>8.4179104477611943</v>
          </cell>
          <cell r="AD124">
            <v>7.5223880597014929</v>
          </cell>
          <cell r="AF124">
            <v>5</v>
          </cell>
        </row>
        <row r="125">
          <cell r="A125">
            <v>24</v>
          </cell>
          <cell r="B125">
            <v>3</v>
          </cell>
          <cell r="C125">
            <v>4</v>
          </cell>
          <cell r="E125">
            <v>5.833333333333333</v>
          </cell>
          <cell r="F125">
            <v>4.1666666666666661</v>
          </cell>
          <cell r="H125">
            <v>5.125</v>
          </cell>
          <cell r="I125">
            <v>4.125</v>
          </cell>
          <cell r="K125">
            <v>1.978723404255319</v>
          </cell>
          <cell r="L125">
            <v>4.1702127659574471</v>
          </cell>
          <cell r="N125">
            <v>4.5789473684210522</v>
          </cell>
          <cell r="O125">
            <v>3.7894736842105265</v>
          </cell>
          <cell r="Q125">
            <v>2.7272727272727271</v>
          </cell>
          <cell r="R125">
            <v>4.0606060606060606</v>
          </cell>
          <cell r="T125">
            <v>12.2</v>
          </cell>
          <cell r="U125">
            <v>15.866666666666667</v>
          </cell>
          <cell r="W125">
            <v>12.2</v>
          </cell>
          <cell r="X125">
            <v>15.866666666666667</v>
          </cell>
          <cell r="AC125">
            <v>5.6442307692307692</v>
          </cell>
          <cell r="AD125">
            <v>7.4711538461538467</v>
          </cell>
          <cell r="AF125">
            <v>5</v>
          </cell>
        </row>
        <row r="126">
          <cell r="A126">
            <v>25</v>
          </cell>
          <cell r="B126">
            <v>3</v>
          </cell>
          <cell r="C126">
            <v>4.2</v>
          </cell>
          <cell r="E126">
            <v>9.8148148148148149</v>
          </cell>
          <cell r="F126">
            <v>6.1111111111111107</v>
          </cell>
          <cell r="H126">
            <v>6.5384615384615392</v>
          </cell>
          <cell r="I126">
            <v>5.1923076923076925</v>
          </cell>
          <cell r="K126">
            <v>1.6961130742049468</v>
          </cell>
          <cell r="L126">
            <v>3.1802120141342751</v>
          </cell>
          <cell r="N126">
            <v>1.8333333333333333</v>
          </cell>
          <cell r="O126">
            <v>5.3333333333333339</v>
          </cell>
          <cell r="Q126">
            <v>1.7201166180758016</v>
          </cell>
          <cell r="R126">
            <v>3.5568513119533525</v>
          </cell>
          <cell r="T126">
            <v>4</v>
          </cell>
          <cell r="U126">
            <v>9.5</v>
          </cell>
          <cell r="W126">
            <v>4</v>
          </cell>
          <cell r="X126">
            <v>9.5</v>
          </cell>
          <cell r="AC126">
            <v>2.9363449691991788</v>
          </cell>
          <cell r="AD126">
            <v>4.3942505133470231</v>
          </cell>
          <cell r="AF126">
            <v>5</v>
          </cell>
        </row>
        <row r="127">
          <cell r="A127">
            <v>26</v>
          </cell>
          <cell r="B127">
            <v>2.3333333333333335</v>
          </cell>
          <cell r="C127">
            <v>5.6666666666666661</v>
          </cell>
          <cell r="E127">
            <v>7.8333333333333339</v>
          </cell>
          <cell r="F127">
            <v>4</v>
          </cell>
          <cell r="H127">
            <v>6</v>
          </cell>
          <cell r="I127">
            <v>4.5555555555555554</v>
          </cell>
          <cell r="K127">
            <v>3.1818181818181817</v>
          </cell>
          <cell r="L127">
            <v>3.5454545454545454</v>
          </cell>
          <cell r="N127">
            <v>2.0909090909090908</v>
          </cell>
          <cell r="O127">
            <v>4.1818181818181817</v>
          </cell>
          <cell r="Q127">
            <v>2.6363636363636362</v>
          </cell>
          <cell r="R127">
            <v>3.8636363636363633</v>
          </cell>
          <cell r="T127">
            <v>0</v>
          </cell>
          <cell r="U127">
            <v>0</v>
          </cell>
          <cell r="W127">
            <v>0</v>
          </cell>
          <cell r="X127">
            <v>0</v>
          </cell>
          <cell r="AC127">
            <v>3.612903225806452</v>
          </cell>
          <cell r="AD127">
            <v>4.064516129032258</v>
          </cell>
          <cell r="AF127">
            <v>5</v>
          </cell>
        </row>
        <row r="128">
          <cell r="A128">
            <v>27</v>
          </cell>
          <cell r="B128">
            <v>0</v>
          </cell>
          <cell r="C128">
            <v>0</v>
          </cell>
          <cell r="E128">
            <v>0</v>
          </cell>
          <cell r="F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W128">
            <v>0</v>
          </cell>
          <cell r="X128">
            <v>0</v>
          </cell>
          <cell r="AC128">
            <v>0</v>
          </cell>
          <cell r="AD128">
            <v>0</v>
          </cell>
          <cell r="AF128">
            <v>5</v>
          </cell>
        </row>
        <row r="129">
          <cell r="A129">
            <v>28</v>
          </cell>
          <cell r="B129">
            <v>1</v>
          </cell>
          <cell r="C129">
            <v>8</v>
          </cell>
          <cell r="E129">
            <v>0.32075471698113206</v>
          </cell>
          <cell r="F129">
            <v>0.79245283018867918</v>
          </cell>
          <cell r="H129">
            <v>0.34545454545454546</v>
          </cell>
          <cell r="I129">
            <v>1.0545454545454545</v>
          </cell>
          <cell r="K129">
            <v>1.1199999999999999</v>
          </cell>
          <cell r="L129">
            <v>4.3600000000000003</v>
          </cell>
          <cell r="N129">
            <v>2.25</v>
          </cell>
          <cell r="O129">
            <v>5.3125</v>
          </cell>
          <cell r="Q129">
            <v>1.5609756097560976</v>
          </cell>
          <cell r="R129">
            <v>4.7317073170731705</v>
          </cell>
          <cell r="T129">
            <v>0</v>
          </cell>
          <cell r="U129">
            <v>0</v>
          </cell>
          <cell r="W129">
            <v>0</v>
          </cell>
          <cell r="X129">
            <v>0</v>
          </cell>
          <cell r="AC129">
            <v>0.86458333333333337</v>
          </cell>
          <cell r="AD129">
            <v>2.625</v>
          </cell>
          <cell r="AF129">
            <v>5</v>
          </cell>
        </row>
        <row r="130">
          <cell r="A130">
            <v>29</v>
          </cell>
          <cell r="B130">
            <v>5.6666666666666661</v>
          </cell>
          <cell r="C130">
            <v>5.6666666666666661</v>
          </cell>
          <cell r="E130">
            <v>3.6666666666666665</v>
          </cell>
          <cell r="F130">
            <v>7.0000000000000009</v>
          </cell>
          <cell r="H130">
            <v>4.3333333333333339</v>
          </cell>
          <cell r="I130">
            <v>6.5555555555555562</v>
          </cell>
          <cell r="K130">
            <v>1.6949152542372881</v>
          </cell>
          <cell r="L130">
            <v>4.9931287219422815</v>
          </cell>
          <cell r="N130">
            <v>3.7692307692307692</v>
          </cell>
          <cell r="O130">
            <v>3.9230769230769229</v>
          </cell>
          <cell r="Q130">
            <v>2.4691358024691357</v>
          </cell>
          <cell r="R130">
            <v>4.5937410278495552</v>
          </cell>
          <cell r="T130">
            <v>6.6363636363636358</v>
          </cell>
          <cell r="U130">
            <v>15.454545454545453</v>
          </cell>
          <cell r="W130">
            <v>6.6363636363636358</v>
          </cell>
          <cell r="X130">
            <v>15.454545454545453</v>
          </cell>
          <cell r="AC130">
            <v>4.7478082659683478</v>
          </cell>
          <cell r="AD130">
            <v>10.235682568598428</v>
          </cell>
          <cell r="AF130">
            <v>5</v>
          </cell>
        </row>
        <row r="131">
          <cell r="A131">
            <v>30</v>
          </cell>
          <cell r="B131">
            <v>7.166666666666667</v>
          </cell>
          <cell r="C131">
            <v>5.6666666666666661</v>
          </cell>
          <cell r="E131">
            <v>2.4</v>
          </cell>
          <cell r="F131">
            <v>6.2</v>
          </cell>
          <cell r="H131">
            <v>5</v>
          </cell>
          <cell r="I131">
            <v>5.9090909090909092</v>
          </cell>
          <cell r="K131">
            <v>1.9123505976095616</v>
          </cell>
          <cell r="L131">
            <v>4.2231075697211153</v>
          </cell>
          <cell r="N131">
            <v>5.6923076923076925</v>
          </cell>
          <cell r="O131">
            <v>5.6923076923076925</v>
          </cell>
          <cell r="Q131">
            <v>3.8356164383561646</v>
          </cell>
          <cell r="R131">
            <v>4.9706457925636007</v>
          </cell>
          <cell r="T131">
            <v>0</v>
          </cell>
          <cell r="U131">
            <v>0</v>
          </cell>
          <cell r="W131">
            <v>0</v>
          </cell>
          <cell r="X131">
            <v>0</v>
          </cell>
          <cell r="AC131">
            <v>4.1860465116279073</v>
          </cell>
          <cell r="AD131">
            <v>5.2530779753761969</v>
          </cell>
          <cell r="AF131">
            <v>5</v>
          </cell>
        </row>
        <row r="132">
          <cell r="A132">
            <v>31</v>
          </cell>
          <cell r="B132">
            <v>0</v>
          </cell>
          <cell r="C132">
            <v>0</v>
          </cell>
          <cell r="E132">
            <v>0</v>
          </cell>
          <cell r="F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0</v>
          </cell>
          <cell r="AC132">
            <v>0</v>
          </cell>
          <cell r="AD132">
            <v>0</v>
          </cell>
          <cell r="AF132">
            <v>5</v>
          </cell>
        </row>
        <row r="133">
          <cell r="A133" t="str">
            <v xml:space="preserve">Mei/01 </v>
          </cell>
          <cell r="B133">
            <v>3.5000000000000004</v>
          </cell>
          <cell r="C133">
            <v>11</v>
          </cell>
          <cell r="E133">
            <v>5.5714285714285712</v>
          </cell>
          <cell r="F133">
            <v>7.1428571428571423</v>
          </cell>
          <cell r="H133">
            <v>5.1111111111111116</v>
          </cell>
          <cell r="I133">
            <v>8</v>
          </cell>
          <cell r="K133">
            <v>1.7777777777777777</v>
          </cell>
          <cell r="L133">
            <v>3.6111111111111107</v>
          </cell>
          <cell r="N133">
            <v>2.125</v>
          </cell>
          <cell r="O133">
            <v>6.5</v>
          </cell>
          <cell r="Q133">
            <v>1.8846153846153846</v>
          </cell>
          <cell r="R133">
            <v>4.5</v>
          </cell>
          <cell r="T133">
            <v>6.7647058823529411</v>
          </cell>
          <cell r="U133">
            <v>15.470588235294116</v>
          </cell>
          <cell r="W133">
            <v>6.7647058823529411</v>
          </cell>
          <cell r="X133">
            <v>15.470588235294116</v>
          </cell>
          <cell r="AC133">
            <v>4.7101449275362324</v>
          </cell>
          <cell r="AD133">
            <v>10.362318840579709</v>
          </cell>
          <cell r="AF133">
            <v>5</v>
          </cell>
        </row>
        <row r="134">
          <cell r="A134">
            <v>2</v>
          </cell>
          <cell r="B134">
            <v>0</v>
          </cell>
          <cell r="C134">
            <v>5</v>
          </cell>
          <cell r="E134">
            <v>5</v>
          </cell>
          <cell r="F134">
            <v>6.75</v>
          </cell>
          <cell r="H134">
            <v>3.3333333333333335</v>
          </cell>
          <cell r="I134">
            <v>6.166666666666667</v>
          </cell>
          <cell r="K134">
            <v>21.8125</v>
          </cell>
          <cell r="L134">
            <v>4.1875</v>
          </cell>
          <cell r="N134">
            <v>3.4210526315789478</v>
          </cell>
          <cell r="O134">
            <v>4.5789473684210522</v>
          </cell>
          <cell r="Q134">
            <v>11.828571428571429</v>
          </cell>
          <cell r="R134">
            <v>4.3999999999999995</v>
          </cell>
          <cell r="T134">
            <v>9</v>
          </cell>
          <cell r="U134">
            <v>13.647058823529413</v>
          </cell>
          <cell r="W134">
            <v>9</v>
          </cell>
          <cell r="X134">
            <v>13.647058823529413</v>
          </cell>
          <cell r="AC134">
            <v>9.8666666666666671</v>
          </cell>
          <cell r="AD134">
            <v>8.7333333333333325</v>
          </cell>
          <cell r="AF134">
            <v>5</v>
          </cell>
        </row>
        <row r="135">
          <cell r="A135">
            <v>3</v>
          </cell>
          <cell r="B135">
            <v>1</v>
          </cell>
          <cell r="C135">
            <v>5</v>
          </cell>
          <cell r="E135">
            <v>4.5999999999999996</v>
          </cell>
          <cell r="F135">
            <v>4.5999999999999996</v>
          </cell>
          <cell r="H135">
            <v>3.5714285714285712</v>
          </cell>
          <cell r="I135">
            <v>4.7142857142857144</v>
          </cell>
          <cell r="K135">
            <v>3.201970443349754</v>
          </cell>
          <cell r="L135">
            <v>4.7290640394088674</v>
          </cell>
          <cell r="N135">
            <v>4</v>
          </cell>
          <cell r="O135">
            <v>5.1818181818181817</v>
          </cell>
          <cell r="Q135">
            <v>3.4824281150159746</v>
          </cell>
          <cell r="R135">
            <v>4.8881789137380194</v>
          </cell>
          <cell r="T135">
            <v>38.411764705882348</v>
          </cell>
          <cell r="U135">
            <v>13.647058823529413</v>
          </cell>
          <cell r="W135">
            <v>38.411764705882348</v>
          </cell>
          <cell r="X135">
            <v>13.647058823529413</v>
          </cell>
          <cell r="AC135">
            <v>19.91701244813278</v>
          </cell>
          <cell r="AD135">
            <v>8.9903181189488244</v>
          </cell>
          <cell r="AF135">
            <v>5</v>
          </cell>
        </row>
        <row r="136">
          <cell r="A136">
            <v>4</v>
          </cell>
          <cell r="B136">
            <v>0</v>
          </cell>
          <cell r="C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AC136">
            <v>0</v>
          </cell>
          <cell r="AD136">
            <v>0</v>
          </cell>
          <cell r="AF136">
            <v>5</v>
          </cell>
        </row>
        <row r="137">
          <cell r="A137">
            <v>5</v>
          </cell>
          <cell r="B137">
            <v>2.666666666666667</v>
          </cell>
          <cell r="C137">
            <v>3.6666666666666665</v>
          </cell>
          <cell r="E137">
            <v>10</v>
          </cell>
          <cell r="F137">
            <v>5.3333333333333339</v>
          </cell>
          <cell r="H137">
            <v>6.3333333333333339</v>
          </cell>
          <cell r="I137">
            <v>4.5</v>
          </cell>
          <cell r="K137">
            <v>5.3714285714285719</v>
          </cell>
          <cell r="L137">
            <v>3.2</v>
          </cell>
          <cell r="N137">
            <v>5.8620689655172411</v>
          </cell>
          <cell r="O137">
            <v>4.4482758620689653</v>
          </cell>
          <cell r="Q137">
            <v>5.59375</v>
          </cell>
          <cell r="R137">
            <v>3.765625</v>
          </cell>
          <cell r="T137">
            <v>17.357142857142858</v>
          </cell>
          <cell r="U137">
            <v>9.5</v>
          </cell>
          <cell r="W137">
            <v>17.357142857142858</v>
          </cell>
          <cell r="X137">
            <v>9.5</v>
          </cell>
          <cell r="AC137">
            <v>9</v>
          </cell>
          <cell r="AD137">
            <v>5.4489795918367347</v>
          </cell>
          <cell r="AF137">
            <v>5</v>
          </cell>
        </row>
        <row r="138">
          <cell r="A138">
            <v>6</v>
          </cell>
          <cell r="B138">
            <v>4.666666666666667</v>
          </cell>
          <cell r="C138">
            <v>4.666666666666667</v>
          </cell>
          <cell r="E138">
            <v>6.833333333333333</v>
          </cell>
          <cell r="F138">
            <v>4.3333333333333339</v>
          </cell>
          <cell r="H138">
            <v>6.1111111111111107</v>
          </cell>
          <cell r="I138">
            <v>4.4444444444444446</v>
          </cell>
          <cell r="K138">
            <v>5.3103448275862064</v>
          </cell>
          <cell r="L138">
            <v>2.896551724137931</v>
          </cell>
          <cell r="N138">
            <v>4.16</v>
          </cell>
          <cell r="O138">
            <v>3.4799999999999995</v>
          </cell>
          <cell r="Q138">
            <v>4.7777777777777777</v>
          </cell>
          <cell r="R138">
            <v>3.166666666666667</v>
          </cell>
          <cell r="T138">
            <v>0</v>
          </cell>
          <cell r="U138">
            <v>0</v>
          </cell>
          <cell r="W138">
            <v>0</v>
          </cell>
          <cell r="X138">
            <v>0</v>
          </cell>
          <cell r="AC138">
            <v>4.9682539682539684</v>
          </cell>
          <cell r="AD138">
            <v>3.3492063492063489</v>
          </cell>
          <cell r="AF138">
            <v>5</v>
          </cell>
        </row>
        <row r="139">
          <cell r="A139">
            <v>7</v>
          </cell>
          <cell r="B139">
            <v>3.6666666666666665</v>
          </cell>
          <cell r="C139">
            <v>4.3333333333333339</v>
          </cell>
          <cell r="E139">
            <v>7.0000000000000009</v>
          </cell>
          <cell r="F139">
            <v>2.1999999999999997</v>
          </cell>
          <cell r="H139">
            <v>5.75</v>
          </cell>
          <cell r="I139">
            <v>3</v>
          </cell>
          <cell r="K139">
            <v>1.8275862068965518</v>
          </cell>
          <cell r="L139">
            <v>2.7586206896551726</v>
          </cell>
          <cell r="N139">
            <v>1.8800000000000001</v>
          </cell>
          <cell r="O139">
            <v>3.4799999999999995</v>
          </cell>
          <cell r="Q139">
            <v>1.8518518518518516</v>
          </cell>
          <cell r="R139">
            <v>3.0925925925925926</v>
          </cell>
          <cell r="T139">
            <v>13.625000000000002</v>
          </cell>
          <cell r="U139">
            <v>9.4583333333333339</v>
          </cell>
          <cell r="W139">
            <v>13.625000000000002</v>
          </cell>
          <cell r="X139">
            <v>9.4583333333333339</v>
          </cell>
          <cell r="AC139">
            <v>7.2727272727272725</v>
          </cell>
          <cell r="AD139">
            <v>5.8636363636363642</v>
          </cell>
          <cell r="AF139">
            <v>5</v>
          </cell>
        </row>
        <row r="140">
          <cell r="A140">
            <v>8</v>
          </cell>
          <cell r="B140">
            <v>5</v>
          </cell>
          <cell r="C140">
            <v>6</v>
          </cell>
          <cell r="E140">
            <v>12</v>
          </cell>
          <cell r="F140">
            <v>3</v>
          </cell>
          <cell r="H140">
            <v>10</v>
          </cell>
          <cell r="I140">
            <v>3.8571428571428568</v>
          </cell>
          <cell r="K140">
            <v>3.5094339622641511</v>
          </cell>
          <cell r="L140">
            <v>2.2641509433962264</v>
          </cell>
          <cell r="N140">
            <v>3.64</v>
          </cell>
          <cell r="O140">
            <v>3.88</v>
          </cell>
          <cell r="Q140">
            <v>3.5728155339805827</v>
          </cell>
          <cell r="R140">
            <v>3.0485436893203883</v>
          </cell>
          <cell r="T140">
            <v>8.1363636363636367</v>
          </cell>
          <cell r="U140">
            <v>9.8636363636363633</v>
          </cell>
          <cell r="W140">
            <v>8.1363636363636367</v>
          </cell>
          <cell r="X140">
            <v>9.8636363636363633</v>
          </cell>
          <cell r="AC140">
            <v>5.9707317073170731</v>
          </cell>
          <cell r="AD140">
            <v>6.0292682926829269</v>
          </cell>
          <cell r="AF140">
            <v>5</v>
          </cell>
        </row>
        <row r="141">
          <cell r="A141">
            <v>9</v>
          </cell>
          <cell r="B141">
            <v>4.5</v>
          </cell>
          <cell r="C141">
            <v>5</v>
          </cell>
          <cell r="E141">
            <v>7.2499999999999991</v>
          </cell>
          <cell r="F141">
            <v>1.25</v>
          </cell>
          <cell r="H141">
            <v>6.3333333333333339</v>
          </cell>
          <cell r="I141">
            <v>2.5</v>
          </cell>
          <cell r="K141">
            <v>6.6153846153846159</v>
          </cell>
          <cell r="L141">
            <v>2.9615384615384617</v>
          </cell>
          <cell r="N141">
            <v>4.7894736842105257</v>
          </cell>
          <cell r="O141">
            <v>4.9473684210526319</v>
          </cell>
          <cell r="Q141">
            <v>5.8444444444444441</v>
          </cell>
          <cell r="R141">
            <v>3.8</v>
          </cell>
          <cell r="T141">
            <v>17.383500000000002</v>
          </cell>
          <cell r="U141">
            <v>9.7000000000000011</v>
          </cell>
          <cell r="W141">
            <v>17.383500000000002</v>
          </cell>
          <cell r="X141">
            <v>9.7000000000000011</v>
          </cell>
          <cell r="AC141">
            <v>10.948791208791208</v>
          </cell>
          <cell r="AD141">
            <v>6.3076923076923075</v>
          </cell>
          <cell r="AF141">
            <v>5</v>
          </cell>
        </row>
        <row r="142">
          <cell r="A142">
            <v>10</v>
          </cell>
          <cell r="B142">
            <v>6.5</v>
          </cell>
          <cell r="C142">
            <v>2</v>
          </cell>
          <cell r="E142">
            <v>6.8750000000000009</v>
          </cell>
          <cell r="F142">
            <v>3.5000000000000004</v>
          </cell>
          <cell r="H142">
            <v>6.75</v>
          </cell>
          <cell r="I142">
            <v>3</v>
          </cell>
          <cell r="K142">
            <v>5.096774193548387</v>
          </cell>
          <cell r="L142">
            <v>1.9677419354838708</v>
          </cell>
          <cell r="N142">
            <v>5.083333333333333</v>
          </cell>
          <cell r="O142">
            <v>3.208333333333333</v>
          </cell>
          <cell r="Q142">
            <v>5.0909090909090908</v>
          </cell>
          <cell r="R142">
            <v>2.5090909090909093</v>
          </cell>
          <cell r="T142">
            <v>0</v>
          </cell>
          <cell r="U142">
            <v>0</v>
          </cell>
          <cell r="W142">
            <v>0</v>
          </cell>
          <cell r="X142">
            <v>0</v>
          </cell>
          <cell r="AC142">
            <v>5.388059701492538</v>
          </cell>
          <cell r="AD142">
            <v>2.5970149253731343</v>
          </cell>
          <cell r="AF142">
            <v>5</v>
          </cell>
        </row>
        <row r="143">
          <cell r="A143">
            <v>11</v>
          </cell>
          <cell r="B143">
            <v>0</v>
          </cell>
          <cell r="C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Q143">
            <v>0</v>
          </cell>
          <cell r="R143">
            <v>0</v>
          </cell>
          <cell r="T143">
            <v>0</v>
          </cell>
          <cell r="U143">
            <v>0</v>
          </cell>
          <cell r="W143">
            <v>0</v>
          </cell>
          <cell r="X143">
            <v>0</v>
          </cell>
          <cell r="AC143">
            <v>0</v>
          </cell>
          <cell r="AD143">
            <v>0</v>
          </cell>
          <cell r="AF143">
            <v>5</v>
          </cell>
        </row>
        <row r="144">
          <cell r="A144">
            <v>12</v>
          </cell>
          <cell r="B144">
            <v>24.333333333333336</v>
          </cell>
          <cell r="C144">
            <v>3.3333333333333335</v>
          </cell>
          <cell r="E144">
            <v>7.6666666666666661</v>
          </cell>
          <cell r="F144">
            <v>2.666666666666667</v>
          </cell>
          <cell r="H144">
            <v>13.222222222222221</v>
          </cell>
          <cell r="I144">
            <v>2.8888888888888888</v>
          </cell>
          <cell r="K144">
            <v>7.8175895765472303</v>
          </cell>
          <cell r="L144">
            <v>2.225841476655809</v>
          </cell>
          <cell r="N144">
            <v>5.8999999999999995</v>
          </cell>
          <cell r="O144">
            <v>3.6999999999999997</v>
          </cell>
          <cell r="Q144">
            <v>7.1428571428571423</v>
          </cell>
          <cell r="R144">
            <v>2.744546094299789</v>
          </cell>
          <cell r="T144">
            <v>0</v>
          </cell>
          <cell r="U144">
            <v>0</v>
          </cell>
          <cell r="W144">
            <v>0</v>
          </cell>
          <cell r="X144">
            <v>0</v>
          </cell>
          <cell r="AC144">
            <v>7.973876063183476</v>
          </cell>
          <cell r="AD144">
            <v>2.7642770352369381</v>
          </cell>
          <cell r="AF144">
            <v>5</v>
          </cell>
        </row>
        <row r="145">
          <cell r="A145">
            <v>13</v>
          </cell>
          <cell r="B145">
            <v>14.249999999999998</v>
          </cell>
          <cell r="C145">
            <v>3.5000000000000004</v>
          </cell>
          <cell r="E145">
            <v>7.2727272727272725</v>
          </cell>
          <cell r="F145">
            <v>3.0909090909090908</v>
          </cell>
          <cell r="H145">
            <v>9.1333333333333329</v>
          </cell>
          <cell r="I145">
            <v>3.2</v>
          </cell>
          <cell r="K145">
            <v>9.0769230769230766</v>
          </cell>
          <cell r="L145">
            <v>2.2115384615384617</v>
          </cell>
          <cell r="N145">
            <v>7.1818181818181825</v>
          </cell>
          <cell r="O145">
            <v>4.2727272727272725</v>
          </cell>
          <cell r="Q145">
            <v>8.513513513513514</v>
          </cell>
          <cell r="R145">
            <v>2.8243243243243241</v>
          </cell>
          <cell r="T145">
            <v>32.1875</v>
          </cell>
          <cell r="U145">
            <v>6.375</v>
          </cell>
          <cell r="W145">
            <v>32.1875</v>
          </cell>
          <cell r="X145">
            <v>6.375</v>
          </cell>
          <cell r="AC145">
            <v>14.851239669421487</v>
          </cell>
          <cell r="AD145">
            <v>3.8099173553719008</v>
          </cell>
          <cell r="AF145">
            <v>5</v>
          </cell>
        </row>
        <row r="146">
          <cell r="A146">
            <v>14</v>
          </cell>
          <cell r="B146">
            <v>1.65625</v>
          </cell>
          <cell r="C146">
            <v>4</v>
          </cell>
          <cell r="E146">
            <v>1.125</v>
          </cell>
          <cell r="F146">
            <v>5.875</v>
          </cell>
          <cell r="H146">
            <v>1.55</v>
          </cell>
          <cell r="I146">
            <v>4.375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W146">
            <v>0</v>
          </cell>
          <cell r="X146">
            <v>0</v>
          </cell>
          <cell r="AC146">
            <v>1.55</v>
          </cell>
          <cell r="AD146">
            <v>4.375</v>
          </cell>
          <cell r="AF146">
            <v>5</v>
          </cell>
        </row>
        <row r="147">
          <cell r="A147">
            <v>15</v>
          </cell>
          <cell r="B147">
            <v>0</v>
          </cell>
          <cell r="C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AC147">
            <v>0</v>
          </cell>
          <cell r="AD147">
            <v>0</v>
          </cell>
          <cell r="AF147">
            <v>5</v>
          </cell>
        </row>
        <row r="148">
          <cell r="A148">
            <v>16</v>
          </cell>
          <cell r="B148">
            <v>1.5</v>
          </cell>
          <cell r="C148">
            <v>6</v>
          </cell>
          <cell r="E148">
            <v>7.5789473684210531</v>
          </cell>
          <cell r="F148">
            <v>1.5789473684210527</v>
          </cell>
          <cell r="H148">
            <v>7.0000000000000009</v>
          </cell>
          <cell r="I148">
            <v>2</v>
          </cell>
          <cell r="K148">
            <v>8.0227272727272734</v>
          </cell>
          <cell r="L148">
            <v>1.8636363636363635</v>
          </cell>
          <cell r="N148">
            <v>7.5937500000000009</v>
          </cell>
          <cell r="O148">
            <v>3.96875</v>
          </cell>
          <cell r="Q148">
            <v>7.8421052631578947</v>
          </cell>
          <cell r="R148">
            <v>2.75</v>
          </cell>
          <cell r="T148">
            <v>26.5</v>
          </cell>
          <cell r="U148">
            <v>6.2142857142857144</v>
          </cell>
          <cell r="W148">
            <v>26.5</v>
          </cell>
          <cell r="X148">
            <v>6.2142857142857144</v>
          </cell>
          <cell r="AC148">
            <v>14.555555555555555</v>
          </cell>
          <cell r="AD148">
            <v>3.9150326797385624</v>
          </cell>
          <cell r="AF148">
            <v>5</v>
          </cell>
        </row>
        <row r="149">
          <cell r="A149">
            <v>17</v>
          </cell>
          <cell r="B149">
            <v>8.3333333333333321</v>
          </cell>
          <cell r="C149">
            <v>5.3333333333333339</v>
          </cell>
          <cell r="E149">
            <v>4.666666666666667</v>
          </cell>
          <cell r="F149">
            <v>4.666666666666667</v>
          </cell>
          <cell r="H149">
            <v>5.583333333333333</v>
          </cell>
          <cell r="I149">
            <v>4.833333333333333</v>
          </cell>
          <cell r="K149">
            <v>11.813953488372093</v>
          </cell>
          <cell r="L149">
            <v>1.8837209302325582</v>
          </cell>
          <cell r="N149">
            <v>5.8611111111111116</v>
          </cell>
          <cell r="O149">
            <v>4.083333333333333</v>
          </cell>
          <cell r="Q149">
            <v>9.1012658227848107</v>
          </cell>
          <cell r="R149">
            <v>2.8860759493670884</v>
          </cell>
          <cell r="T149">
            <v>0</v>
          </cell>
          <cell r="U149">
            <v>0</v>
          </cell>
          <cell r="W149">
            <v>12.724137931034482</v>
          </cell>
          <cell r="X149">
            <v>10.827586206896552</v>
          </cell>
          <cell r="AC149">
            <v>9.625</v>
          </cell>
          <cell r="AD149">
            <v>5</v>
          </cell>
          <cell r="AF149">
            <v>5</v>
          </cell>
        </row>
        <row r="150">
          <cell r="A150">
            <v>18</v>
          </cell>
          <cell r="B150">
            <v>0</v>
          </cell>
          <cell r="C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Q150">
            <v>0</v>
          </cell>
          <cell r="R150">
            <v>0</v>
          </cell>
          <cell r="T150">
            <v>0</v>
          </cell>
          <cell r="U150">
            <v>0</v>
          </cell>
          <cell r="W150">
            <v>0</v>
          </cell>
          <cell r="X150">
            <v>0</v>
          </cell>
          <cell r="AC150">
            <v>0</v>
          </cell>
          <cell r="AD150">
            <v>0</v>
          </cell>
          <cell r="AF150">
            <v>5</v>
          </cell>
        </row>
        <row r="151">
          <cell r="A151">
            <v>19</v>
          </cell>
          <cell r="B151">
            <v>3</v>
          </cell>
          <cell r="C151">
            <v>5</v>
          </cell>
          <cell r="E151">
            <v>6.8888888888888893</v>
          </cell>
          <cell r="F151">
            <v>5.1111111111111116</v>
          </cell>
          <cell r="H151">
            <v>6.5</v>
          </cell>
          <cell r="I151">
            <v>5.0999999999999996</v>
          </cell>
          <cell r="K151">
            <v>7.7916666666666661</v>
          </cell>
          <cell r="L151">
            <v>2.6875</v>
          </cell>
          <cell r="N151">
            <v>6.0487804878048781</v>
          </cell>
          <cell r="O151">
            <v>4.5365853658536581</v>
          </cell>
          <cell r="Q151">
            <v>6.98876404494382</v>
          </cell>
          <cell r="R151">
            <v>3.5393258426966292</v>
          </cell>
          <cell r="T151">
            <v>0</v>
          </cell>
          <cell r="U151">
            <v>0</v>
          </cell>
          <cell r="W151">
            <v>0</v>
          </cell>
          <cell r="X151">
            <v>0</v>
          </cell>
          <cell r="AC151">
            <v>6.9393939393939394</v>
          </cell>
          <cell r="AD151">
            <v>3.6969696969696972</v>
          </cell>
          <cell r="AF151">
            <v>5</v>
          </cell>
        </row>
        <row r="152">
          <cell r="A152">
            <v>20</v>
          </cell>
          <cell r="B152">
            <v>5</v>
          </cell>
          <cell r="C152">
            <v>5.6666666666666661</v>
          </cell>
          <cell r="E152">
            <v>6</v>
          </cell>
          <cell r="F152">
            <v>4.75</v>
          </cell>
          <cell r="H152">
            <v>5.7272727272727275</v>
          </cell>
          <cell r="I152">
            <v>5</v>
          </cell>
          <cell r="K152">
            <v>4.1578947368421053</v>
          </cell>
          <cell r="L152">
            <v>3.8596491228070176</v>
          </cell>
          <cell r="N152">
            <v>4.8421052631578947</v>
          </cell>
          <cell r="O152">
            <v>4.526315789473685</v>
          </cell>
          <cell r="Q152">
            <v>4.4315789473684211</v>
          </cell>
          <cell r="R152">
            <v>4.1263157894736846</v>
          </cell>
          <cell r="T152">
            <v>9.0857142857142854</v>
          </cell>
          <cell r="U152">
            <v>13.685714285714285</v>
          </cell>
          <cell r="W152">
            <v>9.0857142857142854</v>
          </cell>
          <cell r="X152">
            <v>13.685714285714285</v>
          </cell>
          <cell r="AC152">
            <v>6.3636363636363633</v>
          </cell>
          <cell r="AD152">
            <v>7.9829545454545459</v>
          </cell>
          <cell r="AF152">
            <v>5</v>
          </cell>
        </row>
        <row r="153">
          <cell r="A153">
            <v>21</v>
          </cell>
          <cell r="B153">
            <v>5</v>
          </cell>
          <cell r="C153">
            <v>4.3999999999999995</v>
          </cell>
          <cell r="E153">
            <v>3.5714285714285712</v>
          </cell>
          <cell r="F153">
            <v>5.7142857142857144</v>
          </cell>
          <cell r="H153">
            <v>4.1666666666666661</v>
          </cell>
          <cell r="I153">
            <v>5.166666666666667</v>
          </cell>
          <cell r="K153">
            <v>6.2727272727272725</v>
          </cell>
          <cell r="L153">
            <v>4.5999999999999996</v>
          </cell>
          <cell r="N153">
            <v>3.2647058823529411</v>
          </cell>
          <cell r="O153">
            <v>5.4705882352941178</v>
          </cell>
          <cell r="Q153">
            <v>5.1235955056179776</v>
          </cell>
          <cell r="R153">
            <v>4.9325842696629216</v>
          </cell>
          <cell r="T153">
            <v>0</v>
          </cell>
          <cell r="U153">
            <v>0</v>
          </cell>
          <cell r="W153">
            <v>8.5555555555555554</v>
          </cell>
          <cell r="X153">
            <v>15.194444444444443</v>
          </cell>
          <cell r="AC153">
            <v>5.9416058394160585</v>
          </cell>
          <cell r="AD153">
            <v>7.6496350364963508</v>
          </cell>
          <cell r="AF153">
            <v>5</v>
          </cell>
        </row>
        <row r="154">
          <cell r="A154">
            <v>22</v>
          </cell>
          <cell r="B154">
            <v>1</v>
          </cell>
          <cell r="C154">
            <v>7.0000000000000009</v>
          </cell>
          <cell r="E154">
            <v>3.4285714285714288</v>
          </cell>
          <cell r="F154">
            <v>4.4285714285714279</v>
          </cell>
          <cell r="H154">
            <v>2.7</v>
          </cell>
          <cell r="I154">
            <v>5.2</v>
          </cell>
          <cell r="K154">
            <v>3.1875</v>
          </cell>
          <cell r="L154">
            <v>5.3125</v>
          </cell>
          <cell r="N154">
            <v>3.25</v>
          </cell>
          <cell r="O154">
            <v>6.5</v>
          </cell>
          <cell r="Q154">
            <v>3.208333333333333</v>
          </cell>
          <cell r="R154">
            <v>5.708333333333333</v>
          </cell>
          <cell r="T154">
            <v>0</v>
          </cell>
          <cell r="U154">
            <v>0</v>
          </cell>
          <cell r="W154">
            <v>10.52</v>
          </cell>
          <cell r="X154">
            <v>10.4</v>
          </cell>
          <cell r="AC154">
            <v>4.8691588785046731</v>
          </cell>
          <cell r="AD154">
            <v>6.7570093457943932</v>
          </cell>
          <cell r="AF154">
            <v>5</v>
          </cell>
        </row>
        <row r="155">
          <cell r="A155">
            <v>23</v>
          </cell>
          <cell r="B155">
            <v>5.6666666666666661</v>
          </cell>
          <cell r="C155">
            <v>6</v>
          </cell>
          <cell r="E155">
            <v>5.125</v>
          </cell>
          <cell r="F155">
            <v>4.625</v>
          </cell>
          <cell r="H155">
            <v>5.2727272727272725</v>
          </cell>
          <cell r="I155">
            <v>5</v>
          </cell>
          <cell r="K155">
            <v>3.2380952380952377</v>
          </cell>
          <cell r="L155">
            <v>4.1666666666666661</v>
          </cell>
          <cell r="N155">
            <v>1.7826086956521738</v>
          </cell>
          <cell r="O155">
            <v>5.6521739130434785</v>
          </cell>
          <cell r="Q155">
            <v>2.7230769230769232</v>
          </cell>
          <cell r="R155">
            <v>4.6923076923076925</v>
          </cell>
          <cell r="T155">
            <v>11.058823529411764</v>
          </cell>
          <cell r="U155">
            <v>16.588235294117649</v>
          </cell>
          <cell r="W155">
            <v>11.058823529411764</v>
          </cell>
          <cell r="X155">
            <v>16.588235294117649</v>
          </cell>
          <cell r="AC155">
            <v>5.5545454545454547</v>
          </cell>
          <cell r="AD155">
            <v>8.4</v>
          </cell>
          <cell r="AF155">
            <v>5</v>
          </cell>
        </row>
        <row r="156">
          <cell r="A156">
            <v>24</v>
          </cell>
          <cell r="B156">
            <v>2.3333333333333335</v>
          </cell>
          <cell r="C156">
            <v>7.0000000000000009</v>
          </cell>
          <cell r="E156">
            <v>5.5</v>
          </cell>
          <cell r="F156">
            <v>4.5</v>
          </cell>
          <cell r="H156">
            <v>4.7692307692307692</v>
          </cell>
          <cell r="I156">
            <v>5.0769230769230766</v>
          </cell>
          <cell r="K156">
            <v>2.3272727272727272</v>
          </cell>
          <cell r="L156">
            <v>4.2727272727272725</v>
          </cell>
          <cell r="N156">
            <v>2.3571428571428572</v>
          </cell>
          <cell r="O156">
            <v>3.5000000000000004</v>
          </cell>
          <cell r="Q156">
            <v>2.3333333333333335</v>
          </cell>
          <cell r="R156">
            <v>4.1159420289855069</v>
          </cell>
          <cell r="T156">
            <v>16.545454545454547</v>
          </cell>
          <cell r="U156">
            <v>15</v>
          </cell>
          <cell r="W156">
            <v>16.545454545454547</v>
          </cell>
          <cell r="X156">
            <v>15</v>
          </cell>
          <cell r="AC156">
            <v>5.6442307692307692</v>
          </cell>
          <cell r="AD156">
            <v>6.5384615384615392</v>
          </cell>
          <cell r="AF156">
            <v>5</v>
          </cell>
        </row>
        <row r="157">
          <cell r="A157">
            <v>25</v>
          </cell>
          <cell r="B157">
            <v>0</v>
          </cell>
          <cell r="C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Q157">
            <v>0</v>
          </cell>
          <cell r="R157">
            <v>0</v>
          </cell>
          <cell r="T157">
            <v>0</v>
          </cell>
          <cell r="U157">
            <v>0</v>
          </cell>
          <cell r="W157">
            <v>0</v>
          </cell>
          <cell r="X157">
            <v>0</v>
          </cell>
          <cell r="AC157">
            <v>0</v>
          </cell>
          <cell r="AD157">
            <v>0</v>
          </cell>
          <cell r="AF157">
            <v>5</v>
          </cell>
        </row>
        <row r="158">
          <cell r="A158">
            <v>26</v>
          </cell>
          <cell r="B158">
            <v>2.5</v>
          </cell>
          <cell r="C158">
            <v>4.25</v>
          </cell>
          <cell r="E158">
            <v>4.7777777777777777</v>
          </cell>
          <cell r="F158">
            <v>5.5555555555555554</v>
          </cell>
          <cell r="H158">
            <v>4.0769230769230766</v>
          </cell>
          <cell r="I158">
            <v>5.1538461538461542</v>
          </cell>
          <cell r="K158">
            <v>2.9378531073446328</v>
          </cell>
          <cell r="L158">
            <v>5.2542372881355925</v>
          </cell>
          <cell r="N158">
            <v>1.2857142857142856</v>
          </cell>
          <cell r="O158">
            <v>7.9285714285714279</v>
          </cell>
          <cell r="Q158">
            <v>2.2082018927444795</v>
          </cell>
          <cell r="R158">
            <v>6.4353312302839107</v>
          </cell>
          <cell r="T158">
            <v>0</v>
          </cell>
          <cell r="U158">
            <v>0</v>
          </cell>
          <cell r="W158">
            <v>4.1111111111111116</v>
          </cell>
          <cell r="X158">
            <v>12.555555555555555</v>
          </cell>
          <cell r="AC158">
            <v>2.9795158286778398</v>
          </cell>
          <cell r="AD158">
            <v>7.1508379888268152</v>
          </cell>
          <cell r="AF158">
            <v>5</v>
          </cell>
        </row>
        <row r="159">
          <cell r="A159">
            <v>27</v>
          </cell>
          <cell r="B159">
            <v>2</v>
          </cell>
          <cell r="C159">
            <v>9</v>
          </cell>
          <cell r="E159">
            <v>4.1428571428571423</v>
          </cell>
          <cell r="F159">
            <v>5.5714285714285712</v>
          </cell>
          <cell r="H159">
            <v>3.6666666666666665</v>
          </cell>
          <cell r="I159">
            <v>6.3333333333333339</v>
          </cell>
          <cell r="K159">
            <v>1.6875</v>
          </cell>
          <cell r="L159">
            <v>6.25</v>
          </cell>
          <cell r="N159">
            <v>3.3333333333333335</v>
          </cell>
          <cell r="O159">
            <v>6.8421052631578956</v>
          </cell>
          <cell r="Q159">
            <v>2.1198156682027647</v>
          </cell>
          <cell r="R159">
            <v>6.4055299539170507</v>
          </cell>
          <cell r="T159">
            <v>0</v>
          </cell>
          <cell r="U159">
            <v>0</v>
          </cell>
          <cell r="W159">
            <v>6.666666666666667</v>
          </cell>
          <cell r="X159">
            <v>9</v>
          </cell>
          <cell r="AC159">
            <v>3.242506811989101</v>
          </cell>
          <cell r="AD159">
            <v>6.8119891008174394</v>
          </cell>
          <cell r="AF159">
            <v>5</v>
          </cell>
        </row>
        <row r="160">
          <cell r="A160">
            <v>28</v>
          </cell>
          <cell r="B160">
            <v>0</v>
          </cell>
          <cell r="C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W160">
            <v>5</v>
          </cell>
          <cell r="X160">
            <v>12.6</v>
          </cell>
          <cell r="AC160">
            <v>5</v>
          </cell>
          <cell r="AD160">
            <v>12.6</v>
          </cell>
          <cell r="AF160">
            <v>5</v>
          </cell>
        </row>
        <row r="161">
          <cell r="A161">
            <v>29</v>
          </cell>
          <cell r="B161">
            <v>0</v>
          </cell>
          <cell r="C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W161">
            <v>0</v>
          </cell>
          <cell r="X161">
            <v>0</v>
          </cell>
          <cell r="AC161">
            <v>0</v>
          </cell>
          <cell r="AD161">
            <v>0</v>
          </cell>
          <cell r="AF161">
            <v>5</v>
          </cell>
        </row>
        <row r="162">
          <cell r="A162">
            <v>30</v>
          </cell>
          <cell r="B162">
            <v>0</v>
          </cell>
          <cell r="C162">
            <v>4.5</v>
          </cell>
          <cell r="E162">
            <v>3.833333333333333</v>
          </cell>
          <cell r="F162">
            <v>3.3333333333333335</v>
          </cell>
          <cell r="H162">
            <v>2.875</v>
          </cell>
          <cell r="I162">
            <v>3.6249999999999996</v>
          </cell>
          <cell r="K162">
            <v>1.7333333333333332</v>
          </cell>
          <cell r="L162">
            <v>3.5999999999999996</v>
          </cell>
          <cell r="N162">
            <v>0.84615384615384615</v>
          </cell>
          <cell r="O162">
            <v>4.8461538461538458</v>
          </cell>
          <cell r="Q162">
            <v>1.4651162790697674</v>
          </cell>
          <cell r="R162">
            <v>3.9767441860465116</v>
          </cell>
          <cell r="T162">
            <v>0</v>
          </cell>
          <cell r="U162">
            <v>0</v>
          </cell>
          <cell r="W162">
            <v>8.2083333333333321</v>
          </cell>
          <cell r="X162">
            <v>9.75</v>
          </cell>
          <cell r="AC162">
            <v>3.7733333333333334</v>
          </cell>
          <cell r="AD162">
            <v>5.7866666666666662</v>
          </cell>
          <cell r="AF162">
            <v>5</v>
          </cell>
        </row>
        <row r="163">
          <cell r="A163">
            <v>31</v>
          </cell>
          <cell r="B163">
            <v>3.4000000000000004</v>
          </cell>
          <cell r="C163">
            <v>3.8</v>
          </cell>
          <cell r="E163">
            <v>2.4444444444444446</v>
          </cell>
          <cell r="F163">
            <v>3</v>
          </cell>
          <cell r="H163">
            <v>2.7857142857142856</v>
          </cell>
          <cell r="I163">
            <v>3.2857142857142856</v>
          </cell>
          <cell r="K163">
            <v>1.0483870967741937</v>
          </cell>
          <cell r="L163">
            <v>4.032258064516129</v>
          </cell>
          <cell r="N163">
            <v>2.875</v>
          </cell>
          <cell r="O163">
            <v>2.125</v>
          </cell>
          <cell r="Q163">
            <v>1.7647058823529411</v>
          </cell>
          <cell r="R163">
            <v>3.2843137254901964</v>
          </cell>
          <cell r="T163">
            <v>10.125</v>
          </cell>
          <cell r="U163">
            <v>12.25</v>
          </cell>
          <cell r="W163">
            <v>0</v>
          </cell>
          <cell r="X163">
            <v>0</v>
          </cell>
          <cell r="AC163">
            <v>3.6792452830188678</v>
          </cell>
          <cell r="AD163">
            <v>4.9764150943396226</v>
          </cell>
          <cell r="AF163">
            <v>5</v>
          </cell>
        </row>
        <row r="164">
          <cell r="A164" t="str">
            <v xml:space="preserve">Jun/01 </v>
          </cell>
          <cell r="B164">
            <v>0</v>
          </cell>
          <cell r="C164">
            <v>0</v>
          </cell>
          <cell r="E164">
            <v>0</v>
          </cell>
          <cell r="F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W164">
            <v>0</v>
          </cell>
          <cell r="X164">
            <v>0</v>
          </cell>
          <cell r="AC164">
            <v>0</v>
          </cell>
          <cell r="AD164">
            <v>0</v>
          </cell>
          <cell r="AF164">
            <v>5</v>
          </cell>
        </row>
        <row r="165">
          <cell r="A165">
            <v>2</v>
          </cell>
          <cell r="B165">
            <v>0.66666666666666674</v>
          </cell>
          <cell r="C165">
            <v>6.666666666666667</v>
          </cell>
          <cell r="E165">
            <v>2.8571428571428572</v>
          </cell>
          <cell r="F165">
            <v>4.1428571428571423</v>
          </cell>
          <cell r="H165">
            <v>2.1999999999999997</v>
          </cell>
          <cell r="I165">
            <v>4.9000000000000004</v>
          </cell>
          <cell r="K165">
            <v>2.2916666666666665</v>
          </cell>
          <cell r="L165">
            <v>4.416666666666667</v>
          </cell>
          <cell r="N165">
            <v>2.2631578947368425</v>
          </cell>
          <cell r="O165">
            <v>4.1578947368421053</v>
          </cell>
          <cell r="Q165">
            <v>2.2790697674418601</v>
          </cell>
          <cell r="R165">
            <v>4.3023255813953494</v>
          </cell>
          <cell r="T165">
            <v>0</v>
          </cell>
          <cell r="U165">
            <v>0</v>
          </cell>
          <cell r="W165">
            <v>10.823529411764705</v>
          </cell>
          <cell r="X165">
            <v>9.8823529411764692</v>
          </cell>
          <cell r="AC165">
            <v>4.3428571428571425</v>
          </cell>
          <cell r="AD165">
            <v>5.7428571428571429</v>
          </cell>
          <cell r="AF165">
            <v>5</v>
          </cell>
        </row>
        <row r="166">
          <cell r="A166">
            <v>3</v>
          </cell>
          <cell r="B166">
            <v>1.3333333333333335</v>
          </cell>
          <cell r="C166">
            <v>4.3333333333333339</v>
          </cell>
          <cell r="E166">
            <v>1.875</v>
          </cell>
          <cell r="F166">
            <v>4.75</v>
          </cell>
          <cell r="H166">
            <v>1.7272727272727273</v>
          </cell>
          <cell r="I166">
            <v>4.6363636363636367</v>
          </cell>
          <cell r="K166">
            <v>1</v>
          </cell>
          <cell r="L166">
            <v>4.0434782608695654</v>
          </cell>
          <cell r="N166">
            <v>2.2352941176470589</v>
          </cell>
          <cell r="O166">
            <v>4.6470588235294121</v>
          </cell>
          <cell r="Q166">
            <v>1.5249999999999999</v>
          </cell>
          <cell r="R166">
            <v>4.3</v>
          </cell>
          <cell r="T166">
            <v>0</v>
          </cell>
          <cell r="U166">
            <v>0</v>
          </cell>
          <cell r="W166">
            <v>9.6363636363636367</v>
          </cell>
          <cell r="X166">
            <v>10.818181818181818</v>
          </cell>
          <cell r="AC166">
            <v>3</v>
          </cell>
          <cell r="AD166">
            <v>5.5161290322580641</v>
          </cell>
          <cell r="AF166">
            <v>5</v>
          </cell>
        </row>
        <row r="167">
          <cell r="A167">
            <v>4</v>
          </cell>
          <cell r="B167">
            <v>3.7313432835820892</v>
          </cell>
          <cell r="C167">
            <v>5.9701492537313428</v>
          </cell>
          <cell r="E167">
            <v>3.2857142857142856</v>
          </cell>
          <cell r="F167">
            <v>4.5714285714285712</v>
          </cell>
          <cell r="H167">
            <v>3.4090909090909087</v>
          </cell>
          <cell r="I167">
            <v>4.9586776859504136</v>
          </cell>
          <cell r="K167">
            <v>1.7376681614349778</v>
          </cell>
          <cell r="L167">
            <v>2.9708520179372195</v>
          </cell>
          <cell r="N167">
            <v>1.3333333333333335</v>
          </cell>
          <cell r="O167">
            <v>5.833333333333333</v>
          </cell>
          <cell r="Q167">
            <v>1.6359060402684564</v>
          </cell>
          <cell r="R167">
            <v>3.6912751677852351</v>
          </cell>
          <cell r="T167">
            <v>0</v>
          </cell>
          <cell r="U167">
            <v>0</v>
          </cell>
          <cell r="W167">
            <v>10.571428571428571</v>
          </cell>
          <cell r="X167">
            <v>12.857142857142856</v>
          </cell>
          <cell r="AC167">
            <v>4.6296296296296298</v>
          </cell>
          <cell r="AD167">
            <v>6.6498316498316505</v>
          </cell>
          <cell r="AF167">
            <v>5</v>
          </cell>
        </row>
        <row r="168">
          <cell r="A168">
            <v>5</v>
          </cell>
          <cell r="B168">
            <v>5</v>
          </cell>
          <cell r="C168">
            <v>8</v>
          </cell>
          <cell r="E168">
            <v>2</v>
          </cell>
          <cell r="F168">
            <v>6.2</v>
          </cell>
          <cell r="H168">
            <v>2.5</v>
          </cell>
          <cell r="I168">
            <v>6.5</v>
          </cell>
          <cell r="K168">
            <v>2.5294117647058822</v>
          </cell>
          <cell r="L168">
            <v>3.882352941176471</v>
          </cell>
          <cell r="N168">
            <v>2.1818181818181821</v>
          </cell>
          <cell r="O168">
            <v>4.3636363636363642</v>
          </cell>
          <cell r="Q168">
            <v>2.3928571428571428</v>
          </cell>
          <cell r="R168">
            <v>4.0714285714285721</v>
          </cell>
          <cell r="T168">
            <v>7.1818181818181825</v>
          </cell>
          <cell r="U168">
            <v>12.363636363636363</v>
          </cell>
          <cell r="W168">
            <v>0</v>
          </cell>
          <cell r="X168">
            <v>0</v>
          </cell>
          <cell r="AC168">
            <v>3.5777777777777775</v>
          </cell>
          <cell r="AD168">
            <v>6.4222222222222225</v>
          </cell>
          <cell r="AF168">
            <v>5</v>
          </cell>
        </row>
        <row r="169">
          <cell r="A169">
            <v>6</v>
          </cell>
          <cell r="B169">
            <v>0</v>
          </cell>
          <cell r="C169">
            <v>0</v>
          </cell>
          <cell r="E169">
            <v>5</v>
          </cell>
          <cell r="F169">
            <v>4</v>
          </cell>
          <cell r="H169">
            <v>5</v>
          </cell>
          <cell r="I169">
            <v>4</v>
          </cell>
          <cell r="K169">
            <v>1.7142857142857144</v>
          </cell>
          <cell r="L169">
            <v>3</v>
          </cell>
          <cell r="N169">
            <v>1.2083333333333333</v>
          </cell>
          <cell r="O169">
            <v>4.1666666666666661</v>
          </cell>
          <cell r="Q169">
            <v>1.4807692307692308</v>
          </cell>
          <cell r="R169">
            <v>3.5384615384615383</v>
          </cell>
          <cell r="T169">
            <v>4.3333333333333339</v>
          </cell>
          <cell r="U169">
            <v>11.111111111111111</v>
          </cell>
          <cell r="W169">
            <v>4.3333333333333339</v>
          </cell>
          <cell r="X169">
            <v>11.111111111111111</v>
          </cell>
          <cell r="AC169">
            <v>2.7</v>
          </cell>
          <cell r="AD169">
            <v>6.5777777777777784</v>
          </cell>
          <cell r="AF169">
            <v>5</v>
          </cell>
        </row>
        <row r="170">
          <cell r="A170">
            <v>7</v>
          </cell>
          <cell r="B170">
            <v>1.2</v>
          </cell>
          <cell r="C170">
            <v>6.6000000000000005</v>
          </cell>
          <cell r="E170">
            <v>3</v>
          </cell>
          <cell r="F170">
            <v>4.8888888888888893</v>
          </cell>
          <cell r="H170">
            <v>2.3571428571428572</v>
          </cell>
          <cell r="I170">
            <v>5.5</v>
          </cell>
          <cell r="K170">
            <v>1.0380622837370241</v>
          </cell>
          <cell r="L170">
            <v>4.6020761245674739</v>
          </cell>
          <cell r="N170">
            <v>1.7500000000000002</v>
          </cell>
          <cell r="O170">
            <v>4.8611111111111116</v>
          </cell>
          <cell r="Q170">
            <v>1.4329738058551618</v>
          </cell>
          <cell r="R170">
            <v>4.7457627118644066</v>
          </cell>
          <cell r="T170">
            <v>4.7777777777777777</v>
          </cell>
          <cell r="U170">
            <v>9.7222222222222232</v>
          </cell>
          <cell r="W170">
            <v>4.7777777777777777</v>
          </cell>
          <cell r="X170">
            <v>9.7222222222222232</v>
          </cell>
          <cell r="AC170">
            <v>2.5935596170583115</v>
          </cell>
          <cell r="AD170">
            <v>6.3968668407310707</v>
          </cell>
          <cell r="AF170">
            <v>5</v>
          </cell>
        </row>
        <row r="171">
          <cell r="A171">
            <v>8</v>
          </cell>
          <cell r="B171">
            <v>0</v>
          </cell>
          <cell r="C171">
            <v>0</v>
          </cell>
          <cell r="E171">
            <v>0</v>
          </cell>
          <cell r="F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Q171">
            <v>0</v>
          </cell>
          <cell r="R171">
            <v>0</v>
          </cell>
          <cell r="T171">
            <v>0</v>
          </cell>
          <cell r="U171">
            <v>0</v>
          </cell>
          <cell r="W171">
            <v>0</v>
          </cell>
          <cell r="X171">
            <v>0</v>
          </cell>
          <cell r="AC171">
            <v>0</v>
          </cell>
          <cell r="AD171">
            <v>0</v>
          </cell>
          <cell r="AF171">
            <v>5</v>
          </cell>
        </row>
        <row r="172">
          <cell r="A172">
            <v>9</v>
          </cell>
          <cell r="B172">
            <v>3.3333333333333335</v>
          </cell>
          <cell r="C172">
            <v>4.666666666666667</v>
          </cell>
          <cell r="E172">
            <v>3.6249999999999996</v>
          </cell>
          <cell r="F172">
            <v>11.375</v>
          </cell>
          <cell r="H172">
            <v>3.5454545454545454</v>
          </cell>
          <cell r="I172">
            <v>9.5454545454545467</v>
          </cell>
          <cell r="K172">
            <v>2.0681818181818183</v>
          </cell>
          <cell r="L172">
            <v>3.0454545454545454</v>
          </cell>
          <cell r="N172">
            <v>2.09375</v>
          </cell>
          <cell r="O172">
            <v>4.28125</v>
          </cell>
          <cell r="Q172">
            <v>2.0789473684210527</v>
          </cell>
          <cell r="R172">
            <v>3.5657894736842102</v>
          </cell>
          <cell r="T172">
            <v>7.7826086956521738</v>
          </cell>
          <cell r="U172">
            <v>8.2173913043478262</v>
          </cell>
          <cell r="W172">
            <v>7.7826086956521738</v>
          </cell>
          <cell r="X172">
            <v>8.2173913043478262</v>
          </cell>
          <cell r="AC172">
            <v>4.1729323308270683</v>
          </cell>
          <cell r="AD172">
            <v>5.6691729323308273</v>
          </cell>
          <cell r="AF172">
            <v>5</v>
          </cell>
        </row>
        <row r="173">
          <cell r="A173">
            <v>10</v>
          </cell>
          <cell r="B173">
            <v>2</v>
          </cell>
          <cell r="C173">
            <v>5.3333333333333339</v>
          </cell>
          <cell r="E173">
            <v>2.25</v>
          </cell>
          <cell r="F173">
            <v>5.75</v>
          </cell>
          <cell r="H173">
            <v>2.1818181818181821</v>
          </cell>
          <cell r="I173">
            <v>5.6363636363636367</v>
          </cell>
          <cell r="K173">
            <v>2.4827586206896552</v>
          </cell>
          <cell r="L173">
            <v>3.0344827586206895</v>
          </cell>
          <cell r="N173">
            <v>2.7586206896551726</v>
          </cell>
          <cell r="O173">
            <v>4.1724137931034484</v>
          </cell>
          <cell r="Q173">
            <v>2.6206896551724137</v>
          </cell>
          <cell r="R173">
            <v>3.6034482758620685</v>
          </cell>
          <cell r="T173">
            <v>8.1304347826086953</v>
          </cell>
          <cell r="U173">
            <v>9</v>
          </cell>
          <cell r="W173">
            <v>8.1304347826086953</v>
          </cell>
          <cell r="X173">
            <v>9</v>
          </cell>
          <cell r="AC173">
            <v>4.7826086956521738</v>
          </cell>
          <cell r="AD173">
            <v>5.9565217391304346</v>
          </cell>
          <cell r="AF173">
            <v>5</v>
          </cell>
        </row>
        <row r="174">
          <cell r="A174">
            <v>11</v>
          </cell>
          <cell r="B174">
            <v>1.3333333333333335</v>
          </cell>
          <cell r="C174">
            <v>6.3333333333333339</v>
          </cell>
          <cell r="E174">
            <v>3</v>
          </cell>
          <cell r="F174">
            <v>6.5714285714285712</v>
          </cell>
          <cell r="H174">
            <v>2.5</v>
          </cell>
          <cell r="I174">
            <v>6.5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9.9444444444444446</v>
          </cell>
          <cell r="U174">
            <v>11</v>
          </cell>
          <cell r="W174">
            <v>9.9444444444444446</v>
          </cell>
          <cell r="X174">
            <v>11</v>
          </cell>
          <cell r="AC174">
            <v>8.3260869565217384</v>
          </cell>
          <cell r="AD174">
            <v>10.021739130434783</v>
          </cell>
          <cell r="AF174">
            <v>5</v>
          </cell>
        </row>
        <row r="175">
          <cell r="A175">
            <v>12</v>
          </cell>
          <cell r="B175">
            <v>3.6666666666666665</v>
          </cell>
          <cell r="C175">
            <v>5.3333333333333339</v>
          </cell>
          <cell r="E175">
            <v>2.1428571428571428</v>
          </cell>
          <cell r="F175">
            <v>6</v>
          </cell>
          <cell r="H175">
            <v>2.6</v>
          </cell>
          <cell r="I175">
            <v>5.8000000000000007</v>
          </cell>
          <cell r="K175">
            <v>1.9444444444444444</v>
          </cell>
          <cell r="L175">
            <v>3.7777777777777777</v>
          </cell>
          <cell r="N175">
            <v>2</v>
          </cell>
          <cell r="O175">
            <v>4.3999999999999995</v>
          </cell>
          <cell r="Q175">
            <v>1.9642857142857142</v>
          </cell>
          <cell r="R175">
            <v>4</v>
          </cell>
          <cell r="T175">
            <v>11.4375</v>
          </cell>
          <cell r="U175">
            <v>8.5</v>
          </cell>
          <cell r="W175">
            <v>0</v>
          </cell>
          <cell r="X175">
            <v>0</v>
          </cell>
          <cell r="AC175">
            <v>3.8902439024390243</v>
          </cell>
          <cell r="AD175">
            <v>5.0975609756097562</v>
          </cell>
          <cell r="AF175">
            <v>5</v>
          </cell>
        </row>
        <row r="176">
          <cell r="A176">
            <v>13</v>
          </cell>
          <cell r="B176">
            <v>0</v>
          </cell>
          <cell r="C176">
            <v>7.2222222222222214</v>
          </cell>
          <cell r="E176">
            <v>2.3333333333333335</v>
          </cell>
          <cell r="F176">
            <v>9</v>
          </cell>
          <cell r="H176">
            <v>1.4583333333333333</v>
          </cell>
          <cell r="I176">
            <v>8.3333333333333321</v>
          </cell>
          <cell r="K176">
            <v>2.3333333333333335</v>
          </cell>
          <cell r="L176">
            <v>3.6666666666666665</v>
          </cell>
          <cell r="N176">
            <v>2.4</v>
          </cell>
          <cell r="O176">
            <v>3.9</v>
          </cell>
          <cell r="Q176">
            <v>2.3636363636363638</v>
          </cell>
          <cell r="R176">
            <v>3.7727272727272729</v>
          </cell>
          <cell r="T176">
            <v>10.4</v>
          </cell>
          <cell r="U176">
            <v>8.7999999999999989</v>
          </cell>
          <cell r="W176">
            <v>10.4</v>
          </cell>
          <cell r="X176">
            <v>8.7999999999999989</v>
          </cell>
          <cell r="AC176">
            <v>5.7051282051282053</v>
          </cell>
          <cell r="AD176">
            <v>6.3888888888888884</v>
          </cell>
          <cell r="AF176">
            <v>5</v>
          </cell>
        </row>
        <row r="177">
          <cell r="A177">
            <v>14</v>
          </cell>
          <cell r="B177">
            <v>0</v>
          </cell>
          <cell r="C177">
            <v>10</v>
          </cell>
          <cell r="E177">
            <v>2.014388489208633</v>
          </cell>
          <cell r="F177">
            <v>7.0503597122302155</v>
          </cell>
          <cell r="H177">
            <v>1.564245810055866</v>
          </cell>
          <cell r="I177">
            <v>7.7094972067039107</v>
          </cell>
          <cell r="K177">
            <v>1.53125</v>
          </cell>
          <cell r="L177">
            <v>4.09375</v>
          </cell>
          <cell r="N177">
            <v>1.625</v>
          </cell>
          <cell r="O177">
            <v>5.5</v>
          </cell>
          <cell r="Q177">
            <v>1.55</v>
          </cell>
          <cell r="R177">
            <v>4.375</v>
          </cell>
          <cell r="T177">
            <v>7.7272727272727266</v>
          </cell>
          <cell r="U177">
            <v>10.181818181818182</v>
          </cell>
          <cell r="W177">
            <v>7.7272727272727266</v>
          </cell>
          <cell r="X177">
            <v>10.181818181818182</v>
          </cell>
          <cell r="AC177">
            <v>3.4672304439746302</v>
          </cell>
          <cell r="AD177">
            <v>6.5961945031712474</v>
          </cell>
          <cell r="AF177">
            <v>5</v>
          </cell>
        </row>
        <row r="178">
          <cell r="A178">
            <v>15</v>
          </cell>
          <cell r="B178">
            <v>0</v>
          </cell>
          <cell r="C178">
            <v>0</v>
          </cell>
          <cell r="E178">
            <v>0</v>
          </cell>
          <cell r="F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Q178">
            <v>0</v>
          </cell>
          <cell r="R178">
            <v>0</v>
          </cell>
          <cell r="T178">
            <v>0</v>
          </cell>
          <cell r="U178">
            <v>0</v>
          </cell>
          <cell r="W178">
            <v>0</v>
          </cell>
          <cell r="X178">
            <v>0</v>
          </cell>
          <cell r="AC178">
            <v>0</v>
          </cell>
          <cell r="AD178">
            <v>0</v>
          </cell>
          <cell r="AF178">
            <v>5</v>
          </cell>
        </row>
        <row r="179">
          <cell r="A179">
            <v>16</v>
          </cell>
          <cell r="B179">
            <v>0.5</v>
          </cell>
          <cell r="C179">
            <v>7.5</v>
          </cell>
          <cell r="E179">
            <v>1.625</v>
          </cell>
          <cell r="F179">
            <v>9.25</v>
          </cell>
          <cell r="H179">
            <v>1.25</v>
          </cell>
          <cell r="I179">
            <v>8.6666666666666679</v>
          </cell>
          <cell r="K179">
            <v>1.145975443383356</v>
          </cell>
          <cell r="L179">
            <v>4.1746248294679402</v>
          </cell>
          <cell r="N179">
            <v>1.3478260869565217</v>
          </cell>
          <cell r="O179">
            <v>5.6521739130434785</v>
          </cell>
          <cell r="Q179">
            <v>1.2238055322715844</v>
          </cell>
          <cell r="R179">
            <v>4.7443419949706618</v>
          </cell>
          <cell r="T179">
            <v>5.8260869565217392</v>
          </cell>
          <cell r="U179">
            <v>10.956521739130434</v>
          </cell>
          <cell r="W179">
            <v>5.8260869565217392</v>
          </cell>
          <cell r="X179">
            <v>10.956521739130434</v>
          </cell>
          <cell r="AC179">
            <v>3.0259243518912027</v>
          </cell>
          <cell r="AD179">
            <v>7.5733106672333195</v>
          </cell>
          <cell r="AF179">
            <v>5</v>
          </cell>
        </row>
        <row r="180">
          <cell r="A180">
            <v>17</v>
          </cell>
          <cell r="B180">
            <v>0</v>
          </cell>
          <cell r="C180">
            <v>3.75</v>
          </cell>
          <cell r="E180">
            <v>3.6666666666666665</v>
          </cell>
          <cell r="F180">
            <v>5.3333333333333339</v>
          </cell>
          <cell r="H180">
            <v>1.5714285714285716</v>
          </cell>
          <cell r="I180">
            <v>4.4285714285714279</v>
          </cell>
          <cell r="K180">
            <v>1.2285714285714284</v>
          </cell>
          <cell r="L180">
            <v>4.6857142857142851</v>
          </cell>
          <cell r="N180">
            <v>2.4444444444444446</v>
          </cell>
          <cell r="O180">
            <v>5.3333333333333339</v>
          </cell>
          <cell r="Q180">
            <v>1.641509433962264</v>
          </cell>
          <cell r="R180">
            <v>4.9056603773584913</v>
          </cell>
          <cell r="T180">
            <v>6.4137931034482758</v>
          </cell>
          <cell r="U180">
            <v>10.241379310344827</v>
          </cell>
          <cell r="W180">
            <v>6.4137931034482758</v>
          </cell>
          <cell r="X180">
            <v>10.241379310344827</v>
          </cell>
          <cell r="AC180">
            <v>3.9830508474576267</v>
          </cell>
          <cell r="AD180">
            <v>7.5</v>
          </cell>
          <cell r="AF180">
            <v>5</v>
          </cell>
        </row>
        <row r="181">
          <cell r="A181">
            <v>18</v>
          </cell>
          <cell r="B181">
            <v>3</v>
          </cell>
          <cell r="C181">
            <v>3.5000000000000004</v>
          </cell>
          <cell r="E181">
            <v>1.4285714285714286</v>
          </cell>
          <cell r="F181">
            <v>6</v>
          </cell>
          <cell r="H181">
            <v>1.7777777777777777</v>
          </cell>
          <cell r="I181">
            <v>5.4444444444444438</v>
          </cell>
          <cell r="K181">
            <v>1.7407407407407407</v>
          </cell>
          <cell r="L181">
            <v>4.1851851851851851</v>
          </cell>
          <cell r="N181">
            <v>1.4243323442136497</v>
          </cell>
          <cell r="O181">
            <v>4.2729970326409497</v>
          </cell>
          <cell r="Q181">
            <v>1.619156214367161</v>
          </cell>
          <cell r="R181">
            <v>4.2189281641961234</v>
          </cell>
          <cell r="T181">
            <v>7.48</v>
          </cell>
          <cell r="U181">
            <v>8.5599999999999987</v>
          </cell>
          <cell r="W181">
            <v>7.48</v>
          </cell>
          <cell r="X181">
            <v>8.5599999999999987</v>
          </cell>
          <cell r="AC181">
            <v>4.4822557122022362</v>
          </cell>
          <cell r="AD181">
            <v>6.4365580943121046</v>
          </cell>
          <cell r="AF181">
            <v>5</v>
          </cell>
        </row>
        <row r="182">
          <cell r="A182">
            <v>19</v>
          </cell>
          <cell r="B182">
            <v>3.5000000000000004</v>
          </cell>
          <cell r="C182">
            <v>2</v>
          </cell>
          <cell r="E182">
            <v>2.6</v>
          </cell>
          <cell r="F182">
            <v>4</v>
          </cell>
          <cell r="H182">
            <v>2.8571428571428572</v>
          </cell>
          <cell r="I182">
            <v>3.4285714285714288</v>
          </cell>
          <cell r="K182">
            <v>1.9444444444444444</v>
          </cell>
          <cell r="L182">
            <v>3.9930555555555554</v>
          </cell>
          <cell r="N182">
            <v>12.879999999999999</v>
          </cell>
          <cell r="O182">
            <v>4.84</v>
          </cell>
          <cell r="Q182">
            <v>7.0260223048327131</v>
          </cell>
          <cell r="R182">
            <v>4.3866171003717476</v>
          </cell>
          <cell r="T182">
            <v>6.9556144850671648</v>
          </cell>
          <cell r="U182">
            <v>10.085641003347389</v>
          </cell>
          <cell r="W182">
            <v>6.9556144850671648</v>
          </cell>
          <cell r="X182">
            <v>10.085641003347389</v>
          </cell>
          <cell r="AC182">
            <v>6.7224687751624437</v>
          </cell>
          <cell r="AD182">
            <v>6.7786453944534948</v>
          </cell>
          <cell r="AF182">
            <v>5</v>
          </cell>
        </row>
        <row r="183">
          <cell r="A183">
            <v>20</v>
          </cell>
          <cell r="B183">
            <v>5</v>
          </cell>
          <cell r="C183">
            <v>4.5</v>
          </cell>
          <cell r="E183">
            <v>2.5</v>
          </cell>
          <cell r="F183">
            <v>5.5</v>
          </cell>
          <cell r="H183">
            <v>3.3333333333333335</v>
          </cell>
          <cell r="I183">
            <v>5.166666666666667</v>
          </cell>
          <cell r="K183">
            <v>2</v>
          </cell>
          <cell r="L183">
            <v>3.258064516129032</v>
          </cell>
          <cell r="N183">
            <v>2.25</v>
          </cell>
          <cell r="O183">
            <v>4.75</v>
          </cell>
          <cell r="Q183">
            <v>2.1090909090909089</v>
          </cell>
          <cell r="R183">
            <v>3.9090909090909092</v>
          </cell>
          <cell r="T183">
            <v>10.913043478260869</v>
          </cell>
          <cell r="U183">
            <v>8.9130434782608692</v>
          </cell>
          <cell r="W183">
            <v>0</v>
          </cell>
          <cell r="X183">
            <v>0</v>
          </cell>
          <cell r="AC183">
            <v>4.6071428571428568</v>
          </cell>
          <cell r="AD183">
            <v>5.3690476190476195</v>
          </cell>
          <cell r="AF183">
            <v>5</v>
          </cell>
        </row>
        <row r="184">
          <cell r="A184">
            <v>21</v>
          </cell>
          <cell r="B184">
            <v>5</v>
          </cell>
          <cell r="C184">
            <v>3</v>
          </cell>
          <cell r="E184">
            <v>2.5</v>
          </cell>
          <cell r="F184">
            <v>6</v>
          </cell>
          <cell r="H184">
            <v>3</v>
          </cell>
          <cell r="I184">
            <v>5.4</v>
          </cell>
          <cell r="K184">
            <v>2.7508090614886731</v>
          </cell>
          <cell r="L184">
            <v>3.5275080906148863</v>
          </cell>
          <cell r="N184">
            <v>2.7333333333333334</v>
          </cell>
          <cell r="O184">
            <v>4.2</v>
          </cell>
          <cell r="Q184">
            <v>2.7422003284072249</v>
          </cell>
          <cell r="R184">
            <v>3.8587848932676518</v>
          </cell>
          <cell r="T184">
            <v>3.7777777777777777</v>
          </cell>
          <cell r="U184">
            <v>6.1111111111111107</v>
          </cell>
          <cell r="W184">
            <v>3.7777777777777777</v>
          </cell>
          <cell r="X184">
            <v>6.1111111111111107</v>
          </cell>
          <cell r="AC184">
            <v>2.9797377830750893</v>
          </cell>
          <cell r="AD184">
            <v>4.4338498212157331</v>
          </cell>
          <cell r="AF184">
            <v>5</v>
          </cell>
        </row>
        <row r="185">
          <cell r="A185">
            <v>22</v>
          </cell>
          <cell r="B185">
            <v>0</v>
          </cell>
          <cell r="C185">
            <v>0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Q185">
            <v>0</v>
          </cell>
          <cell r="R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0</v>
          </cell>
          <cell r="AC185">
            <v>0</v>
          </cell>
          <cell r="AD185">
            <v>0</v>
          </cell>
          <cell r="AF185">
            <v>5</v>
          </cell>
        </row>
        <row r="186">
          <cell r="A186">
            <v>23</v>
          </cell>
          <cell r="B186">
            <v>4</v>
          </cell>
          <cell r="C186">
            <v>5</v>
          </cell>
          <cell r="E186">
            <v>6.666666666666667</v>
          </cell>
          <cell r="F186">
            <v>3.1111111111111112</v>
          </cell>
          <cell r="H186">
            <v>6.1818181818181817</v>
          </cell>
          <cell r="I186">
            <v>3.4545454545454546</v>
          </cell>
          <cell r="K186">
            <v>5.2549019607843137</v>
          </cell>
          <cell r="L186">
            <v>2.9607843137254903</v>
          </cell>
          <cell r="N186">
            <v>5.5777777777777784</v>
          </cell>
          <cell r="O186">
            <v>3.844444444444445</v>
          </cell>
          <cell r="Q186">
            <v>5.40625</v>
          </cell>
          <cell r="R186">
            <v>3.375</v>
          </cell>
          <cell r="T186">
            <v>14.516129032258066</v>
          </cell>
          <cell r="U186">
            <v>8.2903225806451619</v>
          </cell>
          <cell r="W186">
            <v>14.516129032258066</v>
          </cell>
          <cell r="X186">
            <v>8.2903225806451619</v>
          </cell>
          <cell r="AC186">
            <v>8.7988165680473376</v>
          </cell>
          <cell r="AD186">
            <v>5.1834319526627217</v>
          </cell>
          <cell r="AF186">
            <v>5</v>
          </cell>
        </row>
        <row r="187">
          <cell r="A187">
            <v>24</v>
          </cell>
          <cell r="B187">
            <v>3.5000000000000004</v>
          </cell>
          <cell r="C187">
            <v>4.5</v>
          </cell>
          <cell r="E187">
            <v>2.9530201342281881</v>
          </cell>
          <cell r="F187">
            <v>3.8926174496644297</v>
          </cell>
          <cell r="H187">
            <v>3.14410480349345</v>
          </cell>
          <cell r="I187">
            <v>4.1048034934497819</v>
          </cell>
          <cell r="K187">
            <v>4.78</v>
          </cell>
          <cell r="L187">
            <v>2.58</v>
          </cell>
          <cell r="N187">
            <v>4.5999999999999996</v>
          </cell>
          <cell r="O187">
            <v>3.9</v>
          </cell>
          <cell r="Q187">
            <v>4.7125000000000004</v>
          </cell>
          <cell r="R187">
            <v>3.0750000000000002</v>
          </cell>
          <cell r="T187">
            <v>16.260869565217391</v>
          </cell>
          <cell r="U187">
            <v>7.9130434782608701</v>
          </cell>
          <cell r="W187">
            <v>16.260869565217391</v>
          </cell>
          <cell r="X187">
            <v>7.9130434782608701</v>
          </cell>
          <cell r="AC187">
            <v>8.446707893779557</v>
          </cell>
          <cell r="AD187">
            <v>4.7799199708985087</v>
          </cell>
          <cell r="AF187">
            <v>5</v>
          </cell>
        </row>
        <row r="188">
          <cell r="A188">
            <v>25</v>
          </cell>
          <cell r="B188">
            <v>2.666666666666667</v>
          </cell>
          <cell r="C188">
            <v>4</v>
          </cell>
          <cell r="E188">
            <v>3.4615384615384617</v>
          </cell>
          <cell r="F188">
            <v>3.1538461538461537</v>
          </cell>
          <cell r="H188">
            <v>3.3125</v>
          </cell>
          <cell r="I188">
            <v>3.3125</v>
          </cell>
          <cell r="K188">
            <v>4.8510638297872344</v>
          </cell>
          <cell r="L188">
            <v>2.4468085106382977</v>
          </cell>
          <cell r="N188">
            <v>8.2222222222222232</v>
          </cell>
          <cell r="O188">
            <v>3.1111111111111112</v>
          </cell>
          <cell r="Q188">
            <v>5.3928571428571432</v>
          </cell>
          <cell r="R188">
            <v>2.5535714285714288</v>
          </cell>
          <cell r="T188">
            <v>11.285714285714285</v>
          </cell>
          <cell r="U188">
            <v>8.5714285714285712</v>
          </cell>
          <cell r="W188">
            <v>11.285714285714285</v>
          </cell>
          <cell r="X188">
            <v>8.5714285714285712</v>
          </cell>
          <cell r="AC188">
            <v>5.9651162790697674</v>
          </cell>
          <cell r="AD188">
            <v>3.6744186046511627</v>
          </cell>
          <cell r="AF188">
            <v>5</v>
          </cell>
        </row>
        <row r="189">
          <cell r="A189">
            <v>26</v>
          </cell>
          <cell r="B189">
            <v>3.5999999999999996</v>
          </cell>
          <cell r="C189">
            <v>3.8</v>
          </cell>
          <cell r="E189">
            <v>3.5999999999999996</v>
          </cell>
          <cell r="F189">
            <v>2.8000000000000003</v>
          </cell>
          <cell r="H189">
            <v>3.5999999999999996</v>
          </cell>
          <cell r="I189">
            <v>3.3000000000000003</v>
          </cell>
          <cell r="K189">
            <v>2.5</v>
          </cell>
          <cell r="L189">
            <v>2.3333333333333335</v>
          </cell>
          <cell r="N189">
            <v>3.5000000000000004</v>
          </cell>
          <cell r="O189">
            <v>4.3999999999999995</v>
          </cell>
          <cell r="Q189">
            <v>2.9545454545454546</v>
          </cell>
          <cell r="R189">
            <v>3.2727272727272729</v>
          </cell>
          <cell r="T189">
            <v>11.600000000000001</v>
          </cell>
          <cell r="U189">
            <v>6</v>
          </cell>
          <cell r="W189">
            <v>11.600000000000001</v>
          </cell>
          <cell r="X189">
            <v>6</v>
          </cell>
          <cell r="AC189">
            <v>5.166666666666667</v>
          </cell>
          <cell r="AD189">
            <v>3.9285714285714284</v>
          </cell>
          <cell r="AF189">
            <v>5</v>
          </cell>
        </row>
        <row r="190">
          <cell r="A190">
            <v>27</v>
          </cell>
          <cell r="B190">
            <v>6</v>
          </cell>
          <cell r="C190">
            <v>4</v>
          </cell>
          <cell r="E190">
            <v>5.7777777777777777</v>
          </cell>
          <cell r="F190">
            <v>2.8888888888888888</v>
          </cell>
          <cell r="H190">
            <v>5.8181818181818183</v>
          </cell>
          <cell r="I190">
            <v>3.0909090909090908</v>
          </cell>
          <cell r="K190">
            <v>3.9545454545454541</v>
          </cell>
          <cell r="L190">
            <v>1.5909090909090908</v>
          </cell>
          <cell r="N190">
            <v>4.3571428571428577</v>
          </cell>
          <cell r="O190">
            <v>4.2857142857142856</v>
          </cell>
          <cell r="Q190">
            <v>4.1111111111111116</v>
          </cell>
          <cell r="R190">
            <v>2.6388888888888888</v>
          </cell>
          <cell r="T190">
            <v>9.384615384615385</v>
          </cell>
          <cell r="U190">
            <v>8.3076923076923084</v>
          </cell>
          <cell r="W190">
            <v>0</v>
          </cell>
          <cell r="X190">
            <v>0</v>
          </cell>
          <cell r="AC190">
            <v>5.5666666666666673</v>
          </cell>
          <cell r="AD190">
            <v>3.95</v>
          </cell>
          <cell r="AF190">
            <v>5</v>
          </cell>
        </row>
        <row r="191">
          <cell r="A191">
            <v>28</v>
          </cell>
          <cell r="B191">
            <v>4.5</v>
          </cell>
          <cell r="C191">
            <v>3</v>
          </cell>
          <cell r="E191">
            <v>5.0999999999999996</v>
          </cell>
          <cell r="F191">
            <v>3.5000000000000004</v>
          </cell>
          <cell r="H191">
            <v>5</v>
          </cell>
          <cell r="I191">
            <v>3.4166666666666665</v>
          </cell>
          <cell r="K191">
            <v>3.8695652173913042</v>
          </cell>
          <cell r="L191">
            <v>2.9130434782608696</v>
          </cell>
          <cell r="N191">
            <v>6.166666666666667</v>
          </cell>
          <cell r="O191">
            <v>9.8333333333333321</v>
          </cell>
          <cell r="Q191">
            <v>4.3448275862068968</v>
          </cell>
          <cell r="R191">
            <v>4.3448275862068968</v>
          </cell>
          <cell r="T191">
            <v>8.75</v>
          </cell>
          <cell r="U191">
            <v>9.5</v>
          </cell>
          <cell r="W191">
            <v>0</v>
          </cell>
          <cell r="X191">
            <v>0</v>
          </cell>
          <cell r="AC191">
            <v>5.7192982456140351</v>
          </cell>
          <cell r="AD191">
            <v>5.5964912280701755</v>
          </cell>
          <cell r="AF191">
            <v>5</v>
          </cell>
        </row>
        <row r="192">
          <cell r="A192">
            <v>29</v>
          </cell>
          <cell r="B192">
            <v>0</v>
          </cell>
          <cell r="C192">
            <v>0</v>
          </cell>
          <cell r="E192">
            <v>0</v>
          </cell>
          <cell r="F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Q192">
            <v>0</v>
          </cell>
          <cell r="R192">
            <v>0</v>
          </cell>
          <cell r="T192">
            <v>0</v>
          </cell>
          <cell r="U192">
            <v>0</v>
          </cell>
          <cell r="W192">
            <v>0</v>
          </cell>
          <cell r="X192">
            <v>0</v>
          </cell>
          <cell r="AC192">
            <v>0</v>
          </cell>
          <cell r="AD192">
            <v>0</v>
          </cell>
          <cell r="AF192">
            <v>5</v>
          </cell>
        </row>
        <row r="193">
          <cell r="A193">
            <v>30</v>
          </cell>
          <cell r="B193">
            <v>3</v>
          </cell>
          <cell r="C193">
            <v>3.5000000000000004</v>
          </cell>
          <cell r="E193">
            <v>8.25</v>
          </cell>
          <cell r="F193">
            <v>3.5833333333333335</v>
          </cell>
          <cell r="H193">
            <v>6.9375000000000009</v>
          </cell>
          <cell r="I193">
            <v>3.5624999999999996</v>
          </cell>
          <cell r="K193">
            <v>6.5251989389920428</v>
          </cell>
          <cell r="L193">
            <v>2.5198938992042441</v>
          </cell>
          <cell r="N193">
            <v>5.9444444444444446</v>
          </cell>
          <cell r="O193">
            <v>5.5555555555555554</v>
          </cell>
          <cell r="Q193">
            <v>6.3375224416517053</v>
          </cell>
          <cell r="R193">
            <v>3.5008976660682229</v>
          </cell>
          <cell r="T193">
            <v>10.434782608695652</v>
          </cell>
          <cell r="U193">
            <v>9.304347826086957</v>
          </cell>
          <cell r="W193">
            <v>10.434782608695652</v>
          </cell>
          <cell r="X193">
            <v>9.304347826086957</v>
          </cell>
          <cell r="AC193">
            <v>8.0203908241291426</v>
          </cell>
          <cell r="AD193">
            <v>5.777400169923534</v>
          </cell>
          <cell r="AF193">
            <v>5</v>
          </cell>
        </row>
        <row r="194">
          <cell r="A194">
            <v>31</v>
          </cell>
          <cell r="B194">
            <v>0</v>
          </cell>
          <cell r="C194">
            <v>0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Q194">
            <v>0</v>
          </cell>
          <cell r="R194">
            <v>0</v>
          </cell>
          <cell r="T194">
            <v>0</v>
          </cell>
          <cell r="U194">
            <v>0</v>
          </cell>
          <cell r="W194">
            <v>0</v>
          </cell>
          <cell r="X194">
            <v>0</v>
          </cell>
          <cell r="AC194">
            <v>0</v>
          </cell>
          <cell r="AD194">
            <v>0</v>
          </cell>
          <cell r="AF194">
            <v>5</v>
          </cell>
        </row>
        <row r="195">
          <cell r="A195" t="str">
            <v xml:space="preserve">Jul/01 </v>
          </cell>
          <cell r="B195">
            <v>0</v>
          </cell>
          <cell r="C195">
            <v>4</v>
          </cell>
          <cell r="E195">
            <v>2.25</v>
          </cell>
          <cell r="F195">
            <v>5.75</v>
          </cell>
          <cell r="H195">
            <v>1.7999999999999998</v>
          </cell>
          <cell r="I195">
            <v>5.4</v>
          </cell>
          <cell r="K195">
            <v>5.045454545454545</v>
          </cell>
          <cell r="L195">
            <v>2.2727272727272729</v>
          </cell>
          <cell r="N195">
            <v>3.5714285714285712</v>
          </cell>
          <cell r="O195">
            <v>3.1904761904761907</v>
          </cell>
          <cell r="Q195">
            <v>4.3255813953488369</v>
          </cell>
          <cell r="R195">
            <v>2.7209302325581395</v>
          </cell>
          <cell r="T195">
            <v>9.1052631578947363</v>
          </cell>
          <cell r="U195">
            <v>8.7894736842105257</v>
          </cell>
          <cell r="W195">
            <v>9.1052631578947363</v>
          </cell>
          <cell r="X195">
            <v>8.7894736842105257</v>
          </cell>
          <cell r="AC195">
            <v>6.2906976744186052</v>
          </cell>
          <cell r="AD195">
            <v>5.558139534883721</v>
          </cell>
          <cell r="AF195">
            <v>5</v>
          </cell>
        </row>
        <row r="196">
          <cell r="A196">
            <v>2</v>
          </cell>
          <cell r="B196">
            <v>5.2</v>
          </cell>
          <cell r="C196">
            <v>3</v>
          </cell>
          <cell r="E196">
            <v>4.2</v>
          </cell>
          <cell r="F196">
            <v>5</v>
          </cell>
          <cell r="H196">
            <v>4.7</v>
          </cell>
          <cell r="I196">
            <v>4</v>
          </cell>
          <cell r="K196">
            <v>3.4444444444444446</v>
          </cell>
          <cell r="L196">
            <v>2</v>
          </cell>
          <cell r="N196">
            <v>2.6315789473684208</v>
          </cell>
          <cell r="O196">
            <v>3.5789473684210522</v>
          </cell>
          <cell r="Q196">
            <v>3.0270270270270272</v>
          </cell>
          <cell r="R196">
            <v>2.810810810810811</v>
          </cell>
          <cell r="T196">
            <v>8.4375</v>
          </cell>
          <cell r="U196">
            <v>9.125</v>
          </cell>
          <cell r="W196">
            <v>8.4375</v>
          </cell>
          <cell r="X196">
            <v>9.125</v>
          </cell>
          <cell r="AC196">
            <v>5.4303797468354436</v>
          </cell>
          <cell r="AD196">
            <v>5.518987341772152</v>
          </cell>
          <cell r="AF196">
            <v>5</v>
          </cell>
        </row>
        <row r="197">
          <cell r="A197">
            <v>3</v>
          </cell>
          <cell r="B197">
            <v>3.25</v>
          </cell>
          <cell r="C197">
            <v>4.25</v>
          </cell>
          <cell r="E197">
            <v>2.833333333333333</v>
          </cell>
          <cell r="F197">
            <v>3.6666666666666665</v>
          </cell>
          <cell r="H197">
            <v>3</v>
          </cell>
          <cell r="I197">
            <v>3.9</v>
          </cell>
          <cell r="K197">
            <v>4.8097030531158511</v>
          </cell>
          <cell r="L197">
            <v>2.9276453366792135</v>
          </cell>
          <cell r="N197">
            <v>6.4782608695652177</v>
          </cell>
          <cell r="O197">
            <v>3.9130434782608701</v>
          </cell>
          <cell r="Q197">
            <v>5.6277979108931993</v>
          </cell>
          <cell r="R197">
            <v>3.4107866126625455</v>
          </cell>
          <cell r="T197">
            <v>16.454545454545453</v>
          </cell>
          <cell r="U197">
            <v>6.7272727272727275</v>
          </cell>
          <cell r="W197">
            <v>16.454545454545453</v>
          </cell>
          <cell r="X197">
            <v>6.7272727272727275</v>
          </cell>
          <cell r="AC197">
            <v>10.088197403626994</v>
          </cell>
          <cell r="AD197">
            <v>4.9053612129620454</v>
          </cell>
          <cell r="AF197">
            <v>5</v>
          </cell>
        </row>
        <row r="198">
          <cell r="A198">
            <v>4</v>
          </cell>
          <cell r="B198">
            <v>2.5</v>
          </cell>
          <cell r="C198">
            <v>6.25</v>
          </cell>
          <cell r="E198">
            <v>3.25</v>
          </cell>
          <cell r="F198">
            <v>3.25</v>
          </cell>
          <cell r="H198">
            <v>2.875</v>
          </cell>
          <cell r="I198">
            <v>4.75</v>
          </cell>
          <cell r="K198">
            <v>8</v>
          </cell>
          <cell r="L198">
            <v>2.0476190476190479</v>
          </cell>
          <cell r="N198">
            <v>1</v>
          </cell>
          <cell r="O198">
            <v>7.2499999999999991</v>
          </cell>
          <cell r="Q198">
            <v>6.88</v>
          </cell>
          <cell r="R198">
            <v>2.88</v>
          </cell>
          <cell r="T198">
            <v>11.047619047619047</v>
          </cell>
          <cell r="U198">
            <v>7.2857142857142856</v>
          </cell>
          <cell r="W198">
            <v>11.047619047619047</v>
          </cell>
          <cell r="X198">
            <v>7.2857142857142856</v>
          </cell>
          <cell r="AC198">
            <v>8.7866666666666671</v>
          </cell>
          <cell r="AD198">
            <v>5.5466666666666669</v>
          </cell>
          <cell r="AF198">
            <v>5</v>
          </cell>
        </row>
        <row r="199">
          <cell r="A199">
            <v>5</v>
          </cell>
          <cell r="B199">
            <v>0</v>
          </cell>
          <cell r="C199">
            <v>1</v>
          </cell>
          <cell r="E199">
            <v>6.75</v>
          </cell>
          <cell r="F199">
            <v>2.875</v>
          </cell>
          <cell r="H199">
            <v>6</v>
          </cell>
          <cell r="I199">
            <v>2.666666666666667</v>
          </cell>
          <cell r="K199">
            <v>3.1954887218045109</v>
          </cell>
          <cell r="L199">
            <v>2.3684210526315792</v>
          </cell>
          <cell r="N199">
            <v>3.875</v>
          </cell>
          <cell r="O199">
            <v>3.5000000000000004</v>
          </cell>
          <cell r="Q199">
            <v>3.352601156069364</v>
          </cell>
          <cell r="R199">
            <v>2.6300578034682083</v>
          </cell>
          <cell r="T199">
            <v>12</v>
          </cell>
          <cell r="U199">
            <v>9</v>
          </cell>
          <cell r="W199">
            <v>12</v>
          </cell>
          <cell r="X199">
            <v>9</v>
          </cell>
          <cell r="AC199">
            <v>7.4484536082474229</v>
          </cell>
          <cell r="AD199">
            <v>5.4252577319587632</v>
          </cell>
          <cell r="AF199">
            <v>5</v>
          </cell>
        </row>
        <row r="200">
          <cell r="A200">
            <v>6</v>
          </cell>
          <cell r="B200">
            <v>0</v>
          </cell>
          <cell r="C200">
            <v>0</v>
          </cell>
          <cell r="E200">
            <v>0</v>
          </cell>
          <cell r="F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N200">
            <v>0</v>
          </cell>
          <cell r="O200">
            <v>0</v>
          </cell>
          <cell r="Q200">
            <v>0</v>
          </cell>
          <cell r="R200">
            <v>0</v>
          </cell>
          <cell r="T200">
            <v>0</v>
          </cell>
          <cell r="U200">
            <v>0</v>
          </cell>
          <cell r="W200">
            <v>0</v>
          </cell>
          <cell r="X200">
            <v>0</v>
          </cell>
          <cell r="AC200">
            <v>0</v>
          </cell>
          <cell r="AD200">
            <v>0</v>
          </cell>
          <cell r="AF200">
            <v>5</v>
          </cell>
        </row>
        <row r="201">
          <cell r="A201">
            <v>7</v>
          </cell>
          <cell r="B201">
            <v>7.2519083969465647</v>
          </cell>
          <cell r="C201">
            <v>3.8167938931297711</v>
          </cell>
          <cell r="E201">
            <v>8</v>
          </cell>
          <cell r="F201">
            <v>2.75</v>
          </cell>
          <cell r="H201">
            <v>7.7039274924471295</v>
          </cell>
          <cell r="I201">
            <v>3.1722054380664653</v>
          </cell>
          <cell r="K201">
            <v>3.8536585365853657</v>
          </cell>
          <cell r="L201">
            <v>2.4390243902439024</v>
          </cell>
          <cell r="N201">
            <v>3.52</v>
          </cell>
          <cell r="O201">
            <v>4.68</v>
          </cell>
          <cell r="Q201">
            <v>3.7272727272727271</v>
          </cell>
          <cell r="R201">
            <v>3.2878787878787876</v>
          </cell>
          <cell r="T201">
            <v>11.3125</v>
          </cell>
          <cell r="U201">
            <v>9.21875</v>
          </cell>
          <cell r="W201">
            <v>11.3125</v>
          </cell>
          <cell r="X201">
            <v>9.21875</v>
          </cell>
          <cell r="AC201">
            <v>7.4732835602400822</v>
          </cell>
          <cell r="AD201">
            <v>6.0606060606060606</v>
          </cell>
          <cell r="AF201">
            <v>5</v>
          </cell>
        </row>
        <row r="202">
          <cell r="A202">
            <v>8</v>
          </cell>
          <cell r="B202">
            <v>0</v>
          </cell>
          <cell r="C202">
            <v>7.0000000000000009</v>
          </cell>
          <cell r="E202">
            <v>7.0000000000000009</v>
          </cell>
          <cell r="F202">
            <v>4.3999999999999995</v>
          </cell>
          <cell r="H202">
            <v>5.833333333333333</v>
          </cell>
          <cell r="I202">
            <v>4.833333333333333</v>
          </cell>
          <cell r="K202">
            <v>3.125</v>
          </cell>
          <cell r="L202">
            <v>2.4500000000000002</v>
          </cell>
          <cell r="N202">
            <v>4.4583333333333339</v>
          </cell>
          <cell r="O202">
            <v>3.4583333333333335</v>
          </cell>
          <cell r="Q202">
            <v>3.6249999999999996</v>
          </cell>
          <cell r="R202">
            <v>2.828125</v>
          </cell>
          <cell r="T202">
            <v>20.150000000000002</v>
          </cell>
          <cell r="U202">
            <v>8.35</v>
          </cell>
          <cell r="W202">
            <v>20.150000000000002</v>
          </cell>
          <cell r="X202">
            <v>8.35</v>
          </cell>
          <cell r="AC202">
            <v>9.754545454545454</v>
          </cell>
          <cell r="AD202">
            <v>4.9454545454545453</v>
          </cell>
          <cell r="AF202">
            <v>5</v>
          </cell>
        </row>
        <row r="203">
          <cell r="A203">
            <v>9</v>
          </cell>
          <cell r="B203">
            <v>13</v>
          </cell>
          <cell r="C203">
            <v>2.3333333333333335</v>
          </cell>
          <cell r="E203">
            <v>1.6666666666666667</v>
          </cell>
          <cell r="F203">
            <v>3</v>
          </cell>
          <cell r="H203">
            <v>7.333333333333333</v>
          </cell>
          <cell r="I203">
            <v>2.666666666666667</v>
          </cell>
          <cell r="K203">
            <v>6.4004876562023778</v>
          </cell>
          <cell r="L203">
            <v>2.0725388601036272</v>
          </cell>
          <cell r="N203">
            <v>5.6785714285714288</v>
          </cell>
          <cell r="O203">
            <v>3.25</v>
          </cell>
          <cell r="Q203">
            <v>6.0680809077454363</v>
          </cell>
          <cell r="R203">
            <v>2.6147015293537246</v>
          </cell>
          <cell r="T203">
            <v>13.103448275862069</v>
          </cell>
          <cell r="U203">
            <v>7.3793103448275863</v>
          </cell>
          <cell r="W203">
            <v>13.103448275862069</v>
          </cell>
          <cell r="X203">
            <v>7.3793103448275863</v>
          </cell>
          <cell r="AC203">
            <v>9.3982853937985738</v>
          </cell>
          <cell r="AD203">
            <v>4.8313436423363516</v>
          </cell>
          <cell r="AF203">
            <v>5</v>
          </cell>
        </row>
        <row r="204">
          <cell r="A204">
            <v>10</v>
          </cell>
          <cell r="B204">
            <v>16</v>
          </cell>
          <cell r="C204">
            <v>4.5</v>
          </cell>
          <cell r="E204">
            <v>6.7142857142857144</v>
          </cell>
          <cell r="F204">
            <v>3.8571428571428568</v>
          </cell>
          <cell r="H204">
            <v>8.7777777777777768</v>
          </cell>
          <cell r="I204">
            <v>4</v>
          </cell>
          <cell r="K204">
            <v>5.6000000000000005</v>
          </cell>
          <cell r="L204">
            <v>2.4666666666666668</v>
          </cell>
          <cell r="N204">
            <v>6.32</v>
          </cell>
          <cell r="O204">
            <v>3</v>
          </cell>
          <cell r="Q204">
            <v>5.9272727272727277</v>
          </cell>
          <cell r="R204">
            <v>2.7090909090909094</v>
          </cell>
          <cell r="T204">
            <v>19.578947368421051</v>
          </cell>
          <cell r="U204">
            <v>7.9473684210526319</v>
          </cell>
          <cell r="W204">
            <v>19.578947368421051</v>
          </cell>
          <cell r="X204">
            <v>7.9473684210526319</v>
          </cell>
          <cell r="AC204">
            <v>11.26470588235294</v>
          </cell>
          <cell r="AD204">
            <v>4.7745098039215685</v>
          </cell>
          <cell r="AF204">
            <v>5</v>
          </cell>
        </row>
        <row r="205">
          <cell r="A205">
            <v>11</v>
          </cell>
          <cell r="B205">
            <v>8</v>
          </cell>
          <cell r="C205">
            <v>1.6666666666666667</v>
          </cell>
          <cell r="E205">
            <v>12.857142857142856</v>
          </cell>
          <cell r="F205">
            <v>2.7142857142857144</v>
          </cell>
          <cell r="H205">
            <v>11.4</v>
          </cell>
          <cell r="I205">
            <v>2.4</v>
          </cell>
          <cell r="K205">
            <v>15.495495495495495</v>
          </cell>
          <cell r="L205">
            <v>3.5135135135135136</v>
          </cell>
          <cell r="N205">
            <v>5.695652173913043</v>
          </cell>
          <cell r="O205">
            <v>3.0869565217391304</v>
          </cell>
          <cell r="Q205">
            <v>8.8856304985337236</v>
          </cell>
          <cell r="R205">
            <v>3.225806451612903</v>
          </cell>
          <cell r="T205">
            <v>23.277777777777779</v>
          </cell>
          <cell r="U205">
            <v>5.0555555555555554</v>
          </cell>
          <cell r="W205">
            <v>23.277777777777779</v>
          </cell>
          <cell r="X205">
            <v>5.0555555555555554</v>
          </cell>
          <cell r="AC205">
            <v>15.667915106117352</v>
          </cell>
          <cell r="AD205">
            <v>3.9450686641697881</v>
          </cell>
          <cell r="AF205">
            <v>5</v>
          </cell>
        </row>
        <row r="206">
          <cell r="A206">
            <v>12</v>
          </cell>
          <cell r="B206">
            <v>17.2</v>
          </cell>
          <cell r="C206">
            <v>3.4000000000000004</v>
          </cell>
          <cell r="E206">
            <v>6.2222222222222223</v>
          </cell>
          <cell r="F206">
            <v>4.8888888888888893</v>
          </cell>
          <cell r="H206">
            <v>10.142857142857142</v>
          </cell>
          <cell r="I206">
            <v>4.3571428571428577</v>
          </cell>
          <cell r="K206">
            <v>7.1730769230769234</v>
          </cell>
          <cell r="L206">
            <v>1.903846153846154</v>
          </cell>
          <cell r="N206">
            <v>7.8</v>
          </cell>
          <cell r="O206">
            <v>3.16</v>
          </cell>
          <cell r="Q206">
            <v>7.3766233766233773</v>
          </cell>
          <cell r="R206">
            <v>2.3116883116883113</v>
          </cell>
          <cell r="T206">
            <v>20.115384615384617</v>
          </cell>
          <cell r="U206">
            <v>6.3846153846153841</v>
          </cell>
          <cell r="W206">
            <v>20.115384615384617</v>
          </cell>
          <cell r="X206">
            <v>6.3846153846153841</v>
          </cell>
          <cell r="AC206">
            <v>12.27972027972028</v>
          </cell>
          <cell r="AD206">
            <v>3.9930069930069929</v>
          </cell>
          <cell r="AF206">
            <v>5</v>
          </cell>
        </row>
        <row r="207">
          <cell r="A207">
            <v>13</v>
          </cell>
          <cell r="B207">
            <v>0</v>
          </cell>
          <cell r="C207">
            <v>0</v>
          </cell>
          <cell r="E207">
            <v>0</v>
          </cell>
          <cell r="F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Q207">
            <v>0</v>
          </cell>
          <cell r="R207">
            <v>0</v>
          </cell>
          <cell r="T207">
            <v>0</v>
          </cell>
          <cell r="U207">
            <v>0</v>
          </cell>
          <cell r="W207">
            <v>0</v>
          </cell>
          <cell r="X207">
            <v>0</v>
          </cell>
          <cell r="AC207">
            <v>0</v>
          </cell>
          <cell r="AD207">
            <v>0</v>
          </cell>
          <cell r="AF207">
            <v>5</v>
          </cell>
        </row>
        <row r="208">
          <cell r="A208">
            <v>14</v>
          </cell>
          <cell r="B208">
            <v>0</v>
          </cell>
          <cell r="C208">
            <v>0</v>
          </cell>
          <cell r="E208">
            <v>3.166666666666667</v>
          </cell>
          <cell r="F208">
            <v>2.666666666666667</v>
          </cell>
          <cell r="H208">
            <v>3.166666666666667</v>
          </cell>
          <cell r="I208">
            <v>2.666666666666667</v>
          </cell>
          <cell r="K208">
            <v>9.375</v>
          </cell>
          <cell r="L208">
            <v>1.7812499999999998</v>
          </cell>
          <cell r="N208">
            <v>5.3103448275862064</v>
          </cell>
          <cell r="O208">
            <v>3.5517241379310347</v>
          </cell>
          <cell r="Q208">
            <v>7.442622950819672</v>
          </cell>
          <cell r="R208">
            <v>2.622950819672131</v>
          </cell>
          <cell r="T208">
            <v>23.111111111111111</v>
          </cell>
          <cell r="U208">
            <v>7.7407407407407414</v>
          </cell>
          <cell r="W208">
            <v>8.7222222222222232</v>
          </cell>
          <cell r="X208">
            <v>2.0555555555555558</v>
          </cell>
          <cell r="AC208">
            <v>11.196428571428571</v>
          </cell>
          <cell r="AD208">
            <v>3.7678571428571428</v>
          </cell>
          <cell r="AF208">
            <v>5</v>
          </cell>
        </row>
        <row r="209">
          <cell r="A209">
            <v>15</v>
          </cell>
          <cell r="B209">
            <v>8.25</v>
          </cell>
          <cell r="C209">
            <v>3.75</v>
          </cell>
          <cell r="E209">
            <v>6.5</v>
          </cell>
          <cell r="F209">
            <v>3.833333333333333</v>
          </cell>
          <cell r="H209">
            <v>7.1999999999999993</v>
          </cell>
          <cell r="I209">
            <v>3.8</v>
          </cell>
          <cell r="K209">
            <v>5.5681818181818183</v>
          </cell>
          <cell r="L209">
            <v>3.3636363636363638</v>
          </cell>
          <cell r="N209">
            <v>3.4347826086956523</v>
          </cell>
          <cell r="O209">
            <v>3.7391304347826089</v>
          </cell>
          <cell r="Q209">
            <v>4.8358208955223878</v>
          </cell>
          <cell r="R209">
            <v>3.4925373134328357</v>
          </cell>
          <cell r="T209">
            <v>25.352941176470591</v>
          </cell>
          <cell r="U209">
            <v>7.4117647058823524</v>
          </cell>
          <cell r="W209">
            <v>25.352941176470591</v>
          </cell>
          <cell r="X209">
            <v>7.4117647058823524</v>
          </cell>
          <cell r="AC209">
            <v>11.333333333333332</v>
          </cell>
          <cell r="AD209">
            <v>4.7207207207207205</v>
          </cell>
          <cell r="AF209">
            <v>5</v>
          </cell>
        </row>
        <row r="210">
          <cell r="A210">
            <v>16</v>
          </cell>
          <cell r="B210">
            <v>2.5</v>
          </cell>
          <cell r="C210">
            <v>7.2499999999999991</v>
          </cell>
          <cell r="E210">
            <v>6</v>
          </cell>
          <cell r="F210">
            <v>3.5714285714285712</v>
          </cell>
          <cell r="H210">
            <v>4.7272727272727275</v>
          </cell>
          <cell r="I210">
            <v>4.9090909090909092</v>
          </cell>
          <cell r="K210">
            <v>2.7608695652173916</v>
          </cell>
          <cell r="L210">
            <v>3.6956521739130435</v>
          </cell>
          <cell r="N210">
            <v>4.4210526315789469</v>
          </cell>
          <cell r="O210">
            <v>5.5</v>
          </cell>
          <cell r="Q210">
            <v>3.5119047619047619</v>
          </cell>
          <cell r="R210">
            <v>4.5119047619047619</v>
          </cell>
          <cell r="T210">
            <v>14.73076923076923</v>
          </cell>
          <cell r="U210">
            <v>10</v>
          </cell>
          <cell r="W210">
            <v>14.73076923076923</v>
          </cell>
          <cell r="X210">
            <v>10</v>
          </cell>
          <cell r="AC210">
            <v>7.5714285714285721</v>
          </cell>
          <cell r="AD210">
            <v>6.4829931972789119</v>
          </cell>
          <cell r="AF210">
            <v>5</v>
          </cell>
        </row>
        <row r="211">
          <cell r="A211">
            <v>17</v>
          </cell>
          <cell r="B211">
            <v>5</v>
          </cell>
          <cell r="C211">
            <v>6.75</v>
          </cell>
          <cell r="E211">
            <v>6</v>
          </cell>
          <cell r="F211">
            <v>4.75</v>
          </cell>
          <cell r="H211">
            <v>5.6666666666666661</v>
          </cell>
          <cell r="I211">
            <v>5.416666666666667</v>
          </cell>
          <cell r="K211">
            <v>2.6304347826086958</v>
          </cell>
          <cell r="L211">
            <v>4.195652173913043</v>
          </cell>
          <cell r="N211">
            <v>2.4210526315789473</v>
          </cell>
          <cell r="O211">
            <v>6.0789473684210522</v>
          </cell>
          <cell r="Q211">
            <v>2.5357142857142856</v>
          </cell>
          <cell r="R211">
            <v>5.0476190476190474</v>
          </cell>
          <cell r="T211">
            <v>7.88</v>
          </cell>
          <cell r="U211">
            <v>9.9599999999999991</v>
          </cell>
          <cell r="W211">
            <v>7.88</v>
          </cell>
          <cell r="X211">
            <v>9.9599999999999991</v>
          </cell>
          <cell r="AC211">
            <v>4.6232876712328768</v>
          </cell>
          <cell r="AD211">
            <v>6.7602739726027403</v>
          </cell>
          <cell r="AF211">
            <v>5</v>
          </cell>
        </row>
        <row r="212">
          <cell r="A212">
            <v>18</v>
          </cell>
          <cell r="B212">
            <v>3.25</v>
          </cell>
          <cell r="C212">
            <v>6.25</v>
          </cell>
          <cell r="E212">
            <v>3.5000000000000004</v>
          </cell>
          <cell r="F212">
            <v>6.5</v>
          </cell>
          <cell r="H212">
            <v>3.375</v>
          </cell>
          <cell r="I212">
            <v>6.375</v>
          </cell>
          <cell r="K212">
            <v>3.1818181818181817</v>
          </cell>
          <cell r="L212">
            <v>3.939393939393939</v>
          </cell>
          <cell r="N212">
            <v>3.6708860759493671</v>
          </cell>
          <cell r="O212">
            <v>5.2531645569620258</v>
          </cell>
          <cell r="Q212">
            <v>3.3401639344262297</v>
          </cell>
          <cell r="R212">
            <v>4.3647540983606552</v>
          </cell>
          <cell r="T212">
            <v>12</v>
          </cell>
          <cell r="U212">
            <v>11.5</v>
          </cell>
          <cell r="W212">
            <v>12</v>
          </cell>
          <cell r="X212">
            <v>11.5</v>
          </cell>
          <cell r="AC212">
            <v>8.4064327485380126</v>
          </cell>
          <cell r="AD212">
            <v>8.654970760233919</v>
          </cell>
          <cell r="AF212">
            <v>5</v>
          </cell>
        </row>
        <row r="213">
          <cell r="A213">
            <v>19</v>
          </cell>
          <cell r="B213">
            <v>4.6153846153846159</v>
          </cell>
          <cell r="C213">
            <v>4.6153846153846159</v>
          </cell>
          <cell r="E213">
            <v>5.3333333333333339</v>
          </cell>
          <cell r="F213">
            <v>5.3333333333333339</v>
          </cell>
          <cell r="H213">
            <v>5.0505050505050502</v>
          </cell>
          <cell r="I213">
            <v>5.0505050505050502</v>
          </cell>
          <cell r="K213">
            <v>2.7777777777777777</v>
          </cell>
          <cell r="L213">
            <v>5.6666666666666661</v>
          </cell>
          <cell r="N213">
            <v>2.4482758620689657</v>
          </cell>
          <cell r="O213">
            <v>7.4137931034482758</v>
          </cell>
          <cell r="Q213">
            <v>2.6307692307692307</v>
          </cell>
          <cell r="R213">
            <v>6.4461538461538463</v>
          </cell>
          <cell r="T213">
            <v>11.076923076923077</v>
          </cell>
          <cell r="U213">
            <v>13.358974358974359</v>
          </cell>
          <cell r="W213">
            <v>11.076923076923077</v>
          </cell>
          <cell r="X213">
            <v>13.358974358974359</v>
          </cell>
          <cell r="AC213">
            <v>7.09614126880314</v>
          </cell>
          <cell r="AD213">
            <v>9.8822759973839123</v>
          </cell>
          <cell r="AF213">
            <v>5</v>
          </cell>
        </row>
        <row r="214">
          <cell r="A214">
            <v>20</v>
          </cell>
          <cell r="B214">
            <v>0</v>
          </cell>
          <cell r="C214">
            <v>0</v>
          </cell>
          <cell r="E214">
            <v>0</v>
          </cell>
          <cell r="F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Q214">
            <v>0</v>
          </cell>
          <cell r="R214">
            <v>0</v>
          </cell>
          <cell r="T214">
            <v>0</v>
          </cell>
          <cell r="U214">
            <v>0</v>
          </cell>
          <cell r="W214">
            <v>0</v>
          </cell>
          <cell r="X214">
            <v>0</v>
          </cell>
          <cell r="AC214">
            <v>0</v>
          </cell>
          <cell r="AD214">
            <v>0</v>
          </cell>
          <cell r="AF214">
            <v>5</v>
          </cell>
        </row>
        <row r="215">
          <cell r="A215">
            <v>21</v>
          </cell>
          <cell r="B215">
            <v>4</v>
          </cell>
          <cell r="C215">
            <v>6</v>
          </cell>
          <cell r="E215">
            <v>5.5</v>
          </cell>
          <cell r="F215">
            <v>4.5</v>
          </cell>
          <cell r="H215">
            <v>5.2</v>
          </cell>
          <cell r="I215">
            <v>4.8</v>
          </cell>
          <cell r="K215">
            <v>3.3389830508474576</v>
          </cell>
          <cell r="L215">
            <v>5.9152542372881349</v>
          </cell>
          <cell r="N215">
            <v>3.2</v>
          </cell>
          <cell r="O215">
            <v>7.166666666666667</v>
          </cell>
          <cell r="Q215">
            <v>3.292134831460674</v>
          </cell>
          <cell r="R215">
            <v>6.3370786516853936</v>
          </cell>
          <cell r="T215">
            <v>13.027777777777777</v>
          </cell>
          <cell r="U215">
            <v>13</v>
          </cell>
          <cell r="W215">
            <v>13.027777777777777</v>
          </cell>
          <cell r="X215">
            <v>13</v>
          </cell>
          <cell r="AC215">
            <v>7.572289156626506</v>
          </cell>
          <cell r="AD215">
            <v>9.1807228915662655</v>
          </cell>
          <cell r="AF215">
            <v>5</v>
          </cell>
        </row>
        <row r="216">
          <cell r="A216">
            <v>22</v>
          </cell>
          <cell r="B216">
            <v>3</v>
          </cell>
          <cell r="C216">
            <v>4.5</v>
          </cell>
          <cell r="E216">
            <v>4.833333333333333</v>
          </cell>
          <cell r="F216">
            <v>4.833333333333333</v>
          </cell>
          <cell r="H216">
            <v>4.375</v>
          </cell>
          <cell r="I216">
            <v>4.75</v>
          </cell>
          <cell r="K216">
            <v>3.716981132075472</v>
          </cell>
          <cell r="L216">
            <v>3.5283018867924532</v>
          </cell>
          <cell r="N216">
            <v>2.4333333333333331</v>
          </cell>
          <cell r="O216">
            <v>7.333333333333333</v>
          </cell>
          <cell r="Q216">
            <v>3.2530120481927707</v>
          </cell>
          <cell r="R216">
            <v>4.9036144578313259</v>
          </cell>
          <cell r="T216">
            <v>8.6052631578947363</v>
          </cell>
          <cell r="U216">
            <v>14.000000000000002</v>
          </cell>
          <cell r="W216">
            <v>8.6052631578947363</v>
          </cell>
          <cell r="X216">
            <v>14.000000000000002</v>
          </cell>
          <cell r="AC216">
            <v>5.7425149700598803</v>
          </cell>
          <cell r="AD216">
            <v>9.0359281437125745</v>
          </cell>
          <cell r="AF216">
            <v>5</v>
          </cell>
        </row>
        <row r="217">
          <cell r="A217">
            <v>23</v>
          </cell>
          <cell r="B217">
            <v>3</v>
          </cell>
          <cell r="C217">
            <v>10</v>
          </cell>
          <cell r="E217">
            <v>5</v>
          </cell>
          <cell r="F217">
            <v>11.200000000000001</v>
          </cell>
          <cell r="H217">
            <v>4.25</v>
          </cell>
          <cell r="I217">
            <v>10.75</v>
          </cell>
          <cell r="K217">
            <v>5.3</v>
          </cell>
          <cell r="L217">
            <v>13.066666666666665</v>
          </cell>
          <cell r="N217">
            <v>5.0666666666666664</v>
          </cell>
          <cell r="O217">
            <v>19.866666666666667</v>
          </cell>
          <cell r="Q217">
            <v>5.2222222222222223</v>
          </cell>
          <cell r="R217">
            <v>15.333333333333332</v>
          </cell>
          <cell r="T217">
            <v>18.74285714285714</v>
          </cell>
          <cell r="U217">
            <v>15.857142857142856</v>
          </cell>
          <cell r="W217">
            <v>18.74285714285714</v>
          </cell>
          <cell r="X217">
            <v>15.857142857142856</v>
          </cell>
          <cell r="AC217">
            <v>12.853658536585366</v>
          </cell>
          <cell r="AD217">
            <v>15.333333333333332</v>
          </cell>
          <cell r="AF217">
            <v>5</v>
          </cell>
        </row>
        <row r="218">
          <cell r="A218">
            <v>24</v>
          </cell>
          <cell r="B218">
            <v>16.333333333333332</v>
          </cell>
          <cell r="C218">
            <v>4.666666666666667</v>
          </cell>
          <cell r="E218">
            <v>4.833333333333333</v>
          </cell>
          <cell r="F218">
            <v>6.5</v>
          </cell>
          <cell r="H218">
            <v>8.6666666666666679</v>
          </cell>
          <cell r="I218">
            <v>5.8888888888888884</v>
          </cell>
          <cell r="K218">
            <v>2.875</v>
          </cell>
          <cell r="L218">
            <v>8.8125</v>
          </cell>
          <cell r="N218">
            <v>4.7857142857142856</v>
          </cell>
          <cell r="O218">
            <v>17.071428571428569</v>
          </cell>
          <cell r="Q218">
            <v>3.4565217391304346</v>
          </cell>
          <cell r="R218">
            <v>11.326086956521738</v>
          </cell>
          <cell r="T218">
            <v>13.913043478260869</v>
          </cell>
          <cell r="U218">
            <v>24.565217391304348</v>
          </cell>
          <cell r="W218">
            <v>13.913043478260869</v>
          </cell>
          <cell r="X218">
            <v>24.565217391304348</v>
          </cell>
          <cell r="AC218">
            <v>8.6831683168316829</v>
          </cell>
          <cell r="AD218">
            <v>16.871287128712872</v>
          </cell>
          <cell r="AF218">
            <v>5</v>
          </cell>
        </row>
        <row r="219">
          <cell r="A219">
            <v>25</v>
          </cell>
          <cell r="B219">
            <v>10.1010101010101</v>
          </cell>
          <cell r="C219">
            <v>5.0505050505050502</v>
          </cell>
          <cell r="E219">
            <v>6</v>
          </cell>
          <cell r="F219">
            <v>3</v>
          </cell>
          <cell r="H219">
            <v>8.0402010050251249</v>
          </cell>
          <cell r="I219">
            <v>4.0201005025125625</v>
          </cell>
          <cell r="K219">
            <v>1.2839506172839505</v>
          </cell>
          <cell r="L219">
            <v>2.1234567901234569</v>
          </cell>
          <cell r="N219">
            <v>2.3333333333333335</v>
          </cell>
          <cell r="O219">
            <v>24.333333333333336</v>
          </cell>
          <cell r="Q219">
            <v>1.3563218390804597</v>
          </cell>
          <cell r="R219">
            <v>3.6551724137931036</v>
          </cell>
          <cell r="T219">
            <v>3.1111111111111112</v>
          </cell>
          <cell r="U219">
            <v>28.333333333333332</v>
          </cell>
          <cell r="W219">
            <v>3.1111111111111112</v>
          </cell>
          <cell r="X219">
            <v>28.333333333333332</v>
          </cell>
          <cell r="AC219">
            <v>2.4158885430561732</v>
          </cell>
          <cell r="AD219">
            <v>10.271231658514896</v>
          </cell>
          <cell r="AF219">
            <v>5</v>
          </cell>
        </row>
        <row r="220">
          <cell r="A220">
            <v>26</v>
          </cell>
          <cell r="B220">
            <v>2</v>
          </cell>
          <cell r="C220">
            <v>14.000000000000002</v>
          </cell>
          <cell r="E220">
            <v>5.166666666666667</v>
          </cell>
          <cell r="F220">
            <v>3.5000000000000004</v>
          </cell>
          <cell r="H220">
            <v>4.7142857142857144</v>
          </cell>
          <cell r="I220">
            <v>5</v>
          </cell>
          <cell r="K220">
            <v>1.76</v>
          </cell>
          <cell r="L220">
            <v>7.08</v>
          </cell>
          <cell r="N220">
            <v>0.83333333333333337</v>
          </cell>
          <cell r="O220">
            <v>12.666666666666668</v>
          </cell>
          <cell r="Q220">
            <v>1.4594594594594594</v>
          </cell>
          <cell r="R220">
            <v>8.8918918918918912</v>
          </cell>
          <cell r="T220">
            <v>6</v>
          </cell>
          <cell r="U220">
            <v>20.111111111111111</v>
          </cell>
          <cell r="W220">
            <v>6</v>
          </cell>
          <cell r="X220">
            <v>20.111111111111111</v>
          </cell>
          <cell r="AC220">
            <v>3.1451612903225805</v>
          </cell>
          <cell r="AD220">
            <v>11.709677419354838</v>
          </cell>
          <cell r="AF220">
            <v>5</v>
          </cell>
        </row>
        <row r="221">
          <cell r="A221">
            <v>27</v>
          </cell>
          <cell r="B221">
            <v>0</v>
          </cell>
          <cell r="C221">
            <v>0</v>
          </cell>
          <cell r="E221">
            <v>0</v>
          </cell>
          <cell r="F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Q221">
            <v>0</v>
          </cell>
          <cell r="R221">
            <v>0</v>
          </cell>
          <cell r="T221">
            <v>0</v>
          </cell>
          <cell r="U221">
            <v>0</v>
          </cell>
          <cell r="W221">
            <v>0</v>
          </cell>
          <cell r="X221">
            <v>0</v>
          </cell>
          <cell r="AC221">
            <v>0</v>
          </cell>
          <cell r="AD221">
            <v>0</v>
          </cell>
          <cell r="AF221">
            <v>5</v>
          </cell>
        </row>
        <row r="222">
          <cell r="A222">
            <v>28</v>
          </cell>
          <cell r="B222">
            <v>11</v>
          </cell>
          <cell r="C222">
            <v>5.6666666666666661</v>
          </cell>
          <cell r="E222">
            <v>11.5</v>
          </cell>
          <cell r="F222">
            <v>2</v>
          </cell>
          <cell r="H222">
            <v>11.200000000000001</v>
          </cell>
          <cell r="I222">
            <v>4.2</v>
          </cell>
          <cell r="K222">
            <v>2.4827586206896552</v>
          </cell>
          <cell r="L222">
            <v>3.9655172413793105</v>
          </cell>
          <cell r="N222">
            <v>3.0384615384615383</v>
          </cell>
          <cell r="O222">
            <v>6.6923076923076916</v>
          </cell>
          <cell r="Q222">
            <v>2.7454545454545451</v>
          </cell>
          <cell r="R222">
            <v>5.2545454545454549</v>
          </cell>
          <cell r="T222">
            <v>9.5384615384615383</v>
          </cell>
          <cell r="U222">
            <v>13.615384615384615</v>
          </cell>
          <cell r="W222">
            <v>9.5384615384615383</v>
          </cell>
          <cell r="X222">
            <v>13.615384615384615</v>
          </cell>
          <cell r="AC222">
            <v>6.2767857142857135</v>
          </cell>
          <cell r="AD222">
            <v>9.0892857142857135</v>
          </cell>
          <cell r="AF222">
            <v>5</v>
          </cell>
        </row>
        <row r="223">
          <cell r="A223">
            <v>29</v>
          </cell>
          <cell r="B223">
            <v>6</v>
          </cell>
          <cell r="C223">
            <v>5.5</v>
          </cell>
          <cell r="E223">
            <v>2.3333333333333335</v>
          </cell>
          <cell r="F223">
            <v>4.666666666666667</v>
          </cell>
          <cell r="H223">
            <v>3.8</v>
          </cell>
          <cell r="I223">
            <v>5</v>
          </cell>
          <cell r="K223">
            <v>5</v>
          </cell>
          <cell r="L223">
            <v>3.0869565217391304</v>
          </cell>
          <cell r="N223">
            <v>2.666666666666667</v>
          </cell>
          <cell r="O223">
            <v>7.1999999999999993</v>
          </cell>
          <cell r="Q223">
            <v>4.0789473684210531</v>
          </cell>
          <cell r="R223">
            <v>4.7105263157894735</v>
          </cell>
          <cell r="T223">
            <v>12.392857142857142</v>
          </cell>
          <cell r="U223">
            <v>16.464285714285715</v>
          </cell>
          <cell r="W223">
            <v>12.392857142857142</v>
          </cell>
          <cell r="X223">
            <v>16.464285714285715</v>
          </cell>
          <cell r="AC223">
            <v>8.7676767676767664</v>
          </cell>
          <cell r="AD223">
            <v>11.373737373737374</v>
          </cell>
          <cell r="AF223">
            <v>5</v>
          </cell>
        </row>
        <row r="224">
          <cell r="A224">
            <v>30</v>
          </cell>
          <cell r="B224">
            <v>0</v>
          </cell>
          <cell r="C224">
            <v>0</v>
          </cell>
          <cell r="E224">
            <v>0</v>
          </cell>
          <cell r="F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Q224">
            <v>0</v>
          </cell>
          <cell r="R224">
            <v>0</v>
          </cell>
          <cell r="T224">
            <v>0</v>
          </cell>
          <cell r="U224">
            <v>0</v>
          </cell>
          <cell r="W224">
            <v>0</v>
          </cell>
          <cell r="X224">
            <v>0</v>
          </cell>
          <cell r="AC224">
            <v>0</v>
          </cell>
          <cell r="AD224">
            <v>0</v>
          </cell>
          <cell r="AF224">
            <v>5</v>
          </cell>
        </row>
        <row r="225">
          <cell r="A225">
            <v>31</v>
          </cell>
          <cell r="B225">
            <v>0</v>
          </cell>
          <cell r="C225">
            <v>0</v>
          </cell>
          <cell r="E225">
            <v>0</v>
          </cell>
          <cell r="F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AC225">
            <v>0</v>
          </cell>
          <cell r="AD225">
            <v>0</v>
          </cell>
          <cell r="AF225">
            <v>5</v>
          </cell>
        </row>
        <row r="226">
          <cell r="A226" t="str">
            <v xml:space="preserve">Ags/01 </v>
          </cell>
          <cell r="B226">
            <v>0</v>
          </cell>
          <cell r="C226">
            <v>0</v>
          </cell>
          <cell r="E226">
            <v>0</v>
          </cell>
          <cell r="F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Q226">
            <v>0</v>
          </cell>
          <cell r="R226">
            <v>0</v>
          </cell>
          <cell r="T226">
            <v>0</v>
          </cell>
          <cell r="U226">
            <v>0</v>
          </cell>
          <cell r="W226">
            <v>0</v>
          </cell>
          <cell r="X226">
            <v>0</v>
          </cell>
          <cell r="AC226">
            <v>0</v>
          </cell>
          <cell r="AD226">
            <v>0</v>
          </cell>
          <cell r="AF226">
            <v>5</v>
          </cell>
        </row>
        <row r="227">
          <cell r="A227">
            <v>2</v>
          </cell>
          <cell r="B227">
            <v>13.142857142857142</v>
          </cell>
          <cell r="C227">
            <v>1.7142857142857144</v>
          </cell>
          <cell r="E227">
            <v>3.8571428571428568</v>
          </cell>
          <cell r="F227">
            <v>4</v>
          </cell>
          <cell r="H227">
            <v>5.7142857142857144</v>
          </cell>
          <cell r="I227">
            <v>3.5428571428571427</v>
          </cell>
          <cell r="K227">
            <v>1.5357142857142858</v>
          </cell>
          <cell r="L227">
            <v>4.6428571428571432</v>
          </cell>
          <cell r="N227">
            <v>2.7058823529411762</v>
          </cell>
          <cell r="O227">
            <v>8.4117647058823533</v>
          </cell>
          <cell r="Q227">
            <v>1.9777777777777776</v>
          </cell>
          <cell r="R227">
            <v>6.0666666666666664</v>
          </cell>
          <cell r="T227">
            <v>12.192307692307693</v>
          </cell>
          <cell r="U227">
            <v>14.692307692307693</v>
          </cell>
          <cell r="W227">
            <v>12.192307692307693</v>
          </cell>
          <cell r="X227">
            <v>14.692307692307693</v>
          </cell>
          <cell r="AC227">
            <v>7.3096926713947994</v>
          </cell>
          <cell r="AD227">
            <v>10.099290780141844</v>
          </cell>
          <cell r="AF227">
            <v>5</v>
          </cell>
        </row>
        <row r="228">
          <cell r="A228">
            <v>3</v>
          </cell>
          <cell r="B228">
            <v>0</v>
          </cell>
          <cell r="C228">
            <v>0</v>
          </cell>
          <cell r="E228">
            <v>0</v>
          </cell>
          <cell r="F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Q228">
            <v>0</v>
          </cell>
          <cell r="R228">
            <v>0</v>
          </cell>
          <cell r="T228">
            <v>0</v>
          </cell>
          <cell r="U228">
            <v>0</v>
          </cell>
          <cell r="W228">
            <v>0</v>
          </cell>
          <cell r="X228">
            <v>0</v>
          </cell>
          <cell r="AC228">
            <v>0</v>
          </cell>
          <cell r="AD228">
            <v>0</v>
          </cell>
          <cell r="AF228">
            <v>5</v>
          </cell>
        </row>
        <row r="229">
          <cell r="A229">
            <v>4</v>
          </cell>
          <cell r="B229">
            <v>2.5</v>
          </cell>
          <cell r="C229">
            <v>2.5</v>
          </cell>
          <cell r="E229">
            <v>4.1666666666666661</v>
          </cell>
          <cell r="F229">
            <v>5.833333333333333</v>
          </cell>
          <cell r="H229">
            <v>3.75</v>
          </cell>
          <cell r="I229">
            <v>5</v>
          </cell>
          <cell r="K229">
            <v>4.7391304347826093</v>
          </cell>
          <cell r="L229">
            <v>8.6521739130434785</v>
          </cell>
          <cell r="N229">
            <v>5.3</v>
          </cell>
          <cell r="O229">
            <v>11.600000000000001</v>
          </cell>
          <cell r="Q229">
            <v>5</v>
          </cell>
          <cell r="R229">
            <v>10.023255813953488</v>
          </cell>
          <cell r="T229">
            <v>14.75</v>
          </cell>
          <cell r="U229">
            <v>24.714285714285715</v>
          </cell>
          <cell r="W229">
            <v>14.75</v>
          </cell>
          <cell r="X229">
            <v>24.714285714285715</v>
          </cell>
          <cell r="AC229">
            <v>10.009345794392525</v>
          </cell>
          <cell r="AD229">
            <v>17.33644859813084</v>
          </cell>
          <cell r="AF229">
            <v>5</v>
          </cell>
        </row>
        <row r="230">
          <cell r="A230">
            <v>5</v>
          </cell>
          <cell r="B230">
            <v>8.3333333333333321</v>
          </cell>
          <cell r="C230">
            <v>4.666666666666667</v>
          </cell>
          <cell r="E230">
            <v>3</v>
          </cell>
          <cell r="F230">
            <v>6.833333333333333</v>
          </cell>
          <cell r="H230">
            <v>4.7777777777777777</v>
          </cell>
          <cell r="I230">
            <v>6.1111111111111107</v>
          </cell>
          <cell r="K230">
            <v>2.1052631578947367</v>
          </cell>
          <cell r="L230">
            <v>4.1578947368421053</v>
          </cell>
          <cell r="N230">
            <v>4.3333333333333339</v>
          </cell>
          <cell r="O230">
            <v>12</v>
          </cell>
          <cell r="Q230">
            <v>2.4090909090909092</v>
          </cell>
          <cell r="R230">
            <v>5.2272727272727266</v>
          </cell>
          <cell r="T230">
            <v>15.181818181818182</v>
          </cell>
          <cell r="U230">
            <v>15.272727272727273</v>
          </cell>
          <cell r="W230">
            <v>15.181818181818182</v>
          </cell>
          <cell r="X230">
            <v>15.272727272727273</v>
          </cell>
          <cell r="AC230">
            <v>11.319587628865978</v>
          </cell>
          <cell r="AD230">
            <v>12.144329896907216</v>
          </cell>
          <cell r="AF230">
            <v>5</v>
          </cell>
        </row>
        <row r="231">
          <cell r="A231">
            <v>6</v>
          </cell>
          <cell r="B231">
            <v>0.5</v>
          </cell>
          <cell r="C231">
            <v>3</v>
          </cell>
          <cell r="E231">
            <v>5.5</v>
          </cell>
          <cell r="F231">
            <v>4</v>
          </cell>
          <cell r="H231">
            <v>4.25</v>
          </cell>
          <cell r="I231">
            <v>3.75</v>
          </cell>
          <cell r="K231">
            <v>3.4594594594594597</v>
          </cell>
          <cell r="L231">
            <v>6.1621621621621623</v>
          </cell>
          <cell r="N231">
            <v>2.0952380952380953</v>
          </cell>
          <cell r="O231">
            <v>7.7142857142857135</v>
          </cell>
          <cell r="Q231">
            <v>2.9655172413793105</v>
          </cell>
          <cell r="R231">
            <v>6.7241379310344822</v>
          </cell>
          <cell r="T231">
            <v>7.764705882352942</v>
          </cell>
          <cell r="U231">
            <v>16.382352941176471</v>
          </cell>
          <cell r="W231">
            <v>7.764705882352942</v>
          </cell>
          <cell r="X231">
            <v>16.382352941176471</v>
          </cell>
          <cell r="AC231">
            <v>5.4776119402985071</v>
          </cell>
          <cell r="AD231">
            <v>11.447761194029852</v>
          </cell>
          <cell r="AF231">
            <v>5</v>
          </cell>
        </row>
        <row r="232">
          <cell r="A232">
            <v>7</v>
          </cell>
          <cell r="B232">
            <v>3.5000000000000004</v>
          </cell>
          <cell r="C232">
            <v>3.5000000000000004</v>
          </cell>
          <cell r="E232">
            <v>4.8</v>
          </cell>
          <cell r="F232">
            <v>5.6000000000000005</v>
          </cell>
          <cell r="H232">
            <v>4.4285714285714279</v>
          </cell>
          <cell r="I232">
            <v>5</v>
          </cell>
          <cell r="K232">
            <v>2.7142857142857144</v>
          </cell>
          <cell r="L232">
            <v>4.7714285714285714</v>
          </cell>
          <cell r="N232">
            <v>2.5789473684210527</v>
          </cell>
          <cell r="O232">
            <v>7.1052631578947363</v>
          </cell>
          <cell r="Q232">
            <v>2.666666666666667</v>
          </cell>
          <cell r="R232">
            <v>5.5925925925925926</v>
          </cell>
          <cell r="T232">
            <v>6.9333333333333327</v>
          </cell>
          <cell r="U232">
            <v>19.166666666666668</v>
          </cell>
          <cell r="W232">
            <v>6.9333333333333327</v>
          </cell>
          <cell r="X232">
            <v>19.166666666666668</v>
          </cell>
          <cell r="AC232">
            <v>4.884297520661157</v>
          </cell>
          <cell r="AD232">
            <v>12.289256198347108</v>
          </cell>
          <cell r="AF232">
            <v>5</v>
          </cell>
        </row>
        <row r="233">
          <cell r="A233">
            <v>8</v>
          </cell>
          <cell r="B233">
            <v>1.5</v>
          </cell>
          <cell r="C233">
            <v>4.5</v>
          </cell>
          <cell r="E233">
            <v>7.0000000000000009</v>
          </cell>
          <cell r="F233">
            <v>3</v>
          </cell>
          <cell r="H233">
            <v>4.8</v>
          </cell>
          <cell r="I233">
            <v>3.5999999999999996</v>
          </cell>
          <cell r="K233">
            <v>3.2857142857142856</v>
          </cell>
          <cell r="L233">
            <v>4.3571428571428577</v>
          </cell>
          <cell r="N233">
            <v>2.6262626262626263</v>
          </cell>
          <cell r="O233">
            <v>4.9831649831649827</v>
          </cell>
          <cell r="Q233">
            <v>3.057176196032672</v>
          </cell>
          <cell r="R233">
            <v>4.5740956826137689</v>
          </cell>
          <cell r="T233">
            <v>7.9687499999999991</v>
          </cell>
          <cell r="U233">
            <v>16.59375</v>
          </cell>
          <cell r="W233">
            <v>7.9687499999999991</v>
          </cell>
          <cell r="X233">
            <v>16.59375</v>
          </cell>
          <cell r="AC233">
            <v>5.9454626732230667</v>
          </cell>
          <cell r="AD233">
            <v>11.408135896289675</v>
          </cell>
          <cell r="AF233">
            <v>5</v>
          </cell>
        </row>
        <row r="234">
          <cell r="A234">
            <v>9</v>
          </cell>
          <cell r="B234">
            <v>8.5</v>
          </cell>
          <cell r="C234">
            <v>3.5000000000000004</v>
          </cell>
          <cell r="E234">
            <v>12.333333333333334</v>
          </cell>
          <cell r="F234">
            <v>4.666666666666667</v>
          </cell>
          <cell r="H234">
            <v>10.142857142857142</v>
          </cell>
          <cell r="I234">
            <v>4</v>
          </cell>
          <cell r="K234">
            <v>3.5789473684210522</v>
          </cell>
          <cell r="L234">
            <v>6.2631578947368425</v>
          </cell>
          <cell r="N234">
            <v>3.9696969696969697</v>
          </cell>
          <cell r="O234">
            <v>6.5757575757575752</v>
          </cell>
          <cell r="Q234">
            <v>3.8269230769230771</v>
          </cell>
          <cell r="R234">
            <v>6.4615384615384617</v>
          </cell>
          <cell r="T234">
            <v>10.586956521739129</v>
          </cell>
          <cell r="U234">
            <v>15.67391304347826</v>
          </cell>
          <cell r="W234">
            <v>10.586956521739129</v>
          </cell>
          <cell r="X234">
            <v>15.67391304347826</v>
          </cell>
          <cell r="AC234">
            <v>8.2384105960264886</v>
          </cell>
          <cell r="AD234">
            <v>11.960264900662251</v>
          </cell>
          <cell r="AF234">
            <v>5</v>
          </cell>
        </row>
        <row r="235">
          <cell r="A235">
            <v>10</v>
          </cell>
          <cell r="B235">
            <v>0</v>
          </cell>
          <cell r="C235">
            <v>0</v>
          </cell>
          <cell r="E235">
            <v>0</v>
          </cell>
          <cell r="F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Q235">
            <v>0</v>
          </cell>
          <cell r="R235">
            <v>0</v>
          </cell>
          <cell r="T235">
            <v>0</v>
          </cell>
          <cell r="U235">
            <v>0</v>
          </cell>
          <cell r="W235">
            <v>0</v>
          </cell>
          <cell r="X235">
            <v>0</v>
          </cell>
          <cell r="AC235">
            <v>0</v>
          </cell>
          <cell r="AD235">
            <v>0</v>
          </cell>
          <cell r="AF235">
            <v>5</v>
          </cell>
        </row>
        <row r="236">
          <cell r="A236">
            <v>11</v>
          </cell>
          <cell r="B236">
            <v>6.5</v>
          </cell>
          <cell r="C236">
            <v>5.5</v>
          </cell>
          <cell r="E236">
            <v>5.625</v>
          </cell>
          <cell r="F236">
            <v>2.375</v>
          </cell>
          <cell r="H236">
            <v>5.916666666666667</v>
          </cell>
          <cell r="I236">
            <v>3.4166666666666665</v>
          </cell>
          <cell r="K236">
            <v>3.024390243902439</v>
          </cell>
          <cell r="L236">
            <v>4.2682926829268295</v>
          </cell>
          <cell r="N236">
            <v>3.7352941176470589</v>
          </cell>
          <cell r="O236">
            <v>5.5588235294117645</v>
          </cell>
          <cell r="Q236">
            <v>3.3466666666666667</v>
          </cell>
          <cell r="R236">
            <v>4.8533333333333335</v>
          </cell>
          <cell r="T236">
            <v>11.795918367346939</v>
          </cell>
          <cell r="U236">
            <v>14.020408163265305</v>
          </cell>
          <cell r="W236">
            <v>11.795918367346939</v>
          </cell>
          <cell r="X236">
            <v>14.020408163265305</v>
          </cell>
          <cell r="AC236">
            <v>7.9891891891891884</v>
          </cell>
          <cell r="AD236">
            <v>9.6162162162162161</v>
          </cell>
          <cell r="AF236">
            <v>5</v>
          </cell>
        </row>
        <row r="237">
          <cell r="A237">
            <v>12</v>
          </cell>
          <cell r="B237">
            <v>8.5</v>
          </cell>
          <cell r="C237">
            <v>4</v>
          </cell>
          <cell r="E237">
            <v>3.5000000000000004</v>
          </cell>
          <cell r="F237">
            <v>3.6666666666666665</v>
          </cell>
          <cell r="H237">
            <v>4.75</v>
          </cell>
          <cell r="I237">
            <v>3.75</v>
          </cell>
          <cell r="K237">
            <v>2.6451612903225805</v>
          </cell>
          <cell r="L237">
            <v>5.3548387096774199</v>
          </cell>
          <cell r="N237">
            <v>12</v>
          </cell>
          <cell r="O237">
            <v>10.875</v>
          </cell>
          <cell r="Q237">
            <v>4.5641025641025648</v>
          </cell>
          <cell r="R237">
            <v>6.4871794871794872</v>
          </cell>
          <cell r="T237">
            <v>13.714285714285715</v>
          </cell>
          <cell r="U237">
            <v>12.142857142857142</v>
          </cell>
          <cell r="W237">
            <v>13.714285714285715</v>
          </cell>
          <cell r="X237">
            <v>12.142857142857142</v>
          </cell>
          <cell r="AC237">
            <v>10.442748091603054</v>
          </cell>
          <cell r="AD237">
            <v>9.9465648854961835</v>
          </cell>
          <cell r="AF237">
            <v>5</v>
          </cell>
        </row>
        <row r="238">
          <cell r="A238">
            <v>13</v>
          </cell>
          <cell r="B238">
            <v>6</v>
          </cell>
          <cell r="C238">
            <v>4</v>
          </cell>
          <cell r="E238">
            <v>2.25</v>
          </cell>
          <cell r="F238">
            <v>4.25</v>
          </cell>
          <cell r="H238">
            <v>3.2727272727272729</v>
          </cell>
          <cell r="I238">
            <v>4.1818181818181817</v>
          </cell>
          <cell r="K238">
            <v>3.6666666666666665</v>
          </cell>
          <cell r="L238">
            <v>3.3703703703703702</v>
          </cell>
          <cell r="N238">
            <v>3.9545454545454541</v>
          </cell>
          <cell r="O238">
            <v>6.2727272727272725</v>
          </cell>
          <cell r="Q238">
            <v>3.7959183673469385</v>
          </cell>
          <cell r="R238">
            <v>4.6734693877551017</v>
          </cell>
          <cell r="T238">
            <v>11.607142857142858</v>
          </cell>
          <cell r="U238">
            <v>15.785714285714286</v>
          </cell>
          <cell r="W238">
            <v>11.607142857142858</v>
          </cell>
          <cell r="X238">
            <v>15.785714285714286</v>
          </cell>
          <cell r="AC238">
            <v>7.5172413793103452</v>
          </cell>
          <cell r="AD238">
            <v>9.9913793103448274</v>
          </cell>
          <cell r="AF238">
            <v>5</v>
          </cell>
        </row>
        <row r="239">
          <cell r="A239">
            <v>14</v>
          </cell>
          <cell r="B239">
            <v>5</v>
          </cell>
          <cell r="C239">
            <v>6.5</v>
          </cell>
          <cell r="E239">
            <v>3.8571428571428568</v>
          </cell>
          <cell r="F239">
            <v>3.8571428571428568</v>
          </cell>
          <cell r="H239">
            <v>4.1111111111111116</v>
          </cell>
          <cell r="I239">
            <v>4.4444444444444446</v>
          </cell>
          <cell r="K239">
            <v>4.0769230769230766</v>
          </cell>
          <cell r="L239">
            <v>4.3076923076923075</v>
          </cell>
          <cell r="N239">
            <v>5.0476190476190474</v>
          </cell>
          <cell r="O239">
            <v>1.9523809523809523</v>
          </cell>
          <cell r="Q239">
            <v>4.416666666666667</v>
          </cell>
          <cell r="R239">
            <v>3.4833333333333334</v>
          </cell>
          <cell r="T239">
            <v>11.294117647058824</v>
          </cell>
          <cell r="U239">
            <v>15.941176470588236</v>
          </cell>
          <cell r="W239">
            <v>11.294117647058824</v>
          </cell>
          <cell r="X239">
            <v>15.941176470588236</v>
          </cell>
          <cell r="AC239">
            <v>7.8102189781021902</v>
          </cell>
          <cell r="AD239">
            <v>9.7299270072992705</v>
          </cell>
          <cell r="AF239">
            <v>5</v>
          </cell>
        </row>
        <row r="240">
          <cell r="A240">
            <v>15</v>
          </cell>
          <cell r="B240">
            <v>1</v>
          </cell>
          <cell r="C240">
            <v>2</v>
          </cell>
          <cell r="E240">
            <v>4.2</v>
          </cell>
          <cell r="F240">
            <v>2.8000000000000003</v>
          </cell>
          <cell r="H240">
            <v>3.6666666666666665</v>
          </cell>
          <cell r="I240">
            <v>2.666666666666667</v>
          </cell>
          <cell r="K240">
            <v>2.3333333333333335</v>
          </cell>
          <cell r="L240">
            <v>4.8571428571428568</v>
          </cell>
          <cell r="N240">
            <v>3.0909090909090908</v>
          </cell>
          <cell r="O240">
            <v>5.5454545454545459</v>
          </cell>
          <cell r="Q240">
            <v>2.59375</v>
          </cell>
          <cell r="R240">
            <v>5.09375</v>
          </cell>
          <cell r="T240">
            <v>7.4444444444444438</v>
          </cell>
          <cell r="U240">
            <v>14.814814814814813</v>
          </cell>
          <cell r="W240">
            <v>7.4444444444444438</v>
          </cell>
          <cell r="X240">
            <v>14.814814814814813</v>
          </cell>
          <cell r="AC240">
            <v>5.5108695652173907</v>
          </cell>
          <cell r="AD240">
            <v>10.641304347826088</v>
          </cell>
          <cell r="AF240">
            <v>5</v>
          </cell>
        </row>
        <row r="241">
          <cell r="A241">
            <v>16</v>
          </cell>
          <cell r="B241">
            <v>1.25</v>
          </cell>
          <cell r="C241">
            <v>4.25</v>
          </cell>
          <cell r="E241">
            <v>4.8163636363636364</v>
          </cell>
          <cell r="F241">
            <v>4.8163636363636364</v>
          </cell>
          <cell r="H241">
            <v>3.865333333333334</v>
          </cell>
          <cell r="I241">
            <v>4.6653333333333329</v>
          </cell>
          <cell r="K241">
            <v>3.693877551020408</v>
          </cell>
          <cell r="L241">
            <v>3.7551020408163263</v>
          </cell>
          <cell r="N241">
            <v>5.0588235294117645</v>
          </cell>
          <cell r="O241">
            <v>11.058823529411764</v>
          </cell>
          <cell r="Q241">
            <v>4.045454545454545</v>
          </cell>
          <cell r="R241">
            <v>5.6363636363636367</v>
          </cell>
          <cell r="T241">
            <v>6.2641509433962268</v>
          </cell>
          <cell r="U241">
            <v>12.471698113207546</v>
          </cell>
          <cell r="W241">
            <v>6.2641509433962268</v>
          </cell>
          <cell r="X241">
            <v>12.471698113207546</v>
          </cell>
          <cell r="AC241">
            <v>5.2886631016042784</v>
          </cell>
          <cell r="AD241">
            <v>9.4330481283422465</v>
          </cell>
          <cell r="AF241">
            <v>5</v>
          </cell>
        </row>
        <row r="242">
          <cell r="A242">
            <v>17</v>
          </cell>
          <cell r="B242">
            <v>0</v>
          </cell>
          <cell r="C242">
            <v>0</v>
          </cell>
          <cell r="E242">
            <v>0</v>
          </cell>
          <cell r="F242">
            <v>0</v>
          </cell>
          <cell r="H242">
            <v>0</v>
          </cell>
          <cell r="I242">
            <v>0</v>
          </cell>
          <cell r="K242">
            <v>0</v>
          </cell>
          <cell r="L242">
            <v>0</v>
          </cell>
          <cell r="N242">
            <v>0</v>
          </cell>
          <cell r="O242">
            <v>0</v>
          </cell>
          <cell r="Q242">
            <v>0</v>
          </cell>
          <cell r="R242">
            <v>0</v>
          </cell>
          <cell r="T242">
            <v>0</v>
          </cell>
          <cell r="U242">
            <v>0</v>
          </cell>
          <cell r="W242">
            <v>0</v>
          </cell>
          <cell r="X242">
            <v>0</v>
          </cell>
          <cell r="AC242">
            <v>0</v>
          </cell>
          <cell r="AD242">
            <v>0</v>
          </cell>
          <cell r="AF242">
            <v>5</v>
          </cell>
        </row>
        <row r="243">
          <cell r="A243">
            <v>18</v>
          </cell>
          <cell r="B243">
            <v>0</v>
          </cell>
          <cell r="C243">
            <v>0</v>
          </cell>
          <cell r="E243">
            <v>0</v>
          </cell>
          <cell r="F243">
            <v>0</v>
          </cell>
          <cell r="H243">
            <v>0</v>
          </cell>
          <cell r="I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Q243">
            <v>0</v>
          </cell>
          <cell r="R243">
            <v>0</v>
          </cell>
          <cell r="T243">
            <v>0</v>
          </cell>
          <cell r="U243">
            <v>0</v>
          </cell>
          <cell r="W243">
            <v>0</v>
          </cell>
          <cell r="X243">
            <v>0</v>
          </cell>
          <cell r="AC243">
            <v>0</v>
          </cell>
          <cell r="AD243">
            <v>0</v>
          </cell>
          <cell r="AF243">
            <v>5</v>
          </cell>
        </row>
        <row r="244">
          <cell r="A244">
            <v>19</v>
          </cell>
          <cell r="B244">
            <v>0</v>
          </cell>
          <cell r="C244">
            <v>0</v>
          </cell>
          <cell r="E244">
            <v>13.875000000000002</v>
          </cell>
          <cell r="F244">
            <v>5.25</v>
          </cell>
          <cell r="H244">
            <v>13.875000000000002</v>
          </cell>
          <cell r="I244">
            <v>5.25</v>
          </cell>
          <cell r="K244">
            <v>7.3703703703703702</v>
          </cell>
          <cell r="L244">
            <v>3.4814814814814814</v>
          </cell>
          <cell r="N244">
            <v>10.918918918918919</v>
          </cell>
          <cell r="O244">
            <v>5.0540540540540535</v>
          </cell>
          <cell r="Q244">
            <v>8.8131868131868139</v>
          </cell>
          <cell r="R244">
            <v>4.1208791208791204</v>
          </cell>
          <cell r="T244">
            <v>13.969230769230769</v>
          </cell>
          <cell r="U244">
            <v>12.492307692307692</v>
          </cell>
          <cell r="W244">
            <v>13.969230769230769</v>
          </cell>
          <cell r="X244">
            <v>12.492307692307692</v>
          </cell>
          <cell r="AC244">
            <v>11.91703056768559</v>
          </cell>
          <cell r="AD244">
            <v>8.9126637554585155</v>
          </cell>
          <cell r="AF244">
            <v>5</v>
          </cell>
        </row>
        <row r="245">
          <cell r="A245">
            <v>20</v>
          </cell>
          <cell r="B245">
            <v>10</v>
          </cell>
          <cell r="C245">
            <v>5</v>
          </cell>
          <cell r="E245">
            <v>15.428571428571427</v>
          </cell>
          <cell r="F245">
            <v>3.7142857142857144</v>
          </cell>
          <cell r="H245">
            <v>14.75</v>
          </cell>
          <cell r="I245">
            <v>3.875</v>
          </cell>
          <cell r="K245">
            <v>8.212765957446809</v>
          </cell>
          <cell r="L245">
            <v>3.4042553191489362</v>
          </cell>
          <cell r="N245">
            <v>9.0606060606060606</v>
          </cell>
          <cell r="O245">
            <v>4</v>
          </cell>
          <cell r="Q245">
            <v>8.5625</v>
          </cell>
          <cell r="R245">
            <v>3.65</v>
          </cell>
          <cell r="T245">
            <v>20.704918032786885</v>
          </cell>
          <cell r="U245">
            <v>9.3770491803278695</v>
          </cell>
          <cell r="W245">
            <v>20.704918032786885</v>
          </cell>
          <cell r="X245">
            <v>9.3770491803278695</v>
          </cell>
          <cell r="AC245">
            <v>15.852380952380951</v>
          </cell>
          <cell r="AD245">
            <v>6.9857142857142858</v>
          </cell>
          <cell r="AF245">
            <v>5</v>
          </cell>
        </row>
        <row r="246">
          <cell r="A246">
            <v>21</v>
          </cell>
          <cell r="B246">
            <v>16.5</v>
          </cell>
          <cell r="C246">
            <v>1</v>
          </cell>
          <cell r="E246">
            <v>9.8000000000000007</v>
          </cell>
          <cell r="F246">
            <v>2.8000000000000003</v>
          </cell>
          <cell r="H246">
            <v>13.454545454545455</v>
          </cell>
          <cell r="I246">
            <v>1.8181818181818181</v>
          </cell>
          <cell r="K246">
            <v>9.6086956521739122</v>
          </cell>
          <cell r="L246">
            <v>3.4782608695652173</v>
          </cell>
          <cell r="N246">
            <v>12.214285714285714</v>
          </cell>
          <cell r="O246">
            <v>4.0714285714285721</v>
          </cell>
          <cell r="Q246">
            <v>10.594594594594595</v>
          </cell>
          <cell r="R246">
            <v>3.7027027027027031</v>
          </cell>
          <cell r="T246">
            <v>18</v>
          </cell>
          <cell r="U246">
            <v>10.444444444444445</v>
          </cell>
          <cell r="W246">
            <v>18</v>
          </cell>
          <cell r="X246">
            <v>10.444444444444445</v>
          </cell>
          <cell r="AC246">
            <v>15.165876777251185</v>
          </cell>
          <cell r="AD246">
            <v>7.6303317535545023</v>
          </cell>
          <cell r="AF246">
            <v>5</v>
          </cell>
        </row>
        <row r="247">
          <cell r="A247">
            <v>22</v>
          </cell>
          <cell r="B247">
            <v>0</v>
          </cell>
          <cell r="C247">
            <v>0</v>
          </cell>
          <cell r="E247">
            <v>17.5</v>
          </cell>
          <cell r="F247">
            <v>2.5</v>
          </cell>
          <cell r="H247">
            <v>17.5</v>
          </cell>
          <cell r="I247">
            <v>2.5</v>
          </cell>
          <cell r="K247">
            <v>13.722222222222221</v>
          </cell>
          <cell r="L247">
            <v>4.3333333333333339</v>
          </cell>
          <cell r="N247">
            <v>15.666666666666668</v>
          </cell>
          <cell r="O247">
            <v>4.3333333333333339</v>
          </cell>
          <cell r="Q247">
            <v>14.43859649122807</v>
          </cell>
          <cell r="R247">
            <v>4.3333333333333339</v>
          </cell>
          <cell r="T247">
            <v>27.586956521739133</v>
          </cell>
          <cell r="U247">
            <v>10.978260869565219</v>
          </cell>
          <cell r="W247">
            <v>27.586956521739133</v>
          </cell>
          <cell r="X247">
            <v>10.978260869565219</v>
          </cell>
          <cell r="AC247">
            <v>22.424836601307192</v>
          </cell>
          <cell r="AD247">
            <v>8.2810457516339859</v>
          </cell>
          <cell r="AF247">
            <v>5</v>
          </cell>
        </row>
        <row r="248">
          <cell r="A248">
            <v>23</v>
          </cell>
          <cell r="B248">
            <v>14.857142857142858</v>
          </cell>
          <cell r="C248">
            <v>0.7142857142857143</v>
          </cell>
          <cell r="E248">
            <v>20.599999999999998</v>
          </cell>
          <cell r="F248">
            <v>2.1999999999999997</v>
          </cell>
          <cell r="H248">
            <v>18.235294117647058</v>
          </cell>
          <cell r="I248">
            <v>1.588235294117647</v>
          </cell>
          <cell r="K248">
            <v>13.136986301369863</v>
          </cell>
          <cell r="L248">
            <v>3.4794520547945207</v>
          </cell>
          <cell r="N248">
            <v>12.35</v>
          </cell>
          <cell r="O248">
            <v>5.3250000000000002</v>
          </cell>
          <cell r="Q248">
            <v>12.858407079646017</v>
          </cell>
          <cell r="R248">
            <v>4.1327433628318584</v>
          </cell>
          <cell r="T248">
            <v>34.876543209876544</v>
          </cell>
          <cell r="U248">
            <v>9.0864197530864192</v>
          </cell>
          <cell r="W248">
            <v>34.876543209876544</v>
          </cell>
          <cell r="X248">
            <v>9.0864197530864192</v>
          </cell>
          <cell r="AC248">
            <v>25.386986301369863</v>
          </cell>
          <cell r="AD248">
            <v>6.7328767123287667</v>
          </cell>
          <cell r="AF248">
            <v>5</v>
          </cell>
        </row>
        <row r="249">
          <cell r="A249">
            <v>24</v>
          </cell>
          <cell r="B249">
            <v>0</v>
          </cell>
          <cell r="C249">
            <v>0</v>
          </cell>
          <cell r="E249">
            <v>0</v>
          </cell>
          <cell r="F249">
            <v>0</v>
          </cell>
          <cell r="H249">
            <v>0</v>
          </cell>
          <cell r="I249">
            <v>0</v>
          </cell>
          <cell r="K249">
            <v>0</v>
          </cell>
          <cell r="L249">
            <v>0</v>
          </cell>
          <cell r="N249">
            <v>0</v>
          </cell>
          <cell r="O249">
            <v>0</v>
          </cell>
          <cell r="Q249">
            <v>0</v>
          </cell>
          <cell r="R249">
            <v>0</v>
          </cell>
          <cell r="T249">
            <v>0</v>
          </cell>
          <cell r="U249">
            <v>0</v>
          </cell>
          <cell r="W249">
            <v>0</v>
          </cell>
          <cell r="X249">
            <v>0</v>
          </cell>
          <cell r="AC249">
            <v>0</v>
          </cell>
          <cell r="AD249">
            <v>0</v>
          </cell>
          <cell r="AF249">
            <v>5</v>
          </cell>
        </row>
        <row r="250">
          <cell r="A250">
            <v>25</v>
          </cell>
          <cell r="B250">
            <v>6.75</v>
          </cell>
          <cell r="C250">
            <v>2.25</v>
          </cell>
          <cell r="E250">
            <v>8.6666666666666679</v>
          </cell>
          <cell r="F250">
            <v>2.7777777777777777</v>
          </cell>
          <cell r="H250">
            <v>8.0769230769230766</v>
          </cell>
          <cell r="I250">
            <v>2.6153846153846154</v>
          </cell>
          <cell r="K250">
            <v>15.808510638297873</v>
          </cell>
          <cell r="L250">
            <v>3.042553191489362</v>
          </cell>
          <cell r="N250">
            <v>17.869158878504674</v>
          </cell>
          <cell r="O250">
            <v>3.7383177570093453</v>
          </cell>
          <cell r="Q250">
            <v>16.55593220338983</v>
          </cell>
          <cell r="R250">
            <v>3.2949152542372877</v>
          </cell>
          <cell r="T250">
            <v>51.449999999999996</v>
          </cell>
          <cell r="U250">
            <v>6.4750000000000005</v>
          </cell>
          <cell r="W250">
            <v>51.449999999999996</v>
          </cell>
          <cell r="X250">
            <v>6.4750000000000005</v>
          </cell>
          <cell r="AC250">
            <v>32.635682158920538</v>
          </cell>
          <cell r="AD250">
            <v>4.7676161919040476</v>
          </cell>
          <cell r="AF250">
            <v>5</v>
          </cell>
        </row>
        <row r="251">
          <cell r="A251">
            <v>26</v>
          </cell>
          <cell r="B251">
            <v>6</v>
          </cell>
          <cell r="C251">
            <v>5.6666666666666661</v>
          </cell>
          <cell r="E251">
            <v>7.333333333333333</v>
          </cell>
          <cell r="F251">
            <v>5.833333333333333</v>
          </cell>
          <cell r="H251">
            <v>6.8888888888888893</v>
          </cell>
          <cell r="I251">
            <v>5.7777777777777777</v>
          </cell>
          <cell r="K251">
            <v>6.0526315789473681</v>
          </cell>
          <cell r="L251">
            <v>4.6315789473684212</v>
          </cell>
          <cell r="N251">
            <v>4.2222222222222223</v>
          </cell>
          <cell r="O251">
            <v>12.388888888888889</v>
          </cell>
          <cell r="Q251">
            <v>5.1621621621621623</v>
          </cell>
          <cell r="R251">
            <v>8.4054054054054053</v>
          </cell>
          <cell r="T251">
            <v>19.033333333333331</v>
          </cell>
          <cell r="U251">
            <v>10.4</v>
          </cell>
          <cell r="W251">
            <v>19.033333333333331</v>
          </cell>
          <cell r="X251">
            <v>10.4</v>
          </cell>
          <cell r="AC251">
            <v>13.160377358490566</v>
          </cell>
          <cell r="AD251">
            <v>9.3113207547169807</v>
          </cell>
          <cell r="AF251">
            <v>5</v>
          </cell>
        </row>
        <row r="252">
          <cell r="A252">
            <v>27</v>
          </cell>
          <cell r="B252">
            <v>5</v>
          </cell>
          <cell r="C252">
            <v>4</v>
          </cell>
          <cell r="E252">
            <v>12.625</v>
          </cell>
          <cell r="F252">
            <v>4.75</v>
          </cell>
          <cell r="H252">
            <v>11.1</v>
          </cell>
          <cell r="I252">
            <v>4.5999999999999996</v>
          </cell>
          <cell r="K252">
            <v>5.0370370370370372</v>
          </cell>
          <cell r="L252">
            <v>4.3333333333333339</v>
          </cell>
          <cell r="N252">
            <v>5.4</v>
          </cell>
          <cell r="O252">
            <v>7.3999999999999995</v>
          </cell>
          <cell r="Q252">
            <v>5.1351351351351351</v>
          </cell>
          <cell r="R252">
            <v>5.1621621621621623</v>
          </cell>
          <cell r="T252">
            <v>13.892857142857142</v>
          </cell>
          <cell r="U252">
            <v>13.392857142857142</v>
          </cell>
          <cell r="W252">
            <v>13.892857142857142</v>
          </cell>
          <cell r="X252">
            <v>13.392857142857142</v>
          </cell>
          <cell r="AC252">
            <v>10.475728155339805</v>
          </cell>
          <cell r="AD252">
            <v>9.5825242718446599</v>
          </cell>
          <cell r="AF252">
            <v>5</v>
          </cell>
        </row>
        <row r="253">
          <cell r="A253">
            <v>28</v>
          </cell>
          <cell r="B253">
            <v>12</v>
          </cell>
          <cell r="C253">
            <v>4.25</v>
          </cell>
          <cell r="E253">
            <v>13.600000000000001</v>
          </cell>
          <cell r="F253">
            <v>6.8000000000000007</v>
          </cell>
          <cell r="H253">
            <v>12.888888888888889</v>
          </cell>
          <cell r="I253">
            <v>5.6666666666666661</v>
          </cell>
          <cell r="K253">
            <v>4.666666666666667</v>
          </cell>
          <cell r="L253">
            <v>4.5</v>
          </cell>
          <cell r="N253">
            <v>3.7142857142857144</v>
          </cell>
          <cell r="O253">
            <v>11.190476190476192</v>
          </cell>
          <cell r="Q253">
            <v>4.2745098039215685</v>
          </cell>
          <cell r="R253">
            <v>7.2549019607843146</v>
          </cell>
          <cell r="T253">
            <v>11.971428571428572</v>
          </cell>
          <cell r="U253">
            <v>16.942857142857143</v>
          </cell>
          <cell r="W253">
            <v>11.971428571428572</v>
          </cell>
          <cell r="X253">
            <v>16.942857142857143</v>
          </cell>
          <cell r="AC253">
            <v>9.0153846153846153</v>
          </cell>
          <cell r="AD253">
            <v>12.361538461538462</v>
          </cell>
          <cell r="AF253">
            <v>5</v>
          </cell>
        </row>
        <row r="254">
          <cell r="A254">
            <v>29</v>
          </cell>
          <cell r="B254">
            <v>8.6666666666666679</v>
          </cell>
          <cell r="C254">
            <v>3.3333333333333335</v>
          </cell>
          <cell r="E254">
            <v>9.5</v>
          </cell>
          <cell r="F254">
            <v>4.875</v>
          </cell>
          <cell r="H254">
            <v>9.2727272727272734</v>
          </cell>
          <cell r="I254">
            <v>4.454545454545455</v>
          </cell>
          <cell r="K254">
            <v>4.16</v>
          </cell>
          <cell r="L254">
            <v>5.48</v>
          </cell>
          <cell r="N254">
            <v>2.7333333333333334</v>
          </cell>
          <cell r="O254">
            <v>9.8000000000000007</v>
          </cell>
          <cell r="Q254">
            <v>3.6249999999999996</v>
          </cell>
          <cell r="R254">
            <v>7.1</v>
          </cell>
          <cell r="T254">
            <v>9.7560975609756095</v>
          </cell>
          <cell r="U254">
            <v>16.341463414634148</v>
          </cell>
          <cell r="W254">
            <v>9.7560975609756095</v>
          </cell>
          <cell r="X254">
            <v>16.341463414634148</v>
          </cell>
          <cell r="AC254">
            <v>7.8721804511278197</v>
          </cell>
          <cell r="AD254">
            <v>12.578947368421053</v>
          </cell>
          <cell r="AF254">
            <v>5</v>
          </cell>
        </row>
        <row r="255">
          <cell r="A255">
            <v>30</v>
          </cell>
          <cell r="B255">
            <v>3</v>
          </cell>
          <cell r="C255">
            <v>6.5</v>
          </cell>
          <cell r="E255">
            <v>9.5555555555555554</v>
          </cell>
          <cell r="F255">
            <v>3.4444444444444446</v>
          </cell>
          <cell r="H255">
            <v>7.5384615384615383</v>
          </cell>
          <cell r="I255">
            <v>4.384615384615385</v>
          </cell>
          <cell r="K255">
            <v>3.8636363636363633</v>
          </cell>
          <cell r="L255">
            <v>3.4090909090909087</v>
          </cell>
          <cell r="N255">
            <v>4.4117647058823533</v>
          </cell>
          <cell r="O255">
            <v>6.7058823529411766</v>
          </cell>
          <cell r="Q255">
            <v>4.1025641025641022</v>
          </cell>
          <cell r="R255">
            <v>4.8461538461538458</v>
          </cell>
          <cell r="T255">
            <v>10.489795918367346</v>
          </cell>
          <cell r="U255">
            <v>18.142857142857142</v>
          </cell>
          <cell r="W255">
            <v>10.489795918367346</v>
          </cell>
          <cell r="X255">
            <v>18.142857142857142</v>
          </cell>
          <cell r="AC255">
            <v>8.5733333333333324</v>
          </cell>
          <cell r="AD255">
            <v>13.493333333333332</v>
          </cell>
          <cell r="AF255">
            <v>5</v>
          </cell>
        </row>
        <row r="256">
          <cell r="A256">
            <v>31</v>
          </cell>
          <cell r="B256">
            <v>0</v>
          </cell>
          <cell r="C256">
            <v>0</v>
          </cell>
          <cell r="E256">
            <v>0</v>
          </cell>
          <cell r="F256">
            <v>0</v>
          </cell>
          <cell r="H256">
            <v>0</v>
          </cell>
          <cell r="I256">
            <v>0</v>
          </cell>
          <cell r="K256">
            <v>0</v>
          </cell>
          <cell r="L256">
            <v>0</v>
          </cell>
          <cell r="N256">
            <v>0</v>
          </cell>
          <cell r="O256">
            <v>0</v>
          </cell>
          <cell r="Q256">
            <v>0</v>
          </cell>
          <cell r="R256">
            <v>0</v>
          </cell>
          <cell r="T256">
            <v>0</v>
          </cell>
          <cell r="U256">
            <v>0</v>
          </cell>
          <cell r="W256">
            <v>0</v>
          </cell>
          <cell r="X256">
            <v>0</v>
          </cell>
          <cell r="AC256">
            <v>0</v>
          </cell>
          <cell r="AD256">
            <v>0</v>
          </cell>
          <cell r="AF256">
            <v>5</v>
          </cell>
        </row>
        <row r="257">
          <cell r="A257" t="str">
            <v xml:space="preserve">Sep/01 </v>
          </cell>
          <cell r="B257">
            <v>6</v>
          </cell>
          <cell r="C257">
            <v>3</v>
          </cell>
          <cell r="E257">
            <v>4.2233333333333336</v>
          </cell>
          <cell r="F257">
            <v>15.00111111111111</v>
          </cell>
          <cell r="H257">
            <v>4.5463636363636368</v>
          </cell>
          <cell r="I257">
            <v>12.819090909090908</v>
          </cell>
          <cell r="K257">
            <v>7.3444827586206891</v>
          </cell>
          <cell r="L257">
            <v>3.584827586206897</v>
          </cell>
          <cell r="N257">
            <v>12.913478260869566</v>
          </cell>
          <cell r="O257">
            <v>6.2621739130434779</v>
          </cell>
          <cell r="Q257">
            <v>9.8076923076923084</v>
          </cell>
          <cell r="R257">
            <v>4.7690384615384618</v>
          </cell>
          <cell r="T257">
            <v>16.097903225806451</v>
          </cell>
          <cell r="U257">
            <v>15.872419354838707</v>
          </cell>
          <cell r="W257">
            <v>16.097903225806451</v>
          </cell>
          <cell r="X257">
            <v>15.872419354838707</v>
          </cell>
          <cell r="AC257">
            <v>13.669251336898395</v>
          </cell>
          <cell r="AD257">
            <v>12.60524064171123</v>
          </cell>
          <cell r="AF257">
            <v>5</v>
          </cell>
        </row>
        <row r="258">
          <cell r="A258">
            <v>2</v>
          </cell>
          <cell r="B258">
            <v>4.5</v>
          </cell>
          <cell r="C258">
            <v>10.5</v>
          </cell>
          <cell r="E258">
            <v>5.4285714285714288</v>
          </cell>
          <cell r="F258">
            <v>7.1442857142857159</v>
          </cell>
          <cell r="H258">
            <v>5.0909090909090908</v>
          </cell>
          <cell r="I258">
            <v>8.3645454545454552</v>
          </cell>
          <cell r="K258">
            <v>6.289677419354839</v>
          </cell>
          <cell r="L258">
            <v>3.6783870967741938</v>
          </cell>
          <cell r="N258">
            <v>8.2796000000000003</v>
          </cell>
          <cell r="O258">
            <v>5.0407999999999999</v>
          </cell>
          <cell r="Q258">
            <v>7.1780357142857145</v>
          </cell>
          <cell r="R258">
            <v>4.2866071428571431</v>
          </cell>
          <cell r="T258">
            <v>14.424249999999999</v>
          </cell>
          <cell r="U258">
            <v>10.600999999999999</v>
          </cell>
          <cell r="W258">
            <v>14.424249999999999</v>
          </cell>
          <cell r="X258">
            <v>10.600999999999999</v>
          </cell>
          <cell r="AC258">
            <v>10.965374149659866</v>
          </cell>
          <cell r="AD258">
            <v>8.028163265306123</v>
          </cell>
          <cell r="AF258">
            <v>5</v>
          </cell>
        </row>
        <row r="259">
          <cell r="A259">
            <v>3</v>
          </cell>
          <cell r="B259">
            <v>4.25</v>
          </cell>
          <cell r="C259">
            <v>6.75</v>
          </cell>
          <cell r="E259">
            <v>4.33</v>
          </cell>
          <cell r="F259">
            <v>6.660000000000001</v>
          </cell>
          <cell r="H259">
            <v>4.2842857142857147</v>
          </cell>
          <cell r="I259">
            <v>6.7114285714285726</v>
          </cell>
          <cell r="K259">
            <v>3.7882142857142855</v>
          </cell>
          <cell r="L259">
            <v>3.4278571428571429</v>
          </cell>
          <cell r="N259">
            <v>7.44</v>
          </cell>
          <cell r="O259">
            <v>5.5612499999999994</v>
          </cell>
          <cell r="Q259">
            <v>5.1161363636363637</v>
          </cell>
          <cell r="R259">
            <v>4.2036363636363632</v>
          </cell>
          <cell r="T259">
            <v>15.416666666666668</v>
          </cell>
          <cell r="U259">
            <v>13.639166666666666</v>
          </cell>
          <cell r="W259">
            <v>15.416666666666668</v>
          </cell>
          <cell r="X259">
            <v>13.639166666666666</v>
          </cell>
          <cell r="AC259">
            <v>11.098373983739837</v>
          </cell>
          <cell r="AD259">
            <v>9.8695934959349607</v>
          </cell>
          <cell r="AF259">
            <v>5</v>
          </cell>
        </row>
        <row r="260">
          <cell r="A260">
            <v>4</v>
          </cell>
          <cell r="B260">
            <v>8.6666666666666679</v>
          </cell>
          <cell r="C260">
            <v>5.6666666666666661</v>
          </cell>
          <cell r="E260">
            <v>5.833333333333333</v>
          </cell>
          <cell r="F260">
            <v>4.5</v>
          </cell>
          <cell r="H260">
            <v>6.7777777777777786</v>
          </cell>
          <cell r="I260">
            <v>4.8888888888888893</v>
          </cell>
          <cell r="K260">
            <v>4.2512499999999998</v>
          </cell>
          <cell r="L260">
            <v>4.3774999999999995</v>
          </cell>
          <cell r="N260">
            <v>9.2506249999999994</v>
          </cell>
          <cell r="O260">
            <v>3.4387499999999993</v>
          </cell>
          <cell r="Q260">
            <v>5.9177083333333327</v>
          </cell>
          <cell r="R260">
            <v>4.0645833333333323</v>
          </cell>
          <cell r="T260">
            <v>13.685937500000001</v>
          </cell>
          <cell r="U260">
            <v>14.686250000000001</v>
          </cell>
          <cell r="W260">
            <v>13.685937500000001</v>
          </cell>
          <cell r="X260">
            <v>14.686250000000001</v>
          </cell>
          <cell r="AC260">
            <v>10.090495867768595</v>
          </cell>
          <cell r="AD260">
            <v>9.7439669421487594</v>
          </cell>
          <cell r="AF260">
            <v>5</v>
          </cell>
        </row>
        <row r="261">
          <cell r="A261">
            <v>5</v>
          </cell>
          <cell r="B261">
            <v>9</v>
          </cell>
          <cell r="C261">
            <v>1</v>
          </cell>
          <cell r="E261">
            <v>3.4009999999999998</v>
          </cell>
          <cell r="F261">
            <v>12.3</v>
          </cell>
          <cell r="H261">
            <v>4.3341666666666665</v>
          </cell>
          <cell r="I261">
            <v>10.416666666666668</v>
          </cell>
          <cell r="K261">
            <v>5.2871428571428574</v>
          </cell>
          <cell r="L261">
            <v>4.0961904761904773</v>
          </cell>
          <cell r="N261">
            <v>7.0909090909090908</v>
          </cell>
          <cell r="O261">
            <v>2.3636363636363638</v>
          </cell>
          <cell r="Q261">
            <v>5.9071875</v>
          </cell>
          <cell r="R261">
            <v>3.5006250000000003</v>
          </cell>
          <cell r="T261">
            <v>13.731951219512196</v>
          </cell>
          <cell r="U261">
            <v>11.121463414634148</v>
          </cell>
          <cell r="W261">
            <v>13.731951219512196</v>
          </cell>
          <cell r="X261">
            <v>11.121463414634148</v>
          </cell>
          <cell r="AC261">
            <v>10.84968253968254</v>
          </cell>
          <cell r="AD261">
            <v>9.1188888888888897</v>
          </cell>
          <cell r="AF261">
            <v>5</v>
          </cell>
        </row>
        <row r="262">
          <cell r="A262">
            <v>6</v>
          </cell>
          <cell r="B262">
            <v>8.6666666666666679</v>
          </cell>
          <cell r="C262">
            <v>6</v>
          </cell>
          <cell r="E262">
            <v>4.7777777777777777</v>
          </cell>
          <cell r="F262">
            <v>5.2222222222222223</v>
          </cell>
          <cell r="H262">
            <v>5.75</v>
          </cell>
          <cell r="I262">
            <v>5.416666666666667</v>
          </cell>
          <cell r="K262">
            <v>6.0865217391304345</v>
          </cell>
          <cell r="L262">
            <v>3.2604347826086952</v>
          </cell>
          <cell r="N262">
            <v>7.177142857142857</v>
          </cell>
          <cell r="O262">
            <v>3.5035714285714281</v>
          </cell>
          <cell r="Q262">
            <v>6.4991891891891891</v>
          </cell>
          <cell r="R262">
            <v>3.3524324324324324</v>
          </cell>
          <cell r="T262">
            <v>14.593333333333334</v>
          </cell>
          <cell r="U262">
            <v>10.259074074074075</v>
          </cell>
          <cell r="W262">
            <v>14.593333333333334</v>
          </cell>
          <cell r="X262">
            <v>10.259074074074075</v>
          </cell>
          <cell r="AC262">
            <v>10.958865979381443</v>
          </cell>
          <cell r="AD262">
            <v>7.3250515463917516</v>
          </cell>
          <cell r="AF262">
            <v>5</v>
          </cell>
        </row>
        <row r="263">
          <cell r="A263">
            <v>7</v>
          </cell>
          <cell r="B263">
            <v>0</v>
          </cell>
          <cell r="C263">
            <v>0</v>
          </cell>
          <cell r="E263">
            <v>0</v>
          </cell>
          <cell r="F263">
            <v>0</v>
          </cell>
          <cell r="H263">
            <v>0</v>
          </cell>
          <cell r="I263">
            <v>0</v>
          </cell>
          <cell r="K263">
            <v>0</v>
          </cell>
          <cell r="L263">
            <v>0</v>
          </cell>
          <cell r="N263">
            <v>0</v>
          </cell>
          <cell r="O263">
            <v>0</v>
          </cell>
          <cell r="Q263">
            <v>0</v>
          </cell>
          <cell r="R263">
            <v>0</v>
          </cell>
          <cell r="T263">
            <v>0</v>
          </cell>
          <cell r="U263">
            <v>0</v>
          </cell>
          <cell r="W263">
            <v>0</v>
          </cell>
          <cell r="X263">
            <v>0</v>
          </cell>
          <cell r="AC263">
            <v>0</v>
          </cell>
          <cell r="AD263">
            <v>0</v>
          </cell>
          <cell r="AF263">
            <v>5</v>
          </cell>
        </row>
        <row r="264">
          <cell r="A264">
            <v>8</v>
          </cell>
          <cell r="B264">
            <v>4</v>
          </cell>
          <cell r="C264">
            <v>4</v>
          </cell>
          <cell r="E264">
            <v>5.5714285714285712</v>
          </cell>
          <cell r="F264">
            <v>6</v>
          </cell>
          <cell r="H264">
            <v>5.2222222222222223</v>
          </cell>
          <cell r="I264">
            <v>5.5555555555555554</v>
          </cell>
          <cell r="K264">
            <v>4.5367441860465121</v>
          </cell>
          <cell r="L264">
            <v>4.7209302325581399</v>
          </cell>
          <cell r="N264">
            <v>7.0632258064516122</v>
          </cell>
          <cell r="O264">
            <v>4.7109677419354838</v>
          </cell>
          <cell r="Q264">
            <v>5.5951351351351351</v>
          </cell>
          <cell r="R264">
            <v>4.7167567567567561</v>
          </cell>
          <cell r="T264">
            <v>12.241612903225807</v>
          </cell>
          <cell r="U264">
            <v>14.499838709677421</v>
          </cell>
          <cell r="W264">
            <v>12.241612903225807</v>
          </cell>
          <cell r="X264">
            <v>14.499838709677421</v>
          </cell>
          <cell r="AC264">
            <v>9.5603864734299524</v>
          </cell>
          <cell r="AD264">
            <v>10.613623188405796</v>
          </cell>
          <cell r="AF264">
            <v>5</v>
          </cell>
        </row>
        <row r="265">
          <cell r="A265">
            <v>9</v>
          </cell>
          <cell r="B265">
            <v>8</v>
          </cell>
          <cell r="C265">
            <v>2</v>
          </cell>
          <cell r="E265">
            <v>6.375</v>
          </cell>
          <cell r="F265">
            <v>8</v>
          </cell>
          <cell r="H265">
            <v>6.5555555555555562</v>
          </cell>
          <cell r="I265">
            <v>7.333333333333333</v>
          </cell>
          <cell r="K265">
            <v>4.8273913043478265</v>
          </cell>
          <cell r="L265">
            <v>5.45695652173913</v>
          </cell>
          <cell r="N265">
            <v>6.2107894736842102</v>
          </cell>
          <cell r="O265">
            <v>4.6057894736842107</v>
          </cell>
          <cell r="Q265">
            <v>5.4532142857142851</v>
          </cell>
          <cell r="R265">
            <v>5.0719047619047615</v>
          </cell>
          <cell r="T265">
            <v>13.702592592592595</v>
          </cell>
          <cell r="U265">
            <v>10.759444444444444</v>
          </cell>
          <cell r="W265">
            <v>13.702592592592595</v>
          </cell>
          <cell r="X265">
            <v>10.759444444444444</v>
          </cell>
          <cell r="AC265">
            <v>9.9350746268656724</v>
          </cell>
          <cell r="AD265">
            <v>8.2291542288557213</v>
          </cell>
          <cell r="AF265">
            <v>5</v>
          </cell>
        </row>
        <row r="266">
          <cell r="A266">
            <v>10</v>
          </cell>
          <cell r="B266">
            <v>4.666666666666667</v>
          </cell>
          <cell r="C266">
            <v>9.6666666666666661</v>
          </cell>
          <cell r="E266">
            <v>4.1666666666666661</v>
          </cell>
          <cell r="F266">
            <v>8.1666666666666661</v>
          </cell>
          <cell r="H266">
            <v>4.3333333333333339</v>
          </cell>
          <cell r="I266">
            <v>8.6666666666666679</v>
          </cell>
          <cell r="K266">
            <v>4.3578571428571431</v>
          </cell>
          <cell r="L266">
            <v>5.286428571428571</v>
          </cell>
          <cell r="N266">
            <v>5.6071428571428568</v>
          </cell>
          <cell r="O266">
            <v>5.5371428571428574</v>
          </cell>
          <cell r="Q266">
            <v>4.982499999999999</v>
          </cell>
          <cell r="R266">
            <v>5.4117857142857133</v>
          </cell>
          <cell r="T266">
            <v>11.999622641509434</v>
          </cell>
          <cell r="U266">
            <v>12.583018867924531</v>
          </cell>
          <cell r="W266">
            <v>11.999622641509434</v>
          </cell>
          <cell r="X266">
            <v>12.583018867924531</v>
          </cell>
          <cell r="AC266">
            <v>9.2981286549707605</v>
          </cell>
          <cell r="AD266">
            <v>10.028421052631579</v>
          </cell>
          <cell r="AF266">
            <v>5</v>
          </cell>
        </row>
        <row r="267">
          <cell r="A267">
            <v>11</v>
          </cell>
          <cell r="B267">
            <v>3</v>
          </cell>
          <cell r="C267">
            <v>6</v>
          </cell>
          <cell r="E267">
            <v>5.665</v>
          </cell>
          <cell r="F267">
            <v>6.5</v>
          </cell>
          <cell r="H267">
            <v>4.9381818181818176</v>
          </cell>
          <cell r="I267">
            <v>6.3636363636363633</v>
          </cell>
          <cell r="K267">
            <v>4.2681081081081071</v>
          </cell>
          <cell r="L267">
            <v>5.4608108108108109</v>
          </cell>
          <cell r="N267">
            <v>5.7692307692307692</v>
          </cell>
          <cell r="O267">
            <v>5.1896153846153847</v>
          </cell>
          <cell r="Q267">
            <v>4.8876190476190473</v>
          </cell>
          <cell r="R267">
            <v>5.3488888888888892</v>
          </cell>
          <cell r="T267">
            <v>13.857959183673469</v>
          </cell>
          <cell r="U267">
            <v>12.163040816326532</v>
          </cell>
          <cell r="W267">
            <v>13.857959183673469</v>
          </cell>
          <cell r="X267">
            <v>12.163040816326532</v>
          </cell>
          <cell r="AC267">
            <v>10.001860465116279</v>
          </cell>
          <cell r="AD267">
            <v>9.2962674418604667</v>
          </cell>
          <cell r="AF267">
            <v>5</v>
          </cell>
        </row>
        <row r="268">
          <cell r="A268">
            <v>12</v>
          </cell>
          <cell r="B268">
            <v>4</v>
          </cell>
          <cell r="C268">
            <v>3</v>
          </cell>
          <cell r="E268">
            <v>5.7474999999999996</v>
          </cell>
          <cell r="F268">
            <v>7.7525000000000013</v>
          </cell>
          <cell r="H268">
            <v>5.3979999999999997</v>
          </cell>
          <cell r="I268">
            <v>6.8020000000000014</v>
          </cell>
          <cell r="K268">
            <v>4.7512499999999998</v>
          </cell>
          <cell r="L268">
            <v>4.6556249999999997</v>
          </cell>
          <cell r="N268">
            <v>5.3888888888888893</v>
          </cell>
          <cell r="O268">
            <v>7.4455555555555568</v>
          </cell>
          <cell r="Q268">
            <v>4.9807999999999995</v>
          </cell>
          <cell r="R268">
            <v>5.66</v>
          </cell>
          <cell r="T268">
            <v>13.202727272727275</v>
          </cell>
          <cell r="U268">
            <v>9.1820454545454542</v>
          </cell>
          <cell r="W268">
            <v>13.202727272727275</v>
          </cell>
          <cell r="X268">
            <v>9.1820454545454542</v>
          </cell>
          <cell r="AC268">
            <v>10.055034965034967</v>
          </cell>
          <cell r="AD268">
            <v>7.8673426573426575</v>
          </cell>
          <cell r="AF268">
            <v>5</v>
          </cell>
        </row>
        <row r="269">
          <cell r="A269">
            <v>13</v>
          </cell>
          <cell r="B269">
            <v>3.7142857142857144</v>
          </cell>
          <cell r="C269">
            <v>9.5699999999999985</v>
          </cell>
          <cell r="E269">
            <v>4.3999999999999995</v>
          </cell>
          <cell r="F269">
            <v>11.600000000000001</v>
          </cell>
          <cell r="H269">
            <v>4.117647058823529</v>
          </cell>
          <cell r="I269">
            <v>10.764117647058825</v>
          </cell>
          <cell r="K269">
            <v>4.6927777777777777</v>
          </cell>
          <cell r="L269">
            <v>6.1380555555555558</v>
          </cell>
          <cell r="N269">
            <v>5.1543749999999999</v>
          </cell>
          <cell r="O269">
            <v>6.9678124999999991</v>
          </cell>
          <cell r="Q269">
            <v>4.91</v>
          </cell>
          <cell r="R269">
            <v>6.5285294117647048</v>
          </cell>
          <cell r="T269">
            <v>13.407272727272728</v>
          </cell>
          <cell r="U269">
            <v>10.454545454545453</v>
          </cell>
          <cell r="W269">
            <v>13.407272727272728</v>
          </cell>
          <cell r="X269">
            <v>10.454545454545453</v>
          </cell>
          <cell r="AC269">
            <v>9.1544508670520255</v>
          </cell>
          <cell r="AD269">
            <v>8.9417919075144514</v>
          </cell>
          <cell r="AF269">
            <v>5</v>
          </cell>
        </row>
        <row r="270">
          <cell r="A270">
            <v>14</v>
          </cell>
          <cell r="B270">
            <v>0</v>
          </cell>
          <cell r="C270">
            <v>0</v>
          </cell>
          <cell r="E270">
            <v>0</v>
          </cell>
          <cell r="F270">
            <v>0</v>
          </cell>
          <cell r="H270">
            <v>0</v>
          </cell>
          <cell r="I270">
            <v>0</v>
          </cell>
          <cell r="K270">
            <v>0</v>
          </cell>
          <cell r="L270">
            <v>0</v>
          </cell>
          <cell r="N270">
            <v>0</v>
          </cell>
          <cell r="O270">
            <v>0</v>
          </cell>
          <cell r="Q270">
            <v>0</v>
          </cell>
          <cell r="R270">
            <v>0</v>
          </cell>
          <cell r="T270">
            <v>0</v>
          </cell>
          <cell r="U270">
            <v>0</v>
          </cell>
          <cell r="W270">
            <v>0</v>
          </cell>
          <cell r="X270">
            <v>0</v>
          </cell>
          <cell r="AC270">
            <v>0</v>
          </cell>
          <cell r="AD270">
            <v>0</v>
          </cell>
          <cell r="AF270">
            <v>5</v>
          </cell>
        </row>
        <row r="271">
          <cell r="A271">
            <v>15</v>
          </cell>
          <cell r="B271">
            <v>4</v>
          </cell>
          <cell r="C271">
            <v>10</v>
          </cell>
          <cell r="E271">
            <v>3.8571428571428568</v>
          </cell>
          <cell r="F271">
            <v>11.857142857142858</v>
          </cell>
          <cell r="H271">
            <v>3.875</v>
          </cell>
          <cell r="I271">
            <v>11.625</v>
          </cell>
          <cell r="K271">
            <v>3.7344444444444442</v>
          </cell>
          <cell r="L271">
            <v>7.7339999999999991</v>
          </cell>
          <cell r="N271">
            <v>5.5264705882352949</v>
          </cell>
          <cell r="O271">
            <v>5.7088235294117649</v>
          </cell>
          <cell r="Q271">
            <v>4.225806451612903</v>
          </cell>
          <cell r="R271">
            <v>7.1787096774193548</v>
          </cell>
          <cell r="T271">
            <v>15.144354838709678</v>
          </cell>
          <cell r="U271">
            <v>11.371129032258064</v>
          </cell>
          <cell r="W271">
            <v>15.144354838709678</v>
          </cell>
          <cell r="X271">
            <v>11.371129032258064</v>
          </cell>
          <cell r="AC271">
            <v>11.190206185567011</v>
          </cell>
          <cell r="AD271">
            <v>10.041752577319588</v>
          </cell>
          <cell r="AF271">
            <v>5</v>
          </cell>
        </row>
        <row r="272">
          <cell r="A272">
            <v>16</v>
          </cell>
          <cell r="B272">
            <v>6</v>
          </cell>
          <cell r="C272">
            <v>6.4</v>
          </cell>
          <cell r="E272">
            <v>3.1414285714285715</v>
          </cell>
          <cell r="F272">
            <v>9.855714285714285</v>
          </cell>
          <cell r="H272">
            <v>4.3325000000000005</v>
          </cell>
          <cell r="I272">
            <v>8.4158333333333335</v>
          </cell>
          <cell r="K272">
            <v>4.0618749999999997</v>
          </cell>
          <cell r="L272">
            <v>6.897708333333334</v>
          </cell>
          <cell r="N272">
            <v>7.7407407407407396</v>
          </cell>
          <cell r="O272">
            <v>4.5166666666666666</v>
          </cell>
          <cell r="Q272">
            <v>5.3862666666666659</v>
          </cell>
          <cell r="R272">
            <v>6.0405333333333342</v>
          </cell>
          <cell r="T272">
            <v>15.833166666666667</v>
          </cell>
          <cell r="U272">
            <v>6.3169999999999993</v>
          </cell>
          <cell r="W272">
            <v>15.833166666666667</v>
          </cell>
          <cell r="X272">
            <v>6.3169999999999993</v>
          </cell>
          <cell r="AC272">
            <v>11.381352657004831</v>
          </cell>
          <cell r="AD272">
            <v>6.3385024154589367</v>
          </cell>
          <cell r="AF272">
            <v>5</v>
          </cell>
        </row>
        <row r="273">
          <cell r="A273">
            <v>17</v>
          </cell>
          <cell r="B273">
            <v>6</v>
          </cell>
          <cell r="C273">
            <v>17.5</v>
          </cell>
          <cell r="E273">
            <v>4.1275000000000004</v>
          </cell>
          <cell r="F273">
            <v>15.625</v>
          </cell>
          <cell r="H273">
            <v>4.5020000000000007</v>
          </cell>
          <cell r="I273">
            <v>16</v>
          </cell>
          <cell r="K273">
            <v>4.6409523809523803</v>
          </cell>
          <cell r="L273">
            <v>4.8826190476190474</v>
          </cell>
          <cell r="N273">
            <v>7.2139285714285712</v>
          </cell>
          <cell r="O273">
            <v>5.3225000000000007</v>
          </cell>
          <cell r="Q273">
            <v>5.6701428571428565</v>
          </cell>
          <cell r="R273">
            <v>5.0585714285714287</v>
          </cell>
          <cell r="T273">
            <v>16.467833333333331</v>
          </cell>
          <cell r="U273">
            <v>6.2350000000000003</v>
          </cell>
          <cell r="W273">
            <v>16.467833333333331</v>
          </cell>
          <cell r="X273">
            <v>6.2350000000000003</v>
          </cell>
          <cell r="AC273">
            <v>12.090349999999999</v>
          </cell>
          <cell r="AD273">
            <v>6.3115000000000006</v>
          </cell>
          <cell r="AF273">
            <v>5</v>
          </cell>
        </row>
        <row r="274">
          <cell r="A274">
            <v>18</v>
          </cell>
          <cell r="B274">
            <v>4.5</v>
          </cell>
          <cell r="C274">
            <v>7.0000000000000009</v>
          </cell>
          <cell r="E274">
            <v>3.4000000000000004</v>
          </cell>
          <cell r="F274">
            <v>16.5</v>
          </cell>
          <cell r="H274">
            <v>3.7142857142857144</v>
          </cell>
          <cell r="I274">
            <v>13.785714285714285</v>
          </cell>
          <cell r="K274">
            <v>5.1097222222222216</v>
          </cell>
          <cell r="L274">
            <v>5.0825000000000005</v>
          </cell>
          <cell r="N274">
            <v>7.3134285714285703</v>
          </cell>
          <cell r="O274">
            <v>4.0294285714285714</v>
          </cell>
          <cell r="Q274">
            <v>6.1960563380281686</v>
          </cell>
          <cell r="R274">
            <v>4.563380281690141</v>
          </cell>
          <cell r="T274">
            <v>13.472105263157896</v>
          </cell>
          <cell r="U274">
            <v>6.8243859649122811</v>
          </cell>
          <cell r="W274">
            <v>13.472105263157896</v>
          </cell>
          <cell r="X274">
            <v>6.8243859649122811</v>
          </cell>
          <cell r="AC274">
            <v>10.189648241206031</v>
          </cell>
          <cell r="AD274">
            <v>6.5074371859296489</v>
          </cell>
          <cell r="AF274">
            <v>5</v>
          </cell>
        </row>
        <row r="275">
          <cell r="A275">
            <v>19</v>
          </cell>
          <cell r="B275">
            <v>8</v>
          </cell>
          <cell r="C275">
            <v>4.5</v>
          </cell>
          <cell r="E275">
            <v>5.25</v>
          </cell>
          <cell r="F275">
            <v>8.75</v>
          </cell>
          <cell r="H275">
            <v>5.8000000000000007</v>
          </cell>
          <cell r="I275">
            <v>7.9</v>
          </cell>
          <cell r="K275">
            <v>3.7935294117647067</v>
          </cell>
          <cell r="L275">
            <v>6.6491176470588238</v>
          </cell>
          <cell r="N275">
            <v>6.2707692307692309</v>
          </cell>
          <cell r="O275">
            <v>5.2692307692307692</v>
          </cell>
          <cell r="Q275">
            <v>4.8670000000000009</v>
          </cell>
          <cell r="R275">
            <v>6.0511666666666661</v>
          </cell>
          <cell r="T275">
            <v>12.7190625</v>
          </cell>
          <cell r="U275">
            <v>7.015625</v>
          </cell>
          <cell r="W275">
            <v>12.7190625</v>
          </cell>
          <cell r="X275">
            <v>7.015625</v>
          </cell>
          <cell r="AC275">
            <v>9.9902020202020196</v>
          </cell>
          <cell r="AD275">
            <v>6.7680303030303017</v>
          </cell>
          <cell r="AF275">
            <v>5</v>
          </cell>
        </row>
        <row r="276">
          <cell r="A276">
            <v>20</v>
          </cell>
          <cell r="B276">
            <v>2.5024999999999999</v>
          </cell>
          <cell r="C276">
            <v>8.2475000000000005</v>
          </cell>
          <cell r="E276">
            <v>5.3333333333333339</v>
          </cell>
          <cell r="F276">
            <v>7.0816666666666652</v>
          </cell>
          <cell r="H276">
            <v>4.6256250000000003</v>
          </cell>
          <cell r="I276">
            <v>7.3731249999999999</v>
          </cell>
          <cell r="K276">
            <v>5.2186666666666666</v>
          </cell>
          <cell r="L276">
            <v>7.0696666666666674</v>
          </cell>
          <cell r="N276">
            <v>6.9099999999999993</v>
          </cell>
          <cell r="O276">
            <v>4.1233333333333331</v>
          </cell>
          <cell r="Q276">
            <v>5.8188172043010749</v>
          </cell>
          <cell r="R276">
            <v>6.024193548387097</v>
          </cell>
          <cell r="T276">
            <v>12.794565217391307</v>
          </cell>
          <cell r="U276">
            <v>8.436195652173911</v>
          </cell>
          <cell r="W276">
            <v>12.794565217391307</v>
          </cell>
          <cell r="X276">
            <v>8.436195652173911</v>
          </cell>
          <cell r="AC276">
            <v>10.134334470989762</v>
          </cell>
          <cell r="AD276">
            <v>7.6125597269624565</v>
          </cell>
          <cell r="AF276">
            <v>5</v>
          </cell>
        </row>
        <row r="277">
          <cell r="A277">
            <v>21</v>
          </cell>
          <cell r="B277">
            <v>0</v>
          </cell>
          <cell r="C277">
            <v>0</v>
          </cell>
          <cell r="E277">
            <v>0</v>
          </cell>
          <cell r="F277">
            <v>0</v>
          </cell>
          <cell r="H277">
            <v>0</v>
          </cell>
          <cell r="I277">
            <v>0</v>
          </cell>
          <cell r="K277">
            <v>0</v>
          </cell>
          <cell r="L277">
            <v>0</v>
          </cell>
          <cell r="N277">
            <v>0</v>
          </cell>
          <cell r="O277">
            <v>0</v>
          </cell>
          <cell r="Q277">
            <v>0</v>
          </cell>
          <cell r="R277">
            <v>0</v>
          </cell>
          <cell r="T277">
            <v>0</v>
          </cell>
          <cell r="U277">
            <v>0</v>
          </cell>
          <cell r="W277">
            <v>0</v>
          </cell>
          <cell r="X277">
            <v>0</v>
          </cell>
          <cell r="AC277">
            <v>0</v>
          </cell>
          <cell r="AD277">
            <v>0</v>
          </cell>
          <cell r="AF277">
            <v>5</v>
          </cell>
        </row>
        <row r="278">
          <cell r="A278">
            <v>22</v>
          </cell>
          <cell r="B278">
            <v>0</v>
          </cell>
          <cell r="C278">
            <v>0</v>
          </cell>
          <cell r="E278">
            <v>0</v>
          </cell>
          <cell r="F278">
            <v>0</v>
          </cell>
          <cell r="H278">
            <v>0</v>
          </cell>
          <cell r="I278">
            <v>0</v>
          </cell>
          <cell r="K278">
            <v>0</v>
          </cell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AC278">
            <v>0</v>
          </cell>
          <cell r="AD278">
            <v>0</v>
          </cell>
          <cell r="AF278">
            <v>5</v>
          </cell>
        </row>
        <row r="279">
          <cell r="A279">
            <v>23</v>
          </cell>
          <cell r="B279">
            <v>3</v>
          </cell>
          <cell r="C279">
            <v>14.000000000000002</v>
          </cell>
          <cell r="E279">
            <v>4</v>
          </cell>
          <cell r="F279">
            <v>12.25</v>
          </cell>
          <cell r="H279">
            <v>3.8</v>
          </cell>
          <cell r="I279">
            <v>12.6</v>
          </cell>
          <cell r="K279">
            <v>4.1584210526315797</v>
          </cell>
          <cell r="L279">
            <v>11.018596491228069</v>
          </cell>
          <cell r="N279">
            <v>4.0847222222222221</v>
          </cell>
          <cell r="O279">
            <v>14.693055555555556</v>
          </cell>
          <cell r="Q279">
            <v>4.1298924731182804</v>
          </cell>
          <cell r="R279">
            <v>12.440967741935484</v>
          </cell>
          <cell r="T279">
            <v>9.480649350649351</v>
          </cell>
          <cell r="U279">
            <v>22.581818181818182</v>
          </cell>
          <cell r="W279">
            <v>9.480649350649351</v>
          </cell>
          <cell r="X279">
            <v>22.581818181818182</v>
          </cell>
          <cell r="AC279">
            <v>7.3932539682539682</v>
          </cell>
          <cell r="AD279">
            <v>18.641309523809525</v>
          </cell>
          <cell r="AF279">
            <v>5</v>
          </cell>
        </row>
        <row r="280">
          <cell r="A280">
            <v>24</v>
          </cell>
          <cell r="B280">
            <v>4</v>
          </cell>
          <cell r="C280">
            <v>5</v>
          </cell>
          <cell r="E280">
            <v>4.168333333333333</v>
          </cell>
          <cell r="F280">
            <v>8.25</v>
          </cell>
          <cell r="H280">
            <v>4.134666666666666</v>
          </cell>
          <cell r="I280">
            <v>7.6</v>
          </cell>
          <cell r="K280">
            <v>3.8174999999999999</v>
          </cell>
          <cell r="L280">
            <v>9.6377272727272736</v>
          </cell>
          <cell r="N280">
            <v>5.0012499999999998</v>
          </cell>
          <cell r="O280">
            <v>11.8125</v>
          </cell>
          <cell r="Q280">
            <v>4.3159210526315785</v>
          </cell>
          <cell r="R280">
            <v>10.553421052631579</v>
          </cell>
          <cell r="T280">
            <v>8.1584313725490194</v>
          </cell>
          <cell r="U280">
            <v>27.255098039215685</v>
          </cell>
          <cell r="W280">
            <v>8.1584313725490194</v>
          </cell>
          <cell r="X280">
            <v>27.255098039215685</v>
          </cell>
          <cell r="AC280">
            <v>6.3325906735751296</v>
          </cell>
          <cell r="AD280">
            <v>19.150673575129534</v>
          </cell>
          <cell r="AF280">
            <v>5</v>
          </cell>
        </row>
        <row r="281">
          <cell r="A281">
            <v>25</v>
          </cell>
          <cell r="B281">
            <v>6.666666666666667</v>
          </cell>
          <cell r="C281">
            <v>5.6666666666666661</v>
          </cell>
          <cell r="E281">
            <v>5.2745454545454535</v>
          </cell>
          <cell r="F281">
            <v>7.5454545454545459</v>
          </cell>
          <cell r="H281">
            <v>5.572857142857143</v>
          </cell>
          <cell r="I281">
            <v>7.1428571428571423</v>
          </cell>
          <cell r="K281">
            <v>3.0228888888888887</v>
          </cell>
          <cell r="L281">
            <v>9.0471111111111124</v>
          </cell>
          <cell r="N281">
            <v>4.0975000000000001</v>
          </cell>
          <cell r="O281">
            <v>10.297499999999999</v>
          </cell>
          <cell r="Q281">
            <v>3.353538461538462</v>
          </cell>
          <cell r="R281">
            <v>9.4318461538461538</v>
          </cell>
          <cell r="T281">
            <v>11.001428571428571</v>
          </cell>
          <cell r="U281">
            <v>6.2842857142857147</v>
          </cell>
          <cell r="W281">
            <v>11.001428571428571</v>
          </cell>
          <cell r="X281">
            <v>6.2842857142857147</v>
          </cell>
          <cell r="AC281">
            <v>5.6452336448598128</v>
          </cell>
          <cell r="AD281">
            <v>8.308691588785047</v>
          </cell>
          <cell r="AF281">
            <v>5</v>
          </cell>
        </row>
        <row r="282">
          <cell r="A282">
            <v>26</v>
          </cell>
          <cell r="B282">
            <v>3.4975000000000001</v>
          </cell>
          <cell r="C282">
            <v>9.2525000000000013</v>
          </cell>
          <cell r="E282">
            <v>6.666666666666667</v>
          </cell>
          <cell r="F282">
            <v>5.5</v>
          </cell>
          <cell r="H282">
            <v>5.399</v>
          </cell>
          <cell r="I282">
            <v>7.0010000000000003</v>
          </cell>
          <cell r="K282">
            <v>3.6185714285714288</v>
          </cell>
          <cell r="L282">
            <v>5.7633333333333336</v>
          </cell>
          <cell r="N282">
            <v>7.0000000000000009</v>
          </cell>
          <cell r="O282">
            <v>3.6249999999999996</v>
          </cell>
          <cell r="Q282">
            <v>4.5513793103448279</v>
          </cell>
          <cell r="R282">
            <v>5.1734482758620697</v>
          </cell>
          <cell r="T282">
            <v>10.000243902439024</v>
          </cell>
          <cell r="U282">
            <v>9.4890243902439018</v>
          </cell>
          <cell r="W282">
            <v>10.000243902439024</v>
          </cell>
          <cell r="X282">
            <v>9.4890243902439018</v>
          </cell>
          <cell r="AC282">
            <v>8.3140495867768607</v>
          </cell>
          <cell r="AD282">
            <v>8.2490909090909081</v>
          </cell>
          <cell r="AF282">
            <v>5</v>
          </cell>
        </row>
        <row r="283">
          <cell r="A283">
            <v>27</v>
          </cell>
          <cell r="B283">
            <v>3</v>
          </cell>
          <cell r="C283">
            <v>10</v>
          </cell>
          <cell r="E283">
            <v>5.165</v>
          </cell>
          <cell r="F283">
            <v>5.5</v>
          </cell>
          <cell r="H283">
            <v>4.8557142857142859</v>
          </cell>
          <cell r="I283">
            <v>6.1428571428571432</v>
          </cell>
          <cell r="K283">
            <v>4.0033333333333339</v>
          </cell>
          <cell r="L283">
            <v>5.888148148148149</v>
          </cell>
          <cell r="N283">
            <v>5.2371428571428567</v>
          </cell>
          <cell r="O283">
            <v>6.1466666666666665</v>
          </cell>
          <cell r="Q283">
            <v>4.5431249999999999</v>
          </cell>
          <cell r="R283">
            <v>6.0012500000000006</v>
          </cell>
          <cell r="T283">
            <v>12.763529411764708</v>
          </cell>
          <cell r="U283">
            <v>6.4133333333333349</v>
          </cell>
          <cell r="W283">
            <v>12.763529411764708</v>
          </cell>
          <cell r="X283">
            <v>6.4133333333333349</v>
          </cell>
          <cell r="AC283">
            <v>9.682500000000001</v>
          </cell>
          <cell r="AD283">
            <v>6.269634146341466</v>
          </cell>
          <cell r="AF283">
            <v>5</v>
          </cell>
        </row>
        <row r="284">
          <cell r="A284">
            <v>28</v>
          </cell>
          <cell r="B284">
            <v>9.33</v>
          </cell>
          <cell r="C284">
            <v>3</v>
          </cell>
          <cell r="E284">
            <v>5.9974999999999996</v>
          </cell>
          <cell r="F284">
            <v>5.2524999999999995</v>
          </cell>
          <cell r="H284">
            <v>7.4257142857142853</v>
          </cell>
          <cell r="I284">
            <v>4.2871428571428565</v>
          </cell>
          <cell r="K284">
            <v>3.8</v>
          </cell>
          <cell r="L284">
            <v>4.1333333333333329</v>
          </cell>
          <cell r="N284">
            <v>6.6677777777777782</v>
          </cell>
          <cell r="O284">
            <v>6</v>
          </cell>
          <cell r="Q284">
            <v>4.8754166666666672</v>
          </cell>
          <cell r="R284">
            <v>4.833333333333333</v>
          </cell>
          <cell r="T284">
            <v>12.658780487804878</v>
          </cell>
          <cell r="U284">
            <v>7.4373170731707319</v>
          </cell>
          <cell r="W284">
            <v>12.658780487804878</v>
          </cell>
          <cell r="X284">
            <v>7.4373170731707319</v>
          </cell>
          <cell r="AC284">
            <v>10.68150442477876</v>
          </cell>
          <cell r="AD284">
            <v>6.6891150442477869</v>
          </cell>
          <cell r="AF284">
            <v>5</v>
          </cell>
        </row>
        <row r="285">
          <cell r="A285">
            <v>29</v>
          </cell>
          <cell r="B285">
            <v>10.798</v>
          </cell>
          <cell r="C285">
            <v>5.8000000000000007</v>
          </cell>
          <cell r="E285">
            <v>7.7979999999999992</v>
          </cell>
          <cell r="F285">
            <v>6.4</v>
          </cell>
          <cell r="H285">
            <v>9.298</v>
          </cell>
          <cell r="I285">
            <v>6.1</v>
          </cell>
          <cell r="K285">
            <v>3.6925641025641034</v>
          </cell>
          <cell r="L285">
            <v>5.7982051282051277</v>
          </cell>
          <cell r="N285">
            <v>5.5192000000000005</v>
          </cell>
          <cell r="O285">
            <v>5.5972</v>
          </cell>
          <cell r="Q285">
            <v>4.4060937500000001</v>
          </cell>
          <cell r="R285">
            <v>5.7196875</v>
          </cell>
          <cell r="T285">
            <v>13.696071428571429</v>
          </cell>
          <cell r="U285">
            <v>6.1794642857142863</v>
          </cell>
          <cell r="W285">
            <v>13.696071428571429</v>
          </cell>
          <cell r="X285">
            <v>6.1794642857142863</v>
          </cell>
          <cell r="AC285">
            <v>10.263064516129033</v>
          </cell>
          <cell r="AD285">
            <v>6.0169892473118285</v>
          </cell>
          <cell r="AF285">
            <v>5</v>
          </cell>
        </row>
        <row r="286">
          <cell r="A286">
            <v>30</v>
          </cell>
          <cell r="B286">
            <v>7.0000000000000009</v>
          </cell>
          <cell r="C286">
            <v>8.1666666666666661</v>
          </cell>
          <cell r="E286">
            <v>7.6989999999999998</v>
          </cell>
          <cell r="F286">
            <v>5.5990000000000002</v>
          </cell>
          <cell r="H286">
            <v>7.4368750000000015</v>
          </cell>
          <cell r="I286">
            <v>6.5618750000000006</v>
          </cell>
          <cell r="K286">
            <v>3.6919230769230769</v>
          </cell>
          <cell r="L286">
            <v>4.9626923076923077</v>
          </cell>
          <cell r="N286">
            <v>5.7296153846153848</v>
          </cell>
          <cell r="O286">
            <v>4.3084615384615388</v>
          </cell>
          <cell r="Q286">
            <v>4.7107692307692304</v>
          </cell>
          <cell r="R286">
            <v>4.6355769230769237</v>
          </cell>
          <cell r="T286">
            <v>13.397499999999999</v>
          </cell>
          <cell r="U286">
            <v>6.1454166666666667</v>
          </cell>
          <cell r="W286">
            <v>13.397499999999999</v>
          </cell>
          <cell r="X286">
            <v>6.1454166666666667</v>
          </cell>
          <cell r="AC286">
            <v>10.061646341463414</v>
          </cell>
          <cell r="AD286">
            <v>5.7073170731707323</v>
          </cell>
          <cell r="AF286">
            <v>5</v>
          </cell>
        </row>
        <row r="287">
          <cell r="A287">
            <v>31</v>
          </cell>
          <cell r="B287">
            <v>15.5</v>
          </cell>
          <cell r="C287">
            <v>2.5</v>
          </cell>
          <cell r="E287">
            <v>5.25</v>
          </cell>
          <cell r="F287">
            <v>4.5</v>
          </cell>
          <cell r="H287">
            <v>8.6666666666666679</v>
          </cell>
          <cell r="I287">
            <v>3.833333333333333</v>
          </cell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AC287">
            <v>8.6666666666666679</v>
          </cell>
          <cell r="AD287">
            <v>3.833333333333333</v>
          </cell>
          <cell r="AF287">
            <v>5</v>
          </cell>
        </row>
        <row r="288">
          <cell r="A288" t="str">
            <v xml:space="preserve">Okt/01 </v>
          </cell>
        </row>
        <row r="289">
          <cell r="A289">
            <v>2</v>
          </cell>
        </row>
        <row r="290">
          <cell r="A290">
            <v>3</v>
          </cell>
        </row>
        <row r="291">
          <cell r="A291">
            <v>4</v>
          </cell>
        </row>
        <row r="292">
          <cell r="A292">
            <v>5</v>
          </cell>
        </row>
        <row r="293">
          <cell r="A293">
            <v>6</v>
          </cell>
        </row>
        <row r="294">
          <cell r="A294">
            <v>7</v>
          </cell>
        </row>
        <row r="295">
          <cell r="A295">
            <v>8</v>
          </cell>
        </row>
        <row r="296">
          <cell r="A296">
            <v>9</v>
          </cell>
        </row>
        <row r="297">
          <cell r="A297">
            <v>10</v>
          </cell>
        </row>
        <row r="298">
          <cell r="A298">
            <v>11</v>
          </cell>
        </row>
        <row r="299">
          <cell r="A299">
            <v>12</v>
          </cell>
        </row>
        <row r="300">
          <cell r="A300">
            <v>13</v>
          </cell>
        </row>
        <row r="301">
          <cell r="A301">
            <v>14</v>
          </cell>
        </row>
        <row r="302">
          <cell r="A302">
            <v>15</v>
          </cell>
        </row>
        <row r="303">
          <cell r="A303">
            <v>16</v>
          </cell>
        </row>
        <row r="304">
          <cell r="A304">
            <v>17</v>
          </cell>
        </row>
        <row r="305">
          <cell r="A305">
            <v>18</v>
          </cell>
        </row>
        <row r="306">
          <cell r="A306">
            <v>19</v>
          </cell>
        </row>
        <row r="307">
          <cell r="A307">
            <v>20</v>
          </cell>
        </row>
        <row r="308">
          <cell r="A308">
            <v>21</v>
          </cell>
        </row>
        <row r="309">
          <cell r="A309">
            <v>22</v>
          </cell>
        </row>
        <row r="310">
          <cell r="A310">
            <v>23</v>
          </cell>
        </row>
        <row r="311">
          <cell r="A311">
            <v>24</v>
          </cell>
        </row>
        <row r="312">
          <cell r="A312">
            <v>25</v>
          </cell>
        </row>
        <row r="313">
          <cell r="A313">
            <v>26</v>
          </cell>
        </row>
        <row r="314">
          <cell r="A314">
            <v>27</v>
          </cell>
        </row>
        <row r="315">
          <cell r="A315">
            <v>28</v>
          </cell>
        </row>
        <row r="316">
          <cell r="A316">
            <v>29</v>
          </cell>
        </row>
        <row r="317">
          <cell r="A317">
            <v>30</v>
          </cell>
        </row>
        <row r="318">
          <cell r="A318">
            <v>31</v>
          </cell>
        </row>
        <row r="319">
          <cell r="A319" t="str">
            <v xml:space="preserve">Nov/01 </v>
          </cell>
        </row>
        <row r="320">
          <cell r="A320">
            <v>2</v>
          </cell>
        </row>
        <row r="321">
          <cell r="A321">
            <v>3</v>
          </cell>
        </row>
        <row r="322">
          <cell r="A322">
            <v>4</v>
          </cell>
        </row>
        <row r="323">
          <cell r="A323">
            <v>5</v>
          </cell>
        </row>
        <row r="324">
          <cell r="A324">
            <v>6</v>
          </cell>
        </row>
        <row r="325">
          <cell r="A325">
            <v>7</v>
          </cell>
        </row>
        <row r="326">
          <cell r="A326">
            <v>8</v>
          </cell>
        </row>
        <row r="327">
          <cell r="A327">
            <v>9</v>
          </cell>
        </row>
        <row r="328">
          <cell r="A328">
            <v>10</v>
          </cell>
        </row>
        <row r="329">
          <cell r="A329">
            <v>11</v>
          </cell>
        </row>
        <row r="330">
          <cell r="A330">
            <v>12</v>
          </cell>
        </row>
        <row r="331">
          <cell r="A331">
            <v>13</v>
          </cell>
        </row>
        <row r="332">
          <cell r="A332">
            <v>14</v>
          </cell>
        </row>
        <row r="333">
          <cell r="A333">
            <v>15</v>
          </cell>
        </row>
        <row r="334">
          <cell r="A334">
            <v>16</v>
          </cell>
        </row>
        <row r="335">
          <cell r="A335">
            <v>17</v>
          </cell>
        </row>
        <row r="336">
          <cell r="A336">
            <v>18</v>
          </cell>
        </row>
        <row r="337">
          <cell r="A337">
            <v>19</v>
          </cell>
        </row>
        <row r="338">
          <cell r="A338">
            <v>20</v>
          </cell>
        </row>
        <row r="339">
          <cell r="A339">
            <v>21</v>
          </cell>
        </row>
        <row r="340">
          <cell r="A340">
            <v>22</v>
          </cell>
        </row>
        <row r="341">
          <cell r="A341">
            <v>23</v>
          </cell>
        </row>
        <row r="342">
          <cell r="A342">
            <v>24</v>
          </cell>
        </row>
        <row r="343">
          <cell r="A343">
            <v>25</v>
          </cell>
        </row>
        <row r="344">
          <cell r="A344">
            <v>26</v>
          </cell>
        </row>
        <row r="345">
          <cell r="A345">
            <v>27</v>
          </cell>
        </row>
        <row r="346">
          <cell r="A346">
            <v>28</v>
          </cell>
        </row>
        <row r="347">
          <cell r="A347">
            <v>29</v>
          </cell>
        </row>
        <row r="348">
          <cell r="A348">
            <v>30</v>
          </cell>
        </row>
        <row r="349">
          <cell r="A349">
            <v>31</v>
          </cell>
        </row>
        <row r="350">
          <cell r="A350" t="str">
            <v xml:space="preserve">Des/01 </v>
          </cell>
        </row>
        <row r="351">
          <cell r="A351">
            <v>2</v>
          </cell>
        </row>
        <row r="352">
          <cell r="A352">
            <v>3</v>
          </cell>
        </row>
        <row r="353">
          <cell r="A353">
            <v>4</v>
          </cell>
        </row>
        <row r="354">
          <cell r="A354">
            <v>5</v>
          </cell>
        </row>
        <row r="355">
          <cell r="A355">
            <v>6</v>
          </cell>
        </row>
        <row r="356">
          <cell r="A356">
            <v>7</v>
          </cell>
        </row>
        <row r="357">
          <cell r="A357">
            <v>8</v>
          </cell>
        </row>
        <row r="358">
          <cell r="A358">
            <v>9</v>
          </cell>
        </row>
        <row r="359">
          <cell r="A359">
            <v>10</v>
          </cell>
        </row>
        <row r="360">
          <cell r="A360">
            <v>11</v>
          </cell>
        </row>
        <row r="361">
          <cell r="A361">
            <v>12</v>
          </cell>
        </row>
        <row r="362">
          <cell r="A362">
            <v>13</v>
          </cell>
        </row>
        <row r="363">
          <cell r="A363">
            <v>14</v>
          </cell>
        </row>
        <row r="364">
          <cell r="A364">
            <v>15</v>
          </cell>
        </row>
        <row r="365">
          <cell r="A365">
            <v>16</v>
          </cell>
        </row>
        <row r="366">
          <cell r="A366">
            <v>17</v>
          </cell>
        </row>
        <row r="367">
          <cell r="A367">
            <v>18</v>
          </cell>
        </row>
        <row r="368">
          <cell r="A368">
            <v>19</v>
          </cell>
        </row>
        <row r="369">
          <cell r="A369">
            <v>20</v>
          </cell>
        </row>
        <row r="370">
          <cell r="A370">
            <v>21</v>
          </cell>
        </row>
        <row r="371">
          <cell r="A371">
            <v>22</v>
          </cell>
        </row>
        <row r="372">
          <cell r="A372">
            <v>23</v>
          </cell>
        </row>
        <row r="373">
          <cell r="A373">
            <v>24</v>
          </cell>
        </row>
        <row r="374">
          <cell r="A374">
            <v>25</v>
          </cell>
        </row>
        <row r="375">
          <cell r="A375">
            <v>26</v>
          </cell>
        </row>
        <row r="376">
          <cell r="A376">
            <v>27</v>
          </cell>
        </row>
        <row r="377">
          <cell r="A377">
            <v>28</v>
          </cell>
        </row>
        <row r="378">
          <cell r="A378">
            <v>29</v>
          </cell>
        </row>
        <row r="379">
          <cell r="A379">
            <v>30</v>
          </cell>
        </row>
        <row r="380">
          <cell r="A380">
            <v>31</v>
          </cell>
        </row>
      </sheetData>
      <sheetData sheetId="47" refreshError="1"/>
      <sheetData sheetId="48"/>
      <sheetData sheetId="49" refreshError="1"/>
      <sheetData sheetId="5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O"/>
      <sheetName val="PK"/>
      <sheetName val="Data SRL"/>
      <sheetName val="Data Prod_Graf"/>
      <sheetName val="PABRIK (2)"/>
      <sheetName val="FISIK RAB 2000"/>
      <sheetName val="Asumsi"/>
      <sheetName val="DATA LTW"/>
    </sheetNames>
    <sheetDataSet>
      <sheetData sheetId="0"/>
      <sheetData sheetId="1" refreshError="1">
        <row r="29">
          <cell r="B29">
            <v>37.61</v>
          </cell>
          <cell r="C29">
            <v>40.799999999999997</v>
          </cell>
          <cell r="D29">
            <v>47.17</v>
          </cell>
          <cell r="E29">
            <v>42.33</v>
          </cell>
          <cell r="F29">
            <v>34.99</v>
          </cell>
          <cell r="G29">
            <v>33.380000000000003</v>
          </cell>
          <cell r="H29">
            <v>35.14</v>
          </cell>
          <cell r="I29">
            <v>29.51</v>
          </cell>
          <cell r="J29">
            <v>23.82</v>
          </cell>
          <cell r="K29">
            <v>24.39</v>
          </cell>
          <cell r="L29">
            <v>38.700000000000003</v>
          </cell>
          <cell r="M29">
            <v>97.1</v>
          </cell>
        </row>
        <row r="63">
          <cell r="B63">
            <v>9.7100000000000009</v>
          </cell>
          <cell r="C63">
            <v>14.16</v>
          </cell>
          <cell r="D63">
            <v>13.4</v>
          </cell>
          <cell r="E63">
            <v>11.08</v>
          </cell>
          <cell r="F63">
            <v>13.29</v>
          </cell>
          <cell r="G63">
            <v>10.9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RAFIK"/>
      <sheetName val="Karung"/>
      <sheetName val="Grd LTW"/>
      <sheetName val="Grd LTT"/>
      <sheetName val="Grd MMG"/>
      <sheetName val="Losses"/>
      <sheetName val="Ton per jam"/>
      <sheetName val="GRAD"/>
      <sheetName val="% OT"/>
      <sheetName val="Grafik loading"/>
      <sheetName val="Ton Jam  kanban"/>
      <sheetName val="Monitor problem"/>
      <sheetName val="Loading"/>
      <sheetName val="TON  per Jam"/>
      <sheetName val="PK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8"/>
      <sheetName val="pmk"/>
      <sheetName val="sale'sept'05"/>
      <sheetName val="ratio"/>
      <sheetName val="Ak.Tetap Dlm Ribuan"/>
      <sheetName val="cover"/>
      <sheetName val="contents"/>
      <sheetName val="Beban Usaha"/>
      <sheetName val="HPP"/>
      <sheetName val="Rinc.Penjualan'05"/>
      <sheetName val="Rinc.Penjualan'06"/>
      <sheetName val="Hutang Usaha"/>
      <sheetName val="Persediaan"/>
      <sheetName val="Piutang Usaha"/>
      <sheetName val="note-4"/>
      <sheetName val="note-3"/>
      <sheetName val="note-2"/>
      <sheetName val="note-1"/>
      <sheetName val="arus-kas"/>
      <sheetName val="ekuitas"/>
      <sheetName val="laba-rugi"/>
      <sheetName val="NERA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L106"/>
  <sheetViews>
    <sheetView view="pageBreakPreview" zoomScaleNormal="85" zoomScaleSheetLayoutView="100" workbookViewId="0">
      <selection activeCell="B62" sqref="B62"/>
    </sheetView>
  </sheetViews>
  <sheetFormatPr defaultRowHeight="13.2"/>
  <cols>
    <col min="1" max="1" width="32.6640625" style="726" customWidth="1"/>
    <col min="2" max="2" width="20.33203125" style="726" customWidth="1"/>
    <col min="3" max="3" width="19.5546875" style="726" customWidth="1"/>
    <col min="4" max="4" width="19.88671875" style="726" customWidth="1"/>
    <col min="5" max="5" width="19.33203125" style="726" customWidth="1"/>
    <col min="6" max="6" width="20.6640625" style="726" customWidth="1"/>
    <col min="7" max="7" width="14.33203125" style="726" customWidth="1"/>
    <col min="8" max="8" width="17.44140625" style="726" customWidth="1"/>
    <col min="9" max="9" width="19" style="726" customWidth="1"/>
    <col min="10" max="11" width="18" style="726" customWidth="1"/>
    <col min="12" max="12" width="19.109375" style="726" customWidth="1"/>
    <col min="13" max="13" width="12" style="726" bestFit="1" customWidth="1"/>
    <col min="14" max="16384" width="8.88671875" style="726"/>
  </cols>
  <sheetData>
    <row r="1" spans="1:12">
      <c r="A1" s="724"/>
      <c r="B1" s="725"/>
      <c r="C1" s="725"/>
      <c r="D1" s="725"/>
      <c r="E1" s="725"/>
      <c r="F1" s="725"/>
      <c r="G1" s="725"/>
    </row>
    <row r="2" spans="1:12">
      <c r="A2" s="725"/>
      <c r="B2" s="725"/>
      <c r="C2" s="725"/>
      <c r="D2" s="725"/>
      <c r="E2" s="725"/>
      <c r="F2" s="725"/>
      <c r="G2" s="725"/>
    </row>
    <row r="3" spans="1:12">
      <c r="A3" s="725"/>
      <c r="B3" s="725"/>
      <c r="C3" s="725"/>
      <c r="D3" s="725"/>
      <c r="E3" s="725"/>
      <c r="F3" s="725"/>
    </row>
    <row r="4" spans="1:12">
      <c r="A4" s="725"/>
      <c r="B4" s="725"/>
      <c r="C4" s="725"/>
      <c r="D4" s="725"/>
      <c r="E4" s="725"/>
      <c r="F4" s="725"/>
      <c r="G4" s="725"/>
    </row>
    <row r="5" spans="1:12" ht="13.8" thickBot="1"/>
    <row r="6" spans="1:12" ht="13.8" thickTop="1">
      <c r="A6" s="888" t="s">
        <v>1834</v>
      </c>
      <c r="B6" s="889"/>
      <c r="C6" s="889"/>
      <c r="D6" s="889"/>
      <c r="E6" s="892"/>
      <c r="F6" s="887"/>
      <c r="G6" s="887"/>
      <c r="H6" s="727" t="s">
        <v>1835</v>
      </c>
      <c r="I6" s="727"/>
    </row>
    <row r="7" spans="1:12" ht="13.8" thickBot="1">
      <c r="A7" s="888"/>
      <c r="B7" s="890"/>
      <c r="C7" s="890"/>
      <c r="D7" s="890"/>
      <c r="E7" s="893"/>
      <c r="F7" s="887"/>
      <c r="G7" s="887"/>
      <c r="I7" s="728"/>
    </row>
    <row r="8" spans="1:12">
      <c r="A8" s="888"/>
      <c r="B8" s="890"/>
      <c r="C8" s="890"/>
      <c r="D8" s="890"/>
      <c r="E8" s="893"/>
      <c r="F8" s="887"/>
      <c r="G8" s="887"/>
      <c r="H8" s="897"/>
      <c r="I8" s="900"/>
      <c r="J8" s="729"/>
      <c r="K8" s="897"/>
      <c r="L8" s="897"/>
    </row>
    <row r="9" spans="1:12">
      <c r="A9" s="888"/>
      <c r="B9" s="890"/>
      <c r="C9" s="890"/>
      <c r="D9" s="890"/>
      <c r="E9" s="893"/>
      <c r="F9" s="887"/>
      <c r="G9" s="887"/>
      <c r="H9" s="898"/>
      <c r="I9" s="901"/>
      <c r="J9" s="730"/>
      <c r="K9" s="898"/>
      <c r="L9" s="898"/>
    </row>
    <row r="10" spans="1:12">
      <c r="A10" s="888"/>
      <c r="B10" s="890"/>
      <c r="C10" s="890"/>
      <c r="D10" s="890"/>
      <c r="E10" s="893"/>
      <c r="F10" s="887"/>
      <c r="G10" s="887"/>
      <c r="H10" s="898"/>
      <c r="I10" s="901"/>
      <c r="J10" s="730"/>
      <c r="K10" s="898"/>
      <c r="L10" s="898"/>
    </row>
    <row r="11" spans="1:12" ht="13.8" thickBot="1">
      <c r="A11" s="888"/>
      <c r="B11" s="891"/>
      <c r="C11" s="891"/>
      <c r="D11" s="891"/>
      <c r="E11" s="894"/>
      <c r="F11" s="887"/>
      <c r="G11" s="887"/>
      <c r="H11" s="898"/>
      <c r="I11" s="901"/>
      <c r="J11" s="730"/>
      <c r="K11" s="898"/>
      <c r="L11" s="898"/>
    </row>
    <row r="12" spans="1:12" ht="31.8" customHeight="1" thickTop="1" thickBot="1">
      <c r="H12" s="899"/>
      <c r="I12" s="902"/>
      <c r="J12" s="731"/>
      <c r="K12" s="899"/>
      <c r="L12" s="899"/>
    </row>
    <row r="13" spans="1:12">
      <c r="A13" s="895" t="s">
        <v>1836</v>
      </c>
      <c r="B13" s="895" t="s">
        <v>1837</v>
      </c>
      <c r="C13" s="895" t="s">
        <v>1838</v>
      </c>
      <c r="D13" s="895" t="s">
        <v>1839</v>
      </c>
      <c r="E13" s="895" t="s">
        <v>1840</v>
      </c>
      <c r="F13" s="903" t="s">
        <v>1841</v>
      </c>
      <c r="G13" s="732"/>
      <c r="H13" s="896" t="s">
        <v>1838</v>
      </c>
      <c r="I13" s="896" t="s">
        <v>1839</v>
      </c>
      <c r="J13" s="896" t="s">
        <v>1840</v>
      </c>
      <c r="K13" s="896" t="s">
        <v>1838</v>
      </c>
      <c r="L13" s="896" t="s">
        <v>1838</v>
      </c>
    </row>
    <row r="14" spans="1:12">
      <c r="A14" s="895"/>
      <c r="B14" s="895"/>
      <c r="C14" s="895"/>
      <c r="D14" s="895"/>
      <c r="E14" s="895"/>
      <c r="F14" s="903"/>
      <c r="G14" s="733"/>
      <c r="H14" s="895"/>
      <c r="I14" s="895"/>
      <c r="J14" s="895"/>
      <c r="K14" s="895"/>
      <c r="L14" s="895"/>
    </row>
    <row r="15" spans="1:12">
      <c r="A15" s="734" t="s">
        <v>1842</v>
      </c>
      <c r="B15" s="735"/>
      <c r="C15" s="735"/>
      <c r="D15" s="735"/>
      <c r="E15" s="735"/>
      <c r="F15" s="736"/>
      <c r="H15" s="737"/>
      <c r="I15" s="737"/>
      <c r="J15" s="737"/>
      <c r="K15" s="737"/>
      <c r="L15" s="737"/>
    </row>
    <row r="16" spans="1:12">
      <c r="A16" s="738" t="s">
        <v>1843</v>
      </c>
      <c r="B16" s="739"/>
      <c r="C16" s="740" t="s">
        <v>1844</v>
      </c>
      <c r="D16" s="741" t="s">
        <v>1845</v>
      </c>
      <c r="E16" s="742" t="s">
        <v>1845</v>
      </c>
      <c r="F16" s="737"/>
      <c r="H16" s="743" t="s">
        <v>1844</v>
      </c>
      <c r="I16" s="737" t="s">
        <v>1844</v>
      </c>
      <c r="J16" s="737" t="s">
        <v>1844</v>
      </c>
      <c r="K16" s="744" t="s">
        <v>1845</v>
      </c>
      <c r="L16" s="737" t="s">
        <v>1844</v>
      </c>
    </row>
    <row r="17" spans="1:12">
      <c r="A17" s="734"/>
      <c r="B17" s="739"/>
      <c r="C17" s="745"/>
      <c r="D17" s="746"/>
      <c r="E17" s="739"/>
      <c r="F17" s="739"/>
      <c r="H17" s="739"/>
      <c r="I17" s="739"/>
      <c r="J17" s="739"/>
      <c r="K17" s="739"/>
      <c r="L17" s="739"/>
    </row>
    <row r="18" spans="1:12">
      <c r="A18" s="738" t="s">
        <v>1846</v>
      </c>
      <c r="B18" s="737" t="s">
        <v>1847</v>
      </c>
      <c r="C18" s="747" t="s">
        <v>1848</v>
      </c>
      <c r="D18" s="748" t="s">
        <v>1849</v>
      </c>
      <c r="E18" s="749" t="s">
        <v>1850</v>
      </c>
      <c r="F18" s="737"/>
      <c r="G18" s="750"/>
      <c r="H18" s="737" t="s">
        <v>1851</v>
      </c>
      <c r="I18" s="737" t="s">
        <v>1847</v>
      </c>
      <c r="J18" s="737" t="s">
        <v>1851</v>
      </c>
      <c r="K18" s="737" t="s">
        <v>1851</v>
      </c>
      <c r="L18" s="737" t="s">
        <v>1851</v>
      </c>
    </row>
    <row r="19" spans="1:12">
      <c r="A19" s="734"/>
      <c r="B19" s="739"/>
      <c r="C19" s="745"/>
      <c r="D19" s="746"/>
      <c r="E19" s="739"/>
      <c r="F19" s="739"/>
      <c r="H19" s="739"/>
      <c r="I19" s="739"/>
      <c r="J19" s="739"/>
      <c r="K19" s="739"/>
      <c r="L19" s="739"/>
    </row>
    <row r="20" spans="1:12" ht="14.4">
      <c r="A20" s="735" t="s">
        <v>1852</v>
      </c>
      <c r="B20" s="751">
        <v>0</v>
      </c>
      <c r="C20" s="752">
        <v>1428</v>
      </c>
      <c r="D20" s="753">
        <v>5938</v>
      </c>
      <c r="E20" s="754">
        <v>12245</v>
      </c>
      <c r="F20" s="751"/>
      <c r="G20" s="755">
        <f>+C20-B20</f>
        <v>1428</v>
      </c>
      <c r="H20" s="751">
        <v>120</v>
      </c>
      <c r="I20" s="756">
        <v>200</v>
      </c>
      <c r="J20" s="751">
        <v>86</v>
      </c>
      <c r="K20" s="756">
        <v>96</v>
      </c>
      <c r="L20" s="751">
        <v>395</v>
      </c>
    </row>
    <row r="21" spans="1:12" ht="14.4">
      <c r="A21" s="735"/>
      <c r="B21" s="751"/>
      <c r="C21" s="753"/>
      <c r="D21" s="753"/>
      <c r="E21" s="757"/>
      <c r="F21" s="751"/>
      <c r="G21" s="733">
        <f>+G20*D82</f>
        <v>508368000</v>
      </c>
      <c r="H21" s="751"/>
      <c r="I21" s="751"/>
      <c r="J21" s="751"/>
      <c r="K21" s="751"/>
      <c r="L21" s="751"/>
    </row>
    <row r="22" spans="1:12">
      <c r="A22" s="735" t="s">
        <v>1853</v>
      </c>
      <c r="B22" s="739" t="s">
        <v>1854</v>
      </c>
      <c r="C22" s="745" t="s">
        <v>1854</v>
      </c>
      <c r="D22" s="746" t="s">
        <v>1854</v>
      </c>
      <c r="E22" s="739" t="s">
        <v>1854</v>
      </c>
      <c r="F22" s="739"/>
      <c r="G22" s="750"/>
      <c r="H22" s="739" t="s">
        <v>1854</v>
      </c>
      <c r="I22" s="739" t="s">
        <v>1854</v>
      </c>
      <c r="J22" s="739" t="s">
        <v>1854</v>
      </c>
      <c r="K22" s="739" t="s">
        <v>1854</v>
      </c>
      <c r="L22" s="739" t="s">
        <v>1854</v>
      </c>
    </row>
    <row r="23" spans="1:12">
      <c r="A23" s="735"/>
      <c r="B23" s="739"/>
      <c r="C23" s="745"/>
      <c r="D23" s="746"/>
      <c r="E23" s="739"/>
      <c r="F23" s="739"/>
      <c r="G23" s="758"/>
      <c r="H23" s="739"/>
      <c r="I23" s="739"/>
      <c r="J23" s="739"/>
      <c r="K23" s="739"/>
      <c r="L23" s="739"/>
    </row>
    <row r="24" spans="1:12">
      <c r="A24" s="735" t="s">
        <v>1855</v>
      </c>
      <c r="B24" s="737" t="s">
        <v>1856</v>
      </c>
      <c r="C24" s="747" t="s">
        <v>1856</v>
      </c>
      <c r="D24" s="748" t="s">
        <v>1856</v>
      </c>
      <c r="E24" s="737" t="s">
        <v>1850</v>
      </c>
      <c r="F24" s="737"/>
      <c r="G24" s="750"/>
      <c r="H24" s="737" t="s">
        <v>1856</v>
      </c>
      <c r="I24" s="737" t="s">
        <v>1856</v>
      </c>
      <c r="J24" s="737" t="s">
        <v>1856</v>
      </c>
      <c r="K24" s="737" t="s">
        <v>1856</v>
      </c>
      <c r="L24" s="737" t="s">
        <v>1856</v>
      </c>
    </row>
    <row r="25" spans="1:12">
      <c r="A25" s="735"/>
      <c r="B25" s="739"/>
      <c r="C25" s="745"/>
      <c r="D25" s="746"/>
      <c r="E25" s="739"/>
      <c r="F25" s="739"/>
      <c r="H25" s="739"/>
      <c r="I25" s="739"/>
      <c r="J25" s="739"/>
      <c r="K25" s="739"/>
      <c r="L25" s="739"/>
    </row>
    <row r="26" spans="1:12">
      <c r="A26" s="735" t="s">
        <v>531</v>
      </c>
      <c r="B26" s="737" t="s">
        <v>1857</v>
      </c>
      <c r="C26" s="747" t="s">
        <v>649</v>
      </c>
      <c r="D26" s="748" t="s">
        <v>649</v>
      </c>
      <c r="E26" s="749" t="s">
        <v>1026</v>
      </c>
      <c r="F26" s="737"/>
      <c r="G26" s="750"/>
      <c r="H26" s="737" t="s">
        <v>1026</v>
      </c>
      <c r="I26" s="737" t="s">
        <v>1026</v>
      </c>
      <c r="J26" s="737" t="s">
        <v>1026</v>
      </c>
      <c r="K26" s="737" t="s">
        <v>1026</v>
      </c>
      <c r="L26" s="737" t="s">
        <v>1026</v>
      </c>
    </row>
    <row r="27" spans="1:12">
      <c r="A27" s="735"/>
      <c r="B27" s="739"/>
      <c r="C27" s="745"/>
      <c r="D27" s="746"/>
      <c r="E27" s="739"/>
      <c r="F27" s="739"/>
      <c r="G27" s="759"/>
      <c r="H27" s="739"/>
      <c r="I27" s="739"/>
      <c r="J27" s="739"/>
      <c r="K27" s="739"/>
      <c r="L27" s="739"/>
    </row>
    <row r="28" spans="1:12" ht="14.4">
      <c r="A28" s="735" t="s">
        <v>1858</v>
      </c>
      <c r="B28" s="760">
        <v>0</v>
      </c>
      <c r="C28" s="753">
        <v>0</v>
      </c>
      <c r="D28" s="753">
        <v>0</v>
      </c>
      <c r="E28" s="757">
        <v>0</v>
      </c>
      <c r="F28" s="751"/>
      <c r="G28" s="755">
        <f>+C28-B28</f>
        <v>0</v>
      </c>
      <c r="H28" s="751">
        <v>110</v>
      </c>
      <c r="I28" s="751">
        <v>0</v>
      </c>
      <c r="J28" s="751">
        <v>96</v>
      </c>
      <c r="K28" s="751">
        <v>80</v>
      </c>
      <c r="L28" s="751">
        <v>60</v>
      </c>
    </row>
    <row r="29" spans="1:12" ht="14.4">
      <c r="A29" s="735"/>
      <c r="B29" s="739"/>
      <c r="C29" s="753"/>
      <c r="D29" s="746"/>
      <c r="E29" s="757"/>
      <c r="F29" s="751"/>
      <c r="G29" s="733">
        <f>+G28*C36*0.95</f>
        <v>0</v>
      </c>
      <c r="H29" s="751"/>
      <c r="I29" s="751"/>
      <c r="J29" s="751"/>
      <c r="K29" s="751"/>
      <c r="L29" s="751"/>
    </row>
    <row r="30" spans="1:12" ht="13.8">
      <c r="A30" s="735" t="s">
        <v>1859</v>
      </c>
      <c r="B30" s="739"/>
      <c r="C30" s="745"/>
      <c r="D30" s="746"/>
      <c r="E30" s="739"/>
      <c r="F30" s="739"/>
      <c r="G30" s="761"/>
      <c r="H30" s="739"/>
      <c r="I30" s="739"/>
      <c r="J30" s="739"/>
      <c r="K30" s="739"/>
      <c r="L30" s="739"/>
    </row>
    <row r="31" spans="1:12">
      <c r="A31" s="735"/>
      <c r="B31" s="739"/>
      <c r="C31" s="745"/>
      <c r="D31" s="746"/>
      <c r="E31" s="739"/>
      <c r="F31" s="739"/>
      <c r="G31" s="762"/>
      <c r="H31" s="739"/>
      <c r="I31" s="739"/>
      <c r="J31" s="739"/>
      <c r="K31" s="739"/>
      <c r="L31" s="739"/>
    </row>
    <row r="32" spans="1:12" ht="14.4">
      <c r="A32" s="735" t="s">
        <v>1845</v>
      </c>
      <c r="B32" s="739"/>
      <c r="C32" s="753">
        <f>C20/14*5500000</f>
        <v>561000000</v>
      </c>
      <c r="D32" s="753">
        <f>500000*D20</f>
        <v>2969000000</v>
      </c>
      <c r="E32" s="757">
        <f>400000*E20</f>
        <v>4898000000</v>
      </c>
      <c r="F32" s="751"/>
      <c r="G32" s="763"/>
      <c r="H32" s="751">
        <v>900000000</v>
      </c>
      <c r="I32" s="751">
        <f>4400000*I20</f>
        <v>880000000</v>
      </c>
      <c r="J32" s="751">
        <v>530000000</v>
      </c>
      <c r="K32" s="751">
        <v>900000000</v>
      </c>
      <c r="L32" s="751">
        <v>1700000000</v>
      </c>
    </row>
    <row r="33" spans="1:12" ht="14.4">
      <c r="A33" s="735"/>
      <c r="B33" s="739"/>
      <c r="C33" s="753"/>
      <c r="D33" s="753"/>
      <c r="E33" s="757"/>
      <c r="F33" s="751"/>
      <c r="G33" s="750"/>
      <c r="H33" s="751"/>
      <c r="I33" s="751"/>
      <c r="J33" s="751"/>
      <c r="K33" s="751"/>
      <c r="L33" s="751"/>
    </row>
    <row r="34" spans="1:12" s="770" customFormat="1">
      <c r="A34" s="764" t="s">
        <v>1860</v>
      </c>
      <c r="B34" s="765"/>
      <c r="C34" s="766">
        <v>0.05</v>
      </c>
      <c r="D34" s="767">
        <v>0.2</v>
      </c>
      <c r="E34" s="768">
        <v>0.1</v>
      </c>
      <c r="F34" s="768"/>
      <c r="G34" s="769"/>
      <c r="H34" s="768">
        <v>0.05</v>
      </c>
      <c r="I34" s="768">
        <v>0.2</v>
      </c>
      <c r="J34" s="768">
        <v>0.05</v>
      </c>
      <c r="K34" s="768">
        <v>0.15</v>
      </c>
      <c r="L34" s="768">
        <v>0.1</v>
      </c>
    </row>
    <row r="35" spans="1:12">
      <c r="A35" s="735" t="s">
        <v>1861</v>
      </c>
      <c r="B35" s="771"/>
      <c r="C35" s="772">
        <f>(100%-C34)*C32</f>
        <v>532950000</v>
      </c>
      <c r="D35" s="773">
        <f>(100%-D34)*D32</f>
        <v>2375200000</v>
      </c>
      <c r="E35" s="771">
        <f t="shared" ref="E35" si="0">(100%-E34)*E32</f>
        <v>4408200000</v>
      </c>
      <c r="F35" s="771"/>
      <c r="G35" s="755">
        <f>+C35-G21-G29</f>
        <v>24582000</v>
      </c>
      <c r="H35" s="771">
        <f>(100%-H34)*H32</f>
        <v>855000000</v>
      </c>
      <c r="I35" s="771">
        <f>(100%-I34)*I32</f>
        <v>704000000</v>
      </c>
      <c r="J35" s="771">
        <f>(100%-J34)*J32</f>
        <v>503500000</v>
      </c>
      <c r="K35" s="771">
        <f>(100%-K34)*K32</f>
        <v>765000000</v>
      </c>
      <c r="L35" s="771">
        <f>(100%-L34)*L32</f>
        <v>1530000000</v>
      </c>
    </row>
    <row r="36" spans="1:12" s="770" customFormat="1">
      <c r="A36" s="764" t="s">
        <v>1862</v>
      </c>
      <c r="B36" s="765"/>
      <c r="C36" s="774">
        <v>0</v>
      </c>
      <c r="D36" s="775">
        <v>0</v>
      </c>
      <c r="E36" s="776">
        <v>0</v>
      </c>
      <c r="F36" s="776"/>
      <c r="G36" s="777">
        <f>+B28*400000*0.85</f>
        <v>0</v>
      </c>
      <c r="H36" s="776">
        <v>4000000</v>
      </c>
      <c r="I36" s="776">
        <v>0</v>
      </c>
      <c r="J36" s="776">
        <v>3500000</v>
      </c>
      <c r="K36" s="776">
        <v>2500000</v>
      </c>
      <c r="L36" s="776">
        <v>2500000</v>
      </c>
    </row>
    <row r="37" spans="1:12" ht="14.4">
      <c r="A37" s="735" t="s">
        <v>1863</v>
      </c>
      <c r="B37" s="739"/>
      <c r="C37" s="753">
        <f>C36*C28</f>
        <v>0</v>
      </c>
      <c r="D37" s="778">
        <f>D36*D28</f>
        <v>0</v>
      </c>
      <c r="E37" s="757">
        <f t="shared" ref="E37" si="1">E36*E28</f>
        <v>0</v>
      </c>
      <c r="F37" s="751"/>
      <c r="G37" s="755">
        <f>+G35-G36</f>
        <v>24582000</v>
      </c>
      <c r="H37" s="751">
        <f>H36*H28</f>
        <v>440000000</v>
      </c>
      <c r="I37" s="751">
        <f>I36*I28</f>
        <v>0</v>
      </c>
      <c r="J37" s="751">
        <f>J36*J28</f>
        <v>336000000</v>
      </c>
      <c r="K37" s="751">
        <f>K36*K28</f>
        <v>200000000</v>
      </c>
      <c r="L37" s="751">
        <f>L36*L28</f>
        <v>150000000</v>
      </c>
    </row>
    <row r="38" spans="1:12" s="770" customFormat="1" ht="14.4">
      <c r="A38" s="764" t="s">
        <v>1864</v>
      </c>
      <c r="B38" s="765"/>
      <c r="C38" s="779">
        <v>0</v>
      </c>
      <c r="D38" s="779">
        <v>0</v>
      </c>
      <c r="E38" s="780">
        <v>0</v>
      </c>
      <c r="F38" s="781"/>
      <c r="G38" s="782"/>
      <c r="H38" s="781">
        <v>0.05</v>
      </c>
      <c r="I38" s="781">
        <v>0</v>
      </c>
      <c r="J38" s="781">
        <v>0.1</v>
      </c>
      <c r="K38" s="781">
        <v>0.1</v>
      </c>
      <c r="L38" s="781">
        <v>0</v>
      </c>
    </row>
    <row r="39" spans="1:12" ht="14.4">
      <c r="A39" s="735" t="s">
        <v>1865</v>
      </c>
      <c r="B39" s="739"/>
      <c r="C39" s="753">
        <f>(100%-C38)*C37</f>
        <v>0</v>
      </c>
      <c r="D39" s="778">
        <f>(100%-D38)*D37</f>
        <v>0</v>
      </c>
      <c r="E39" s="757">
        <f t="shared" ref="E39" si="2">(100%-E38)*E37</f>
        <v>0</v>
      </c>
      <c r="F39" s="751"/>
      <c r="G39" s="755"/>
      <c r="H39" s="751">
        <f>(100%-H38)*H37</f>
        <v>418000000</v>
      </c>
      <c r="I39" s="751">
        <f>(100%-I38)*I37</f>
        <v>0</v>
      </c>
      <c r="J39" s="751">
        <f>(100%-J38)*J37</f>
        <v>302400000</v>
      </c>
      <c r="K39" s="751">
        <f>(100%-K38)*K37</f>
        <v>180000000</v>
      </c>
      <c r="L39" s="751">
        <f>(100%-L38)*L37</f>
        <v>150000000</v>
      </c>
    </row>
    <row r="40" spans="1:12">
      <c r="A40" s="735" t="s">
        <v>1859</v>
      </c>
      <c r="B40" s="739"/>
      <c r="C40" s="772">
        <v>0</v>
      </c>
      <c r="D40" s="773">
        <v>0</v>
      </c>
      <c r="E40" s="771">
        <v>0</v>
      </c>
      <c r="F40" s="771"/>
      <c r="G40" s="750"/>
      <c r="H40" s="771">
        <v>0</v>
      </c>
      <c r="I40" s="771">
        <v>0</v>
      </c>
      <c r="J40" s="771">
        <v>0</v>
      </c>
      <c r="K40" s="771">
        <v>0</v>
      </c>
      <c r="L40" s="771">
        <v>0</v>
      </c>
    </row>
    <row r="41" spans="1:12" s="770" customFormat="1" ht="13.5" customHeight="1">
      <c r="A41" s="764" t="s">
        <v>1866</v>
      </c>
      <c r="B41" s="765"/>
      <c r="C41" s="783">
        <f>ROUND((C35-C39-C40)/C20,-3)</f>
        <v>373000</v>
      </c>
      <c r="D41" s="783">
        <f>ROUND((D35-D39-D40)/D20,-3)</f>
        <v>400000</v>
      </c>
      <c r="E41" s="784">
        <f t="shared" ref="E41" si="3">ROUND((E35-E39-E40)/E20,-3)</f>
        <v>360000</v>
      </c>
      <c r="F41" s="785"/>
      <c r="G41" s="786"/>
      <c r="H41" s="785">
        <f>ROUND((H35-H39-H40)/H20,-3)</f>
        <v>3642000</v>
      </c>
      <c r="I41" s="785">
        <f>ROUND((I35-I39-I40)/I20,-3)</f>
        <v>3520000</v>
      </c>
      <c r="J41" s="785">
        <f>ROUND((J35-J39-J40)/J20,-3)</f>
        <v>2338000</v>
      </c>
      <c r="K41" s="785">
        <f>ROUND((K35-K39-K40)/K20,-3)</f>
        <v>6094000</v>
      </c>
      <c r="L41" s="785">
        <f>ROUND((L35-L39-L40)/L20,-3)</f>
        <v>3494000</v>
      </c>
    </row>
    <row r="42" spans="1:12" ht="14.4">
      <c r="A42" s="735"/>
      <c r="B42" s="739"/>
      <c r="C42" s="753">
        <f t="shared" ref="C42" si="4">C41*14</f>
        <v>5222000</v>
      </c>
      <c r="D42" s="753">
        <f>D41*14</f>
        <v>5600000</v>
      </c>
      <c r="E42" s="753">
        <f>E41*14</f>
        <v>5040000</v>
      </c>
      <c r="F42" s="751"/>
      <c r="G42" s="750"/>
      <c r="H42" s="751"/>
      <c r="I42" s="751"/>
      <c r="J42" s="751"/>
      <c r="K42" s="751"/>
      <c r="L42" s="751"/>
    </row>
    <row r="43" spans="1:12" ht="18" customHeight="1">
      <c r="A43" s="787" t="s">
        <v>1867</v>
      </c>
      <c r="B43" s="739"/>
      <c r="C43" s="788" t="s">
        <v>1868</v>
      </c>
      <c r="D43" s="789" t="s">
        <v>1869</v>
      </c>
      <c r="E43" s="790" t="s">
        <v>1870</v>
      </c>
      <c r="F43" s="791"/>
      <c r="G43" s="792"/>
      <c r="H43" s="793" t="s">
        <v>1871</v>
      </c>
      <c r="I43" s="794" t="s">
        <v>1872</v>
      </c>
      <c r="J43" s="794" t="s">
        <v>1873</v>
      </c>
      <c r="K43" s="793" t="s">
        <v>1874</v>
      </c>
      <c r="L43" s="793" t="s">
        <v>1875</v>
      </c>
    </row>
    <row r="44" spans="1:12" s="802" customFormat="1" ht="24" customHeight="1">
      <c r="A44" s="795" t="s">
        <v>504</v>
      </c>
      <c r="B44" s="796"/>
      <c r="C44" s="797" t="s">
        <v>1876</v>
      </c>
      <c r="D44" s="797" t="s">
        <v>1876</v>
      </c>
      <c r="E44" s="798" t="s">
        <v>1877</v>
      </c>
      <c r="F44" s="793"/>
      <c r="G44" s="799"/>
      <c r="H44" s="800" t="s">
        <v>1878</v>
      </c>
      <c r="I44" s="800" t="s">
        <v>1879</v>
      </c>
      <c r="J44" s="800" t="s">
        <v>1880</v>
      </c>
      <c r="K44" s="801" t="s">
        <v>1881</v>
      </c>
      <c r="L44" s="801" t="s">
        <v>1882</v>
      </c>
    </row>
    <row r="45" spans="1:12" ht="13.8">
      <c r="A45" s="787" t="s">
        <v>1883</v>
      </c>
      <c r="B45" s="739"/>
      <c r="C45" s="789" t="s">
        <v>1884</v>
      </c>
      <c r="D45" s="789" t="s">
        <v>1885</v>
      </c>
      <c r="E45" s="803" t="s">
        <v>1886</v>
      </c>
      <c r="F45" s="804"/>
      <c r="G45" s="805"/>
      <c r="H45" s="791" t="s">
        <v>1887</v>
      </c>
      <c r="I45" s="794" t="s">
        <v>1888</v>
      </c>
      <c r="J45" s="794" t="s">
        <v>1889</v>
      </c>
      <c r="K45" s="791" t="s">
        <v>1890</v>
      </c>
      <c r="L45" s="791" t="s">
        <v>1891</v>
      </c>
    </row>
    <row r="46" spans="1:12" ht="13.8">
      <c r="A46" s="787" t="s">
        <v>1892</v>
      </c>
      <c r="B46" s="739"/>
      <c r="C46" s="806" t="s">
        <v>1893</v>
      </c>
      <c r="D46" s="806" t="s">
        <v>1893</v>
      </c>
      <c r="E46" s="807" t="s">
        <v>1894</v>
      </c>
      <c r="F46" s="804"/>
      <c r="G46" s="808"/>
      <c r="H46" s="804" t="s">
        <v>1895</v>
      </c>
      <c r="I46" s="791" t="s">
        <v>1896</v>
      </c>
      <c r="J46" s="791" t="s">
        <v>1897</v>
      </c>
      <c r="K46" s="791" t="s">
        <v>1898</v>
      </c>
      <c r="L46" s="804" t="s">
        <v>1893</v>
      </c>
    </row>
    <row r="47" spans="1:12" ht="14.4">
      <c r="A47" s="787" t="s">
        <v>1899</v>
      </c>
      <c r="B47" s="791" t="s">
        <v>1900</v>
      </c>
      <c r="C47" s="789" t="s">
        <v>1901</v>
      </c>
      <c r="D47" s="789" t="s">
        <v>1901</v>
      </c>
      <c r="E47" s="809">
        <v>0</v>
      </c>
      <c r="F47" s="791"/>
      <c r="G47" s="805"/>
      <c r="H47" s="791" t="s">
        <v>1902</v>
      </c>
      <c r="I47" s="791" t="s">
        <v>1903</v>
      </c>
      <c r="J47" s="791" t="s">
        <v>1902</v>
      </c>
      <c r="K47" s="791" t="s">
        <v>1904</v>
      </c>
      <c r="L47" s="791" t="s">
        <v>1905</v>
      </c>
    </row>
    <row r="48" spans="1:12">
      <c r="A48" s="787" t="s">
        <v>1836</v>
      </c>
      <c r="B48" s="791"/>
      <c r="C48" s="810"/>
      <c r="D48" s="811"/>
      <c r="E48" s="812" t="s">
        <v>1906</v>
      </c>
      <c r="F48" s="791"/>
      <c r="G48" s="808"/>
      <c r="H48" s="808"/>
      <c r="J48" s="791"/>
    </row>
    <row r="49" spans="1:8" s="808" customFormat="1" ht="16.5" customHeight="1">
      <c r="C49" s="813"/>
      <c r="D49" s="813"/>
      <c r="E49" s="813"/>
      <c r="F49" s="813"/>
      <c r="G49" s="814"/>
      <c r="H49" s="726"/>
    </row>
    <row r="50" spans="1:8">
      <c r="A50" s="815" t="s">
        <v>1907</v>
      </c>
      <c r="B50" s="808"/>
      <c r="C50" s="816" t="e">
        <f>C20/B20</f>
        <v>#DIV/0!</v>
      </c>
      <c r="D50" s="816" t="e">
        <f>D20/B20</f>
        <v>#DIV/0!</v>
      </c>
      <c r="E50" s="816" t="e">
        <f>E20/B20</f>
        <v>#DIV/0!</v>
      </c>
      <c r="F50" s="816"/>
      <c r="G50" s="808"/>
      <c r="H50" s="770"/>
    </row>
    <row r="51" spans="1:8" s="770" customFormat="1">
      <c r="A51" s="817" t="s">
        <v>1908</v>
      </c>
      <c r="B51" s="817">
        <v>1</v>
      </c>
      <c r="C51" s="817">
        <v>1</v>
      </c>
      <c r="D51" s="817">
        <v>1</v>
      </c>
      <c r="E51" s="817">
        <v>1</v>
      </c>
      <c r="F51" s="817"/>
      <c r="G51" s="818"/>
      <c r="H51" s="819"/>
    </row>
    <row r="52" spans="1:8" s="819" customFormat="1">
      <c r="A52" s="817" t="s">
        <v>1909</v>
      </c>
      <c r="B52" s="820"/>
      <c r="C52" s="820">
        <v>0</v>
      </c>
      <c r="D52" s="820">
        <v>0</v>
      </c>
      <c r="E52" s="820">
        <v>0</v>
      </c>
      <c r="F52" s="820"/>
      <c r="G52" s="821"/>
      <c r="H52" s="770"/>
    </row>
    <row r="53" spans="1:8" s="823" customFormat="1">
      <c r="A53" s="817" t="s">
        <v>1910</v>
      </c>
      <c r="B53" s="817">
        <v>1</v>
      </c>
      <c r="C53" s="817">
        <v>1</v>
      </c>
      <c r="D53" s="817">
        <v>1</v>
      </c>
      <c r="E53" s="817">
        <v>1</v>
      </c>
      <c r="F53" s="817"/>
      <c r="G53" s="822"/>
    </row>
    <row r="54" spans="1:8" s="819" customFormat="1">
      <c r="A54" s="817" t="s">
        <v>1909</v>
      </c>
      <c r="B54" s="820"/>
      <c r="C54" s="824">
        <v>9.9999999999999995E-7</v>
      </c>
      <c r="D54" s="824">
        <v>9.9999999999999995E-7</v>
      </c>
      <c r="E54" s="824">
        <v>9.9999999999999995E-7</v>
      </c>
      <c r="F54" s="820"/>
      <c r="G54" s="825"/>
      <c r="H54" s="770"/>
    </row>
    <row r="55" spans="1:8" s="770" customFormat="1">
      <c r="A55" s="817" t="s">
        <v>1911</v>
      </c>
      <c r="B55" s="817">
        <v>1</v>
      </c>
      <c r="C55" s="817">
        <v>1</v>
      </c>
      <c r="D55" s="817">
        <v>1</v>
      </c>
      <c r="E55" s="817">
        <v>1</v>
      </c>
      <c r="F55" s="817"/>
      <c r="G55" s="826"/>
      <c r="H55" s="827"/>
    </row>
    <row r="56" spans="1:8" s="819" customFormat="1">
      <c r="A56" s="817" t="s">
        <v>1909</v>
      </c>
      <c r="B56" s="820"/>
      <c r="C56" s="820">
        <v>0</v>
      </c>
      <c r="D56" s="820">
        <v>0</v>
      </c>
      <c r="E56" s="820">
        <v>0</v>
      </c>
      <c r="F56" s="820"/>
      <c r="G56" s="828"/>
      <c r="H56" s="770"/>
    </row>
    <row r="57" spans="1:8" s="770" customFormat="1">
      <c r="A57" s="829" t="s">
        <v>1912</v>
      </c>
      <c r="B57" s="817">
        <v>1</v>
      </c>
      <c r="C57" s="817">
        <v>1</v>
      </c>
      <c r="D57" s="817">
        <v>1</v>
      </c>
      <c r="E57" s="817">
        <v>1</v>
      </c>
      <c r="F57" s="817"/>
      <c r="G57" s="830"/>
      <c r="H57" s="819"/>
    </row>
    <row r="58" spans="1:8" s="819" customFormat="1">
      <c r="A58" s="817" t="s">
        <v>1909</v>
      </c>
      <c r="B58" s="820"/>
      <c r="C58" s="820">
        <v>0</v>
      </c>
      <c r="D58" s="820">
        <v>0</v>
      </c>
      <c r="E58" s="820">
        <v>0</v>
      </c>
      <c r="F58" s="820"/>
      <c r="G58" s="821"/>
      <c r="H58" s="770"/>
    </row>
    <row r="59" spans="1:8" s="770" customFormat="1">
      <c r="A59" s="829" t="s">
        <v>1913</v>
      </c>
      <c r="B59" s="817">
        <v>2</v>
      </c>
      <c r="C59" s="817">
        <v>1</v>
      </c>
      <c r="D59" s="817">
        <v>1</v>
      </c>
      <c r="E59" s="817">
        <v>2</v>
      </c>
      <c r="F59" s="817"/>
      <c r="G59" s="818"/>
      <c r="H59" s="819"/>
    </row>
    <row r="60" spans="1:8" s="819" customFormat="1">
      <c r="A60" s="817" t="s">
        <v>1909</v>
      </c>
      <c r="B60" s="820"/>
      <c r="C60" s="820">
        <v>-0.05</v>
      </c>
      <c r="D60" s="820">
        <v>-0.05</v>
      </c>
      <c r="E60" s="820">
        <v>0</v>
      </c>
      <c r="F60" s="820"/>
      <c r="H60" s="770"/>
    </row>
    <row r="61" spans="1:8" s="831" customFormat="1">
      <c r="A61" s="787" t="s">
        <v>1914</v>
      </c>
      <c r="B61" s="787">
        <v>2</v>
      </c>
      <c r="C61" s="787">
        <v>2</v>
      </c>
      <c r="D61" s="787">
        <v>2</v>
      </c>
      <c r="E61" s="787">
        <v>1</v>
      </c>
      <c r="F61" s="787"/>
    </row>
    <row r="62" spans="1:8" s="819" customFormat="1">
      <c r="A62" s="817" t="s">
        <v>1909</v>
      </c>
      <c r="B62" s="820"/>
      <c r="C62" s="820">
        <v>0</v>
      </c>
      <c r="D62" s="820">
        <v>0</v>
      </c>
      <c r="E62" s="820">
        <v>-0.1</v>
      </c>
      <c r="F62" s="820"/>
      <c r="H62" s="770"/>
    </row>
    <row r="63" spans="1:8" s="770" customFormat="1">
      <c r="A63" s="829" t="s">
        <v>1915</v>
      </c>
      <c r="B63" s="817">
        <v>1</v>
      </c>
      <c r="C63" s="817">
        <v>1</v>
      </c>
      <c r="D63" s="817">
        <v>1</v>
      </c>
      <c r="E63" s="817">
        <v>1</v>
      </c>
      <c r="F63" s="817"/>
      <c r="H63" s="819"/>
    </row>
    <row r="64" spans="1:8" s="819" customFormat="1">
      <c r="A64" s="817" t="s">
        <v>1909</v>
      </c>
      <c r="B64" s="820"/>
      <c r="C64" s="820">
        <v>0</v>
      </c>
      <c r="D64" s="820">
        <v>0</v>
      </c>
      <c r="E64" s="820">
        <v>0</v>
      </c>
      <c r="F64" s="820"/>
      <c r="H64" s="770"/>
    </row>
    <row r="65" spans="1:8" s="770" customFormat="1">
      <c r="A65" s="817" t="s">
        <v>1916</v>
      </c>
      <c r="B65" s="817"/>
      <c r="C65" s="820">
        <f>C52+C54+C56+C58+C64+C60+C62</f>
        <v>-4.9999000000000002E-2</v>
      </c>
      <c r="D65" s="820">
        <f>D52+D54+D56+D58+D64+D60+D62</f>
        <v>-4.9999000000000002E-2</v>
      </c>
      <c r="E65" s="820">
        <f>E52+E54+E56+E58+E64+E60+E62</f>
        <v>-9.9999000000000005E-2</v>
      </c>
      <c r="F65" s="820"/>
      <c r="H65" s="819"/>
    </row>
    <row r="66" spans="1:8" s="819" customFormat="1">
      <c r="A66" s="817" t="s">
        <v>1917</v>
      </c>
      <c r="B66" s="817"/>
      <c r="C66" s="832">
        <f>+ABS(C52)+ABS(C54)+ABS(C56)+ABS(C58)+ABS(C60)+ABS(C62)+ABS(C64)</f>
        <v>5.0001000000000004E-2</v>
      </c>
      <c r="D66" s="832">
        <f>+ABS(D52)+ABS(D54)+ABS(D56)+ABS(D58)+ABS(D60)+ABS(D62)+ABS(D64)</f>
        <v>5.0001000000000004E-2</v>
      </c>
      <c r="E66" s="832">
        <f>+ABS(E52)+ABS(E54)+ABS(E56)+ABS(E58)+ABS(E60)+ABS(E62)+ABS(E64)</f>
        <v>0.10000100000000001</v>
      </c>
      <c r="F66" s="832"/>
      <c r="H66" s="726"/>
    </row>
    <row r="67" spans="1:8">
      <c r="A67" s="726" t="s">
        <v>1918</v>
      </c>
      <c r="B67" s="726">
        <f>SUM(C69:E69)</f>
        <v>2</v>
      </c>
      <c r="C67" s="726">
        <f>C69/$B$67</f>
        <v>0.37499937500937486</v>
      </c>
      <c r="D67" s="726">
        <f>D69/$B$67</f>
        <v>0.37499937500937486</v>
      </c>
      <c r="E67" s="726">
        <f>E69/$B$67</f>
        <v>0.25000124998125028</v>
      </c>
      <c r="F67" s="726">
        <f>F69/$B$67</f>
        <v>0</v>
      </c>
    </row>
    <row r="68" spans="1:8">
      <c r="A68" s="726" t="s">
        <v>1907</v>
      </c>
      <c r="B68" s="833">
        <f>SUM(C66:E66)</f>
        <v>0.20000300000000001</v>
      </c>
      <c r="C68" s="834">
        <f>C66/$B$68</f>
        <v>0.25000124998125028</v>
      </c>
      <c r="D68" s="726">
        <f>D66/$B$68</f>
        <v>0.25000124998125028</v>
      </c>
      <c r="E68" s="726">
        <f>E66/$B$68</f>
        <v>0.49999750003749943</v>
      </c>
      <c r="F68" s="726">
        <f>F66/$B$68</f>
        <v>0</v>
      </c>
    </row>
    <row r="69" spans="1:8">
      <c r="A69" s="726" t="s">
        <v>1919</v>
      </c>
      <c r="C69" s="726">
        <f>IF(C68&lt;&gt;0,1-C68,0)</f>
        <v>0.74999875001874972</v>
      </c>
      <c r="D69" s="726">
        <f>IF(D68&lt;&gt;0,1-D68,0)</f>
        <v>0.74999875001874972</v>
      </c>
      <c r="E69" s="726">
        <f>IF(E68&lt;&gt;0,1-E68,0)</f>
        <v>0.50000249996250057</v>
      </c>
      <c r="F69" s="726">
        <f>IF(F68&lt;&gt;0,1-F68,0)</f>
        <v>0</v>
      </c>
    </row>
    <row r="70" spans="1:8" ht="17.25" customHeight="1"/>
    <row r="71" spans="1:8">
      <c r="A71" s="727" t="s">
        <v>1920</v>
      </c>
      <c r="C71" s="835">
        <f>(1+C65)*C41</f>
        <v>354350.37300000002</v>
      </c>
      <c r="D71" s="835">
        <f>(1+D65)*D41</f>
        <v>380000.39999999997</v>
      </c>
      <c r="E71" s="835">
        <f>(1+E65)*E41</f>
        <v>324000.36000000004</v>
      </c>
      <c r="F71" s="835">
        <f>(1+F65)*F41</f>
        <v>0</v>
      </c>
      <c r="G71" s="835"/>
    </row>
    <row r="72" spans="1:8" ht="12" customHeight="1">
      <c r="C72" s="835">
        <f>14*C71</f>
        <v>4960905.2220000001</v>
      </c>
      <c r="D72" s="835">
        <f t="shared" ref="D72:E72" si="5">14*D71</f>
        <v>5320005.5999999996</v>
      </c>
      <c r="E72" s="835">
        <f t="shared" si="5"/>
        <v>4536005.040000001</v>
      </c>
    </row>
    <row r="73" spans="1:8" ht="12.75" hidden="1" customHeight="1">
      <c r="A73" s="726" t="s">
        <v>1921</v>
      </c>
      <c r="C73" s="726">
        <f>$C$80/C71</f>
        <v>0.77714347689610375</v>
      </c>
      <c r="D73" s="726">
        <f>$C$80/D71</f>
        <v>0.72468629220561687</v>
      </c>
    </row>
    <row r="74" spans="1:8">
      <c r="A74" s="726" t="s">
        <v>1922</v>
      </c>
      <c r="C74" s="726">
        <f>$C$82/C71</f>
        <v>1.005732187862058</v>
      </c>
      <c r="D74" s="726">
        <f>$C$82/D71</f>
        <v>0.93784526518136924</v>
      </c>
      <c r="E74" s="726">
        <f>$C$82/E71</f>
        <v>1.0999419133578319</v>
      </c>
      <c r="F74" s="726" t="e">
        <f>$C$82/F71</f>
        <v>#DIV/0!</v>
      </c>
    </row>
    <row r="75" spans="1:8" ht="12.75" hidden="1" customHeight="1">
      <c r="A75" s="726" t="s">
        <v>1923</v>
      </c>
      <c r="C75" s="726">
        <f>$C$84/C71</f>
        <v>1.005732187862058</v>
      </c>
      <c r="D75" s="726">
        <f>$C$84/D71</f>
        <v>0.93784526518136924</v>
      </c>
      <c r="E75" s="726">
        <f>$C$84/E71</f>
        <v>1.0999419133578319</v>
      </c>
      <c r="F75" s="726" t="e">
        <f>$C$84/F71</f>
        <v>#DIV/0!</v>
      </c>
    </row>
    <row r="76" spans="1:8" ht="12.75" hidden="1" customHeight="1">
      <c r="A76" s="726" t="s">
        <v>1924</v>
      </c>
      <c r="C76" s="726">
        <f>$C$86/C71</f>
        <v>1.005732187862058</v>
      </c>
      <c r="D76" s="726">
        <f>$C$86/D71</f>
        <v>0.93784526518136924</v>
      </c>
      <c r="E76" s="726">
        <f>$C$86/E71</f>
        <v>1.0999419133578319</v>
      </c>
      <c r="F76" s="726" t="e">
        <f>$C$86/F71</f>
        <v>#DIV/0!</v>
      </c>
    </row>
    <row r="77" spans="1:8" ht="12.75" customHeight="1"/>
    <row r="78" spans="1:8">
      <c r="A78" s="836" t="s">
        <v>1925</v>
      </c>
      <c r="C78" s="837">
        <f>1-C74</f>
        <v>-5.7321878620579803E-3</v>
      </c>
      <c r="D78" s="837">
        <f>1-D74</f>
        <v>6.2154734818630764E-2</v>
      </c>
      <c r="E78" s="837">
        <f>1-E74</f>
        <v>-9.9941913357831869E-2</v>
      </c>
      <c r="F78" s="837" t="e">
        <f>1-F74</f>
        <v>#DIV/0!</v>
      </c>
    </row>
    <row r="79" spans="1:8" hidden="1"/>
    <row r="80" spans="1:8" ht="12.75" hidden="1" customHeight="1">
      <c r="A80" s="727" t="s">
        <v>1926</v>
      </c>
      <c r="C80" s="835">
        <f>C71*C67+D71*D67</f>
        <v>275381.08091265126</v>
      </c>
      <c r="D80" s="838">
        <f>ROUND((C80),-3)</f>
        <v>275000</v>
      </c>
    </row>
    <row r="81" spans="1:9" hidden="1">
      <c r="A81" s="727"/>
      <c r="C81" s="835"/>
    </row>
    <row r="82" spans="1:9" ht="14.4">
      <c r="A82" s="727" t="s">
        <v>1927</v>
      </c>
      <c r="C82" s="838">
        <f>C71*C67+D71*D67+E71*E67</f>
        <v>356381.57590702636</v>
      </c>
      <c r="D82" s="839">
        <f>ROUND((C82),-3)</f>
        <v>356000</v>
      </c>
      <c r="E82" s="840"/>
      <c r="F82" s="840"/>
      <c r="I82" s="836"/>
    </row>
    <row r="83" spans="1:9" ht="14.4" hidden="1">
      <c r="A83" s="727"/>
      <c r="C83" s="838"/>
      <c r="E83" s="841"/>
    </row>
    <row r="84" spans="1:9" ht="12.75" hidden="1" customHeight="1">
      <c r="A84" s="727" t="s">
        <v>1928</v>
      </c>
      <c r="C84" s="838">
        <f>C71*C67+D71*D67+E71*E67+F71*F67</f>
        <v>356381.57590702636</v>
      </c>
      <c r="D84" s="839">
        <f>ROUND((C84),-3)</f>
        <v>356000</v>
      </c>
    </row>
    <row r="85" spans="1:9" ht="12.75" hidden="1" customHeight="1">
      <c r="A85" s="727"/>
      <c r="C85" s="838"/>
    </row>
    <row r="86" spans="1:9" ht="12.75" hidden="1" customHeight="1">
      <c r="A86" s="727" t="s">
        <v>1929</v>
      </c>
      <c r="C86" s="838">
        <f>C71*C67+D71*D67+E71*E67+F71*F67+G36*G32</f>
        <v>356381.57590702636</v>
      </c>
      <c r="D86" s="839">
        <f>ROUND((C86),-3)</f>
        <v>356000</v>
      </c>
    </row>
    <row r="87" spans="1:9" ht="12.75" customHeight="1">
      <c r="A87" s="727"/>
      <c r="C87" s="838"/>
      <c r="D87" s="839"/>
    </row>
    <row r="88" spans="1:9" ht="12.75" customHeight="1" thickBot="1">
      <c r="A88" s="727" t="s">
        <v>1930</v>
      </c>
      <c r="B88" s="842"/>
      <c r="C88" s="843"/>
      <c r="D88" s="844">
        <f>D82*14</f>
        <v>4984000</v>
      </c>
      <c r="E88" s="845"/>
      <c r="F88" s="845"/>
    </row>
    <row r="89" spans="1:9" ht="15" hidden="1" thickTop="1">
      <c r="A89" s="846"/>
      <c r="B89" s="846"/>
      <c r="C89" s="846"/>
      <c r="D89" s="846"/>
      <c r="E89" s="847"/>
      <c r="F89" s="847"/>
      <c r="G89" s="726">
        <v>2015</v>
      </c>
      <c r="H89" s="848"/>
    </row>
    <row r="90" spans="1:9" ht="13.8" hidden="1" thickTop="1">
      <c r="A90" s="849"/>
      <c r="B90" s="849" t="s">
        <v>1931</v>
      </c>
      <c r="C90" s="850" t="s">
        <v>1932</v>
      </c>
      <c r="D90" s="851" t="s">
        <v>1933</v>
      </c>
      <c r="E90" s="852" t="s">
        <v>1934</v>
      </c>
      <c r="F90" s="853" t="s">
        <v>1935</v>
      </c>
      <c r="G90" s="726">
        <v>1980</v>
      </c>
      <c r="H90" s="854"/>
      <c r="I90" s="855"/>
    </row>
    <row r="91" spans="1:9" ht="13.8" hidden="1" thickTop="1">
      <c r="A91" s="856" t="s">
        <v>1936</v>
      </c>
      <c r="B91" s="857">
        <f>B20</f>
        <v>0</v>
      </c>
      <c r="C91" s="857">
        <f>+D82</f>
        <v>356000</v>
      </c>
      <c r="D91" s="858">
        <f>C91*B91</f>
        <v>0</v>
      </c>
      <c r="E91" s="858">
        <f>D91</f>
        <v>0</v>
      </c>
      <c r="F91" s="859">
        <f>+E91*0.7</f>
        <v>0</v>
      </c>
      <c r="G91" s="726">
        <f>+G89-G90</f>
        <v>35</v>
      </c>
      <c r="H91" s="854"/>
      <c r="I91" s="855"/>
    </row>
    <row r="92" spans="1:9" ht="13.8" hidden="1" thickTop="1">
      <c r="A92" s="856" t="s">
        <v>1937</v>
      </c>
      <c r="B92" s="860">
        <f>B28</f>
        <v>0</v>
      </c>
      <c r="C92" s="857">
        <f>+'[20]Kertas Kerja BTB'!E36</f>
        <v>3000000</v>
      </c>
      <c r="D92" s="858">
        <f>C92*B92</f>
        <v>0</v>
      </c>
      <c r="E92" s="858">
        <f>+D92*0.85</f>
        <v>0</v>
      </c>
      <c r="F92" s="859">
        <f>+E92*0.7</f>
        <v>0</v>
      </c>
      <c r="G92" s="726">
        <f>+G91*2.5</f>
        <v>87.5</v>
      </c>
      <c r="H92" s="861"/>
    </row>
    <row r="93" spans="1:9" ht="15" hidden="1" thickTop="1">
      <c r="A93" s="862" t="s">
        <v>1938</v>
      </c>
      <c r="B93" s="857"/>
      <c r="C93" s="857"/>
      <c r="D93" s="863">
        <f>SUM(D91:D92)</f>
        <v>0</v>
      </c>
      <c r="E93" s="863">
        <f>SUM(E91:E92)</f>
        <v>0</v>
      </c>
      <c r="F93" s="864">
        <f>SUM(F91:F92)</f>
        <v>0</v>
      </c>
      <c r="G93" s="865">
        <f>100-G92</f>
        <v>12.5</v>
      </c>
    </row>
    <row r="94" spans="1:9" ht="14.4" hidden="1" thickTop="1" thickBot="1">
      <c r="A94" s="842"/>
      <c r="B94" s="842"/>
      <c r="C94" s="842"/>
      <c r="D94" s="842"/>
      <c r="E94" s="842"/>
      <c r="F94" s="842"/>
      <c r="G94" s="726">
        <v>62.5</v>
      </c>
    </row>
    <row r="95" spans="1:9" ht="13.8" hidden="1" thickTop="1">
      <c r="A95" s="846"/>
      <c r="B95" s="846"/>
      <c r="C95" s="846"/>
      <c r="D95" s="846"/>
      <c r="E95" s="846"/>
      <c r="F95" s="846"/>
      <c r="G95" s="726">
        <f>+G93+G94</f>
        <v>75</v>
      </c>
    </row>
    <row r="96" spans="1:9" ht="13.8" thickTop="1"/>
    <row r="98" spans="3:6" ht="14.4">
      <c r="D98" s="840"/>
    </row>
    <row r="99" spans="3:6" ht="14.4">
      <c r="D99" s="840"/>
    </row>
    <row r="103" spans="3:6">
      <c r="F103" s="835"/>
    </row>
    <row r="104" spans="3:6">
      <c r="D104" s="836" t="s">
        <v>1939</v>
      </c>
      <c r="F104" s="835"/>
    </row>
    <row r="105" spans="3:6">
      <c r="C105" s="726">
        <v>15000000</v>
      </c>
      <c r="D105" s="726">
        <f>+C105/C106*100</f>
        <v>5.3571428571428568</v>
      </c>
    </row>
    <row r="106" spans="3:6">
      <c r="C106" s="726">
        <v>280000000</v>
      </c>
    </row>
  </sheetData>
  <mergeCells count="22">
    <mergeCell ref="F13:F14"/>
    <mergeCell ref="H13:H14"/>
    <mergeCell ref="I13:I14"/>
    <mergeCell ref="J13:J14"/>
    <mergeCell ref="K13:K14"/>
    <mergeCell ref="L13:L14"/>
    <mergeCell ref="G6:G11"/>
    <mergeCell ref="H8:H12"/>
    <mergeCell ref="I8:I12"/>
    <mergeCell ref="K8:K12"/>
    <mergeCell ref="L8:L12"/>
    <mergeCell ref="A13:A14"/>
    <mergeCell ref="B13:B14"/>
    <mergeCell ref="C13:C14"/>
    <mergeCell ref="D13:D14"/>
    <mergeCell ref="E13:E14"/>
    <mergeCell ref="F6:F11"/>
    <mergeCell ref="A6:A11"/>
    <mergeCell ref="B6:B11"/>
    <mergeCell ref="C6:C11"/>
    <mergeCell ref="D6:D11"/>
    <mergeCell ref="E6:E11"/>
  </mergeCells>
  <dataValidations count="1">
    <dataValidation type="list" allowBlank="1" showInputMessage="1" showErrorMessage="1" sqref="D22">
      <formula1>$N$21:$N$29</formula1>
    </dataValidation>
  </dataValidations>
  <printOptions horizontalCentered="1"/>
  <pageMargins left="0.39370078740157483" right="0.19685039370078741" top="0.39370078740157483" bottom="0.27559055118110237" header="0" footer="0"/>
  <pageSetup paperSize="9" scale="7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AW314"/>
  <sheetViews>
    <sheetView view="pageBreakPreview" topLeftCell="O1" zoomScale="50" zoomScaleNormal="40" zoomScaleSheetLayoutView="50" workbookViewId="0">
      <selection activeCell="AK315" sqref="AK315"/>
    </sheetView>
  </sheetViews>
  <sheetFormatPr defaultRowHeight="14.4"/>
  <cols>
    <col min="1" max="1" width="7.33203125" style="4" customWidth="1"/>
    <col min="2" max="2" width="4.33203125" style="4" customWidth="1"/>
    <col min="3" max="3" width="26.33203125" style="4" customWidth="1"/>
    <col min="4" max="4" width="3.88671875" style="4" hidden="1" customWidth="1"/>
    <col min="5" max="5" width="26.33203125" style="4" hidden="1" customWidth="1"/>
    <col min="6" max="6" width="9.109375" style="4"/>
    <col min="7" max="7" width="3.44140625" style="4" hidden="1" customWidth="1"/>
    <col min="8" max="8" width="17.5546875" style="4" hidden="1" customWidth="1"/>
    <col min="9" max="10" width="9.109375" style="4"/>
    <col min="11" max="11" width="12.5546875" style="4" customWidth="1"/>
    <col min="12" max="12" width="11.33203125" style="4" hidden="1" customWidth="1"/>
    <col min="13" max="13" width="0" style="4" hidden="1" customWidth="1"/>
    <col min="14" max="14" width="3.88671875" style="4" customWidth="1"/>
    <col min="15" max="15" width="23.6640625" style="4" bestFit="1" customWidth="1"/>
    <col min="16" max="16" width="9.44140625" style="121" customWidth="1"/>
    <col min="17" max="17" width="10.109375" style="121" customWidth="1"/>
    <col min="18" max="18" width="3.44140625" style="4" customWidth="1"/>
    <col min="19" max="19" width="12.5546875" style="4" customWidth="1"/>
    <col min="20" max="20" width="9.109375" style="594"/>
    <col min="21" max="21" width="7.33203125" style="582" customWidth="1"/>
    <col min="22" max="22" width="18.109375" style="582" customWidth="1"/>
    <col min="23" max="23" width="9" style="559" customWidth="1"/>
    <col min="24" max="24" width="10.6640625" style="675" customWidth="1"/>
    <col min="25" max="25" width="9" style="712" customWidth="1"/>
    <col min="26" max="26" width="0" style="373" hidden="1" customWidth="1"/>
    <col min="27" max="27" width="4.33203125" style="4" hidden="1" customWidth="1"/>
    <col min="28" max="28" width="15" style="4" hidden="1" customWidth="1"/>
    <col min="29" max="29" width="0" style="4" hidden="1" customWidth="1"/>
    <col min="30" max="30" width="17.33203125" style="4" hidden="1" customWidth="1"/>
    <col min="31" max="31" width="18.109375" style="4" hidden="1" customWidth="1"/>
    <col min="32" max="36" width="18.109375" style="4" customWidth="1"/>
    <col min="37" max="37" width="18.109375" style="716" customWidth="1"/>
    <col min="38" max="47" width="18.109375" style="4" customWidth="1"/>
    <col min="48" max="48" width="19.109375" style="4" hidden="1" customWidth="1"/>
    <col min="49" max="272" width="9.109375" style="4"/>
    <col min="273" max="273" width="7.33203125" style="4" customWidth="1"/>
    <col min="274" max="274" width="4.33203125" style="4" customWidth="1"/>
    <col min="275" max="275" width="26.33203125" style="4" customWidth="1"/>
    <col min="276" max="276" width="3.88671875" style="4" customWidth="1"/>
    <col min="277" max="277" width="26.33203125" style="4" customWidth="1"/>
    <col min="278" max="278" width="9.109375" style="4"/>
    <col min="279" max="279" width="3.44140625" style="4" customWidth="1"/>
    <col min="280" max="280" width="16.44140625" style="4" customWidth="1"/>
    <col min="281" max="282" width="9.109375" style="4"/>
    <col min="283" max="283" width="13.44140625" style="4" customWidth="1"/>
    <col min="284" max="284" width="9.6640625" style="4" bestFit="1" customWidth="1"/>
    <col min="285" max="285" width="9.109375" style="4"/>
    <col min="286" max="286" width="3.88671875" style="4" customWidth="1"/>
    <col min="287" max="289" width="9.109375" style="4"/>
    <col min="290" max="290" width="3.44140625" style="4" customWidth="1"/>
    <col min="291" max="291" width="12.5546875" style="4" customWidth="1"/>
    <col min="292" max="298" width="9.109375" style="4"/>
    <col min="299" max="299" width="4.33203125" style="4" customWidth="1"/>
    <col min="300" max="528" width="9.109375" style="4"/>
    <col min="529" max="529" width="7.33203125" style="4" customWidth="1"/>
    <col min="530" max="530" width="4.33203125" style="4" customWidth="1"/>
    <col min="531" max="531" width="26.33203125" style="4" customWidth="1"/>
    <col min="532" max="532" width="3.88671875" style="4" customWidth="1"/>
    <col min="533" max="533" width="26.33203125" style="4" customWidth="1"/>
    <col min="534" max="534" width="9.109375" style="4"/>
    <col min="535" max="535" width="3.44140625" style="4" customWidth="1"/>
    <col min="536" max="536" width="16.44140625" style="4" customWidth="1"/>
    <col min="537" max="538" width="9.109375" style="4"/>
    <col min="539" max="539" width="13.44140625" style="4" customWidth="1"/>
    <col min="540" max="540" width="9.6640625" style="4" bestFit="1" customWidth="1"/>
    <col min="541" max="541" width="9.109375" style="4"/>
    <col min="542" max="542" width="3.88671875" style="4" customWidth="1"/>
    <col min="543" max="545" width="9.109375" style="4"/>
    <col min="546" max="546" width="3.44140625" style="4" customWidth="1"/>
    <col min="547" max="547" width="12.5546875" style="4" customWidth="1"/>
    <col min="548" max="554" width="9.109375" style="4"/>
    <col min="555" max="555" width="4.33203125" style="4" customWidth="1"/>
    <col min="556" max="784" width="9.109375" style="4"/>
    <col min="785" max="785" width="7.33203125" style="4" customWidth="1"/>
    <col min="786" max="786" width="4.33203125" style="4" customWidth="1"/>
    <col min="787" max="787" width="26.33203125" style="4" customWidth="1"/>
    <col min="788" max="788" width="3.88671875" style="4" customWidth="1"/>
    <col min="789" max="789" width="26.33203125" style="4" customWidth="1"/>
    <col min="790" max="790" width="9.109375" style="4"/>
    <col min="791" max="791" width="3.44140625" style="4" customWidth="1"/>
    <col min="792" max="792" width="16.44140625" style="4" customWidth="1"/>
    <col min="793" max="794" width="9.109375" style="4"/>
    <col min="795" max="795" width="13.44140625" style="4" customWidth="1"/>
    <col min="796" max="796" width="9.6640625" style="4" bestFit="1" customWidth="1"/>
    <col min="797" max="797" width="9.109375" style="4"/>
    <col min="798" max="798" width="3.88671875" style="4" customWidth="1"/>
    <col min="799" max="801" width="9.109375" style="4"/>
    <col min="802" max="802" width="3.44140625" style="4" customWidth="1"/>
    <col min="803" max="803" width="12.5546875" style="4" customWidth="1"/>
    <col min="804" max="810" width="9.109375" style="4"/>
    <col min="811" max="811" width="4.33203125" style="4" customWidth="1"/>
    <col min="812" max="1040" width="9.109375" style="4"/>
    <col min="1041" max="1041" width="7.33203125" style="4" customWidth="1"/>
    <col min="1042" max="1042" width="4.33203125" style="4" customWidth="1"/>
    <col min="1043" max="1043" width="26.33203125" style="4" customWidth="1"/>
    <col min="1044" max="1044" width="3.88671875" style="4" customWidth="1"/>
    <col min="1045" max="1045" width="26.33203125" style="4" customWidth="1"/>
    <col min="1046" max="1046" width="9.109375" style="4"/>
    <col min="1047" max="1047" width="3.44140625" style="4" customWidth="1"/>
    <col min="1048" max="1048" width="16.44140625" style="4" customWidth="1"/>
    <col min="1049" max="1050" width="9.109375" style="4"/>
    <col min="1051" max="1051" width="13.44140625" style="4" customWidth="1"/>
    <col min="1052" max="1052" width="9.6640625" style="4" bestFit="1" customWidth="1"/>
    <col min="1053" max="1053" width="9.109375" style="4"/>
    <col min="1054" max="1054" width="3.88671875" style="4" customWidth="1"/>
    <col min="1055" max="1057" width="9.109375" style="4"/>
    <col min="1058" max="1058" width="3.44140625" style="4" customWidth="1"/>
    <col min="1059" max="1059" width="12.5546875" style="4" customWidth="1"/>
    <col min="1060" max="1066" width="9.109375" style="4"/>
    <col min="1067" max="1067" width="4.33203125" style="4" customWidth="1"/>
    <col min="1068" max="1296" width="9.109375" style="4"/>
    <col min="1297" max="1297" width="7.33203125" style="4" customWidth="1"/>
    <col min="1298" max="1298" width="4.33203125" style="4" customWidth="1"/>
    <col min="1299" max="1299" width="26.33203125" style="4" customWidth="1"/>
    <col min="1300" max="1300" width="3.88671875" style="4" customWidth="1"/>
    <col min="1301" max="1301" width="26.33203125" style="4" customWidth="1"/>
    <col min="1302" max="1302" width="9.109375" style="4"/>
    <col min="1303" max="1303" width="3.44140625" style="4" customWidth="1"/>
    <col min="1304" max="1304" width="16.44140625" style="4" customWidth="1"/>
    <col min="1305" max="1306" width="9.109375" style="4"/>
    <col min="1307" max="1307" width="13.44140625" style="4" customWidth="1"/>
    <col min="1308" max="1308" width="9.6640625" style="4" bestFit="1" customWidth="1"/>
    <col min="1309" max="1309" width="9.109375" style="4"/>
    <col min="1310" max="1310" width="3.88671875" style="4" customWidth="1"/>
    <col min="1311" max="1313" width="9.109375" style="4"/>
    <col min="1314" max="1314" width="3.44140625" style="4" customWidth="1"/>
    <col min="1315" max="1315" width="12.5546875" style="4" customWidth="1"/>
    <col min="1316" max="1322" width="9.109375" style="4"/>
    <col min="1323" max="1323" width="4.33203125" style="4" customWidth="1"/>
    <col min="1324" max="1552" width="9.109375" style="4"/>
    <col min="1553" max="1553" width="7.33203125" style="4" customWidth="1"/>
    <col min="1554" max="1554" width="4.33203125" style="4" customWidth="1"/>
    <col min="1555" max="1555" width="26.33203125" style="4" customWidth="1"/>
    <col min="1556" max="1556" width="3.88671875" style="4" customWidth="1"/>
    <col min="1557" max="1557" width="26.33203125" style="4" customWidth="1"/>
    <col min="1558" max="1558" width="9.109375" style="4"/>
    <col min="1559" max="1559" width="3.44140625" style="4" customWidth="1"/>
    <col min="1560" max="1560" width="16.44140625" style="4" customWidth="1"/>
    <col min="1561" max="1562" width="9.109375" style="4"/>
    <col min="1563" max="1563" width="13.44140625" style="4" customWidth="1"/>
    <col min="1564" max="1564" width="9.6640625" style="4" bestFit="1" customWidth="1"/>
    <col min="1565" max="1565" width="9.109375" style="4"/>
    <col min="1566" max="1566" width="3.88671875" style="4" customWidth="1"/>
    <col min="1567" max="1569" width="9.109375" style="4"/>
    <col min="1570" max="1570" width="3.44140625" style="4" customWidth="1"/>
    <col min="1571" max="1571" width="12.5546875" style="4" customWidth="1"/>
    <col min="1572" max="1578" width="9.109375" style="4"/>
    <col min="1579" max="1579" width="4.33203125" style="4" customWidth="1"/>
    <col min="1580" max="1808" width="9.109375" style="4"/>
    <col min="1809" max="1809" width="7.33203125" style="4" customWidth="1"/>
    <col min="1810" max="1810" width="4.33203125" style="4" customWidth="1"/>
    <col min="1811" max="1811" width="26.33203125" style="4" customWidth="1"/>
    <col min="1812" max="1812" width="3.88671875" style="4" customWidth="1"/>
    <col min="1813" max="1813" width="26.33203125" style="4" customWidth="1"/>
    <col min="1814" max="1814" width="9.109375" style="4"/>
    <col min="1815" max="1815" width="3.44140625" style="4" customWidth="1"/>
    <col min="1816" max="1816" width="16.44140625" style="4" customWidth="1"/>
    <col min="1817" max="1818" width="9.109375" style="4"/>
    <col min="1819" max="1819" width="13.44140625" style="4" customWidth="1"/>
    <col min="1820" max="1820" width="9.6640625" style="4" bestFit="1" customWidth="1"/>
    <col min="1821" max="1821" width="9.109375" style="4"/>
    <col min="1822" max="1822" width="3.88671875" style="4" customWidth="1"/>
    <col min="1823" max="1825" width="9.109375" style="4"/>
    <col min="1826" max="1826" width="3.44140625" style="4" customWidth="1"/>
    <col min="1827" max="1827" width="12.5546875" style="4" customWidth="1"/>
    <col min="1828" max="1834" width="9.109375" style="4"/>
    <col min="1835" max="1835" width="4.33203125" style="4" customWidth="1"/>
    <col min="1836" max="2064" width="9.109375" style="4"/>
    <col min="2065" max="2065" width="7.33203125" style="4" customWidth="1"/>
    <col min="2066" max="2066" width="4.33203125" style="4" customWidth="1"/>
    <col min="2067" max="2067" width="26.33203125" style="4" customWidth="1"/>
    <col min="2068" max="2068" width="3.88671875" style="4" customWidth="1"/>
    <col min="2069" max="2069" width="26.33203125" style="4" customWidth="1"/>
    <col min="2070" max="2070" width="9.109375" style="4"/>
    <col min="2071" max="2071" width="3.44140625" style="4" customWidth="1"/>
    <col min="2072" max="2072" width="16.44140625" style="4" customWidth="1"/>
    <col min="2073" max="2074" width="9.109375" style="4"/>
    <col min="2075" max="2075" width="13.44140625" style="4" customWidth="1"/>
    <col min="2076" max="2076" width="9.6640625" style="4" bestFit="1" customWidth="1"/>
    <col min="2077" max="2077" width="9.109375" style="4"/>
    <col min="2078" max="2078" width="3.88671875" style="4" customWidth="1"/>
    <col min="2079" max="2081" width="9.109375" style="4"/>
    <col min="2082" max="2082" width="3.44140625" style="4" customWidth="1"/>
    <col min="2083" max="2083" width="12.5546875" style="4" customWidth="1"/>
    <col min="2084" max="2090" width="9.109375" style="4"/>
    <col min="2091" max="2091" width="4.33203125" style="4" customWidth="1"/>
    <col min="2092" max="2320" width="9.109375" style="4"/>
    <col min="2321" max="2321" width="7.33203125" style="4" customWidth="1"/>
    <col min="2322" max="2322" width="4.33203125" style="4" customWidth="1"/>
    <col min="2323" max="2323" width="26.33203125" style="4" customWidth="1"/>
    <col min="2324" max="2324" width="3.88671875" style="4" customWidth="1"/>
    <col min="2325" max="2325" width="26.33203125" style="4" customWidth="1"/>
    <col min="2326" max="2326" width="9.109375" style="4"/>
    <col min="2327" max="2327" width="3.44140625" style="4" customWidth="1"/>
    <col min="2328" max="2328" width="16.44140625" style="4" customWidth="1"/>
    <col min="2329" max="2330" width="9.109375" style="4"/>
    <col min="2331" max="2331" width="13.44140625" style="4" customWidth="1"/>
    <col min="2332" max="2332" width="9.6640625" style="4" bestFit="1" customWidth="1"/>
    <col min="2333" max="2333" width="9.109375" style="4"/>
    <col min="2334" max="2334" width="3.88671875" style="4" customWidth="1"/>
    <col min="2335" max="2337" width="9.109375" style="4"/>
    <col min="2338" max="2338" width="3.44140625" style="4" customWidth="1"/>
    <col min="2339" max="2339" width="12.5546875" style="4" customWidth="1"/>
    <col min="2340" max="2346" width="9.109375" style="4"/>
    <col min="2347" max="2347" width="4.33203125" style="4" customWidth="1"/>
    <col min="2348" max="2576" width="9.109375" style="4"/>
    <col min="2577" max="2577" width="7.33203125" style="4" customWidth="1"/>
    <col min="2578" max="2578" width="4.33203125" style="4" customWidth="1"/>
    <col min="2579" max="2579" width="26.33203125" style="4" customWidth="1"/>
    <col min="2580" max="2580" width="3.88671875" style="4" customWidth="1"/>
    <col min="2581" max="2581" width="26.33203125" style="4" customWidth="1"/>
    <col min="2582" max="2582" width="9.109375" style="4"/>
    <col min="2583" max="2583" width="3.44140625" style="4" customWidth="1"/>
    <col min="2584" max="2584" width="16.44140625" style="4" customWidth="1"/>
    <col min="2585" max="2586" width="9.109375" style="4"/>
    <col min="2587" max="2587" width="13.44140625" style="4" customWidth="1"/>
    <col min="2588" max="2588" width="9.6640625" style="4" bestFit="1" customWidth="1"/>
    <col min="2589" max="2589" width="9.109375" style="4"/>
    <col min="2590" max="2590" width="3.88671875" style="4" customWidth="1"/>
    <col min="2591" max="2593" width="9.109375" style="4"/>
    <col min="2594" max="2594" width="3.44140625" style="4" customWidth="1"/>
    <col min="2595" max="2595" width="12.5546875" style="4" customWidth="1"/>
    <col min="2596" max="2602" width="9.109375" style="4"/>
    <col min="2603" max="2603" width="4.33203125" style="4" customWidth="1"/>
    <col min="2604" max="2832" width="9.109375" style="4"/>
    <col min="2833" max="2833" width="7.33203125" style="4" customWidth="1"/>
    <col min="2834" max="2834" width="4.33203125" style="4" customWidth="1"/>
    <col min="2835" max="2835" width="26.33203125" style="4" customWidth="1"/>
    <col min="2836" max="2836" width="3.88671875" style="4" customWidth="1"/>
    <col min="2837" max="2837" width="26.33203125" style="4" customWidth="1"/>
    <col min="2838" max="2838" width="9.109375" style="4"/>
    <col min="2839" max="2839" width="3.44140625" style="4" customWidth="1"/>
    <col min="2840" max="2840" width="16.44140625" style="4" customWidth="1"/>
    <col min="2841" max="2842" width="9.109375" style="4"/>
    <col min="2843" max="2843" width="13.44140625" style="4" customWidth="1"/>
    <col min="2844" max="2844" width="9.6640625" style="4" bestFit="1" customWidth="1"/>
    <col min="2845" max="2845" width="9.109375" style="4"/>
    <col min="2846" max="2846" width="3.88671875" style="4" customWidth="1"/>
    <col min="2847" max="2849" width="9.109375" style="4"/>
    <col min="2850" max="2850" width="3.44140625" style="4" customWidth="1"/>
    <col min="2851" max="2851" width="12.5546875" style="4" customWidth="1"/>
    <col min="2852" max="2858" width="9.109375" style="4"/>
    <col min="2859" max="2859" width="4.33203125" style="4" customWidth="1"/>
    <col min="2860" max="3088" width="9.109375" style="4"/>
    <col min="3089" max="3089" width="7.33203125" style="4" customWidth="1"/>
    <col min="3090" max="3090" width="4.33203125" style="4" customWidth="1"/>
    <col min="3091" max="3091" width="26.33203125" style="4" customWidth="1"/>
    <col min="3092" max="3092" width="3.88671875" style="4" customWidth="1"/>
    <col min="3093" max="3093" width="26.33203125" style="4" customWidth="1"/>
    <col min="3094" max="3094" width="9.109375" style="4"/>
    <col min="3095" max="3095" width="3.44140625" style="4" customWidth="1"/>
    <col min="3096" max="3096" width="16.44140625" style="4" customWidth="1"/>
    <col min="3097" max="3098" width="9.109375" style="4"/>
    <col min="3099" max="3099" width="13.44140625" style="4" customWidth="1"/>
    <col min="3100" max="3100" width="9.6640625" style="4" bestFit="1" customWidth="1"/>
    <col min="3101" max="3101" width="9.109375" style="4"/>
    <col min="3102" max="3102" width="3.88671875" style="4" customWidth="1"/>
    <col min="3103" max="3105" width="9.109375" style="4"/>
    <col min="3106" max="3106" width="3.44140625" style="4" customWidth="1"/>
    <col min="3107" max="3107" width="12.5546875" style="4" customWidth="1"/>
    <col min="3108" max="3114" width="9.109375" style="4"/>
    <col min="3115" max="3115" width="4.33203125" style="4" customWidth="1"/>
    <col min="3116" max="3344" width="9.109375" style="4"/>
    <col min="3345" max="3345" width="7.33203125" style="4" customWidth="1"/>
    <col min="3346" max="3346" width="4.33203125" style="4" customWidth="1"/>
    <col min="3347" max="3347" width="26.33203125" style="4" customWidth="1"/>
    <col min="3348" max="3348" width="3.88671875" style="4" customWidth="1"/>
    <col min="3349" max="3349" width="26.33203125" style="4" customWidth="1"/>
    <col min="3350" max="3350" width="9.109375" style="4"/>
    <col min="3351" max="3351" width="3.44140625" style="4" customWidth="1"/>
    <col min="3352" max="3352" width="16.44140625" style="4" customWidth="1"/>
    <col min="3353" max="3354" width="9.109375" style="4"/>
    <col min="3355" max="3355" width="13.44140625" style="4" customWidth="1"/>
    <col min="3356" max="3356" width="9.6640625" style="4" bestFit="1" customWidth="1"/>
    <col min="3357" max="3357" width="9.109375" style="4"/>
    <col min="3358" max="3358" width="3.88671875" style="4" customWidth="1"/>
    <col min="3359" max="3361" width="9.109375" style="4"/>
    <col min="3362" max="3362" width="3.44140625" style="4" customWidth="1"/>
    <col min="3363" max="3363" width="12.5546875" style="4" customWidth="1"/>
    <col min="3364" max="3370" width="9.109375" style="4"/>
    <col min="3371" max="3371" width="4.33203125" style="4" customWidth="1"/>
    <col min="3372" max="3600" width="9.109375" style="4"/>
    <col min="3601" max="3601" width="7.33203125" style="4" customWidth="1"/>
    <col min="3602" max="3602" width="4.33203125" style="4" customWidth="1"/>
    <col min="3603" max="3603" width="26.33203125" style="4" customWidth="1"/>
    <col min="3604" max="3604" width="3.88671875" style="4" customWidth="1"/>
    <col min="3605" max="3605" width="26.33203125" style="4" customWidth="1"/>
    <col min="3606" max="3606" width="9.109375" style="4"/>
    <col min="3607" max="3607" width="3.44140625" style="4" customWidth="1"/>
    <col min="3608" max="3608" width="16.44140625" style="4" customWidth="1"/>
    <col min="3609" max="3610" width="9.109375" style="4"/>
    <col min="3611" max="3611" width="13.44140625" style="4" customWidth="1"/>
    <col min="3612" max="3612" width="9.6640625" style="4" bestFit="1" customWidth="1"/>
    <col min="3613" max="3613" width="9.109375" style="4"/>
    <col min="3614" max="3614" width="3.88671875" style="4" customWidth="1"/>
    <col min="3615" max="3617" width="9.109375" style="4"/>
    <col min="3618" max="3618" width="3.44140625" style="4" customWidth="1"/>
    <col min="3619" max="3619" width="12.5546875" style="4" customWidth="1"/>
    <col min="3620" max="3626" width="9.109375" style="4"/>
    <col min="3627" max="3627" width="4.33203125" style="4" customWidth="1"/>
    <col min="3628" max="3856" width="9.109375" style="4"/>
    <col min="3857" max="3857" width="7.33203125" style="4" customWidth="1"/>
    <col min="3858" max="3858" width="4.33203125" style="4" customWidth="1"/>
    <col min="3859" max="3859" width="26.33203125" style="4" customWidth="1"/>
    <col min="3860" max="3860" width="3.88671875" style="4" customWidth="1"/>
    <col min="3861" max="3861" width="26.33203125" style="4" customWidth="1"/>
    <col min="3862" max="3862" width="9.109375" style="4"/>
    <col min="3863" max="3863" width="3.44140625" style="4" customWidth="1"/>
    <col min="3864" max="3864" width="16.44140625" style="4" customWidth="1"/>
    <col min="3865" max="3866" width="9.109375" style="4"/>
    <col min="3867" max="3867" width="13.44140625" style="4" customWidth="1"/>
    <col min="3868" max="3868" width="9.6640625" style="4" bestFit="1" customWidth="1"/>
    <col min="3869" max="3869" width="9.109375" style="4"/>
    <col min="3870" max="3870" width="3.88671875" style="4" customWidth="1"/>
    <col min="3871" max="3873" width="9.109375" style="4"/>
    <col min="3874" max="3874" width="3.44140625" style="4" customWidth="1"/>
    <col min="3875" max="3875" width="12.5546875" style="4" customWidth="1"/>
    <col min="3876" max="3882" width="9.109375" style="4"/>
    <col min="3883" max="3883" width="4.33203125" style="4" customWidth="1"/>
    <col min="3884" max="4112" width="9.109375" style="4"/>
    <col min="4113" max="4113" width="7.33203125" style="4" customWidth="1"/>
    <col min="4114" max="4114" width="4.33203125" style="4" customWidth="1"/>
    <col min="4115" max="4115" width="26.33203125" style="4" customWidth="1"/>
    <col min="4116" max="4116" width="3.88671875" style="4" customWidth="1"/>
    <col min="4117" max="4117" width="26.33203125" style="4" customWidth="1"/>
    <col min="4118" max="4118" width="9.109375" style="4"/>
    <col min="4119" max="4119" width="3.44140625" style="4" customWidth="1"/>
    <col min="4120" max="4120" width="16.44140625" style="4" customWidth="1"/>
    <col min="4121" max="4122" width="9.109375" style="4"/>
    <col min="4123" max="4123" width="13.44140625" style="4" customWidth="1"/>
    <col min="4124" max="4124" width="9.6640625" style="4" bestFit="1" customWidth="1"/>
    <col min="4125" max="4125" width="9.109375" style="4"/>
    <col min="4126" max="4126" width="3.88671875" style="4" customWidth="1"/>
    <col min="4127" max="4129" width="9.109375" style="4"/>
    <col min="4130" max="4130" width="3.44140625" style="4" customWidth="1"/>
    <col min="4131" max="4131" width="12.5546875" style="4" customWidth="1"/>
    <col min="4132" max="4138" width="9.109375" style="4"/>
    <col min="4139" max="4139" width="4.33203125" style="4" customWidth="1"/>
    <col min="4140" max="4368" width="9.109375" style="4"/>
    <col min="4369" max="4369" width="7.33203125" style="4" customWidth="1"/>
    <col min="4370" max="4370" width="4.33203125" style="4" customWidth="1"/>
    <col min="4371" max="4371" width="26.33203125" style="4" customWidth="1"/>
    <col min="4372" max="4372" width="3.88671875" style="4" customWidth="1"/>
    <col min="4373" max="4373" width="26.33203125" style="4" customWidth="1"/>
    <col min="4374" max="4374" width="9.109375" style="4"/>
    <col min="4375" max="4375" width="3.44140625" style="4" customWidth="1"/>
    <col min="4376" max="4376" width="16.44140625" style="4" customWidth="1"/>
    <col min="4377" max="4378" width="9.109375" style="4"/>
    <col min="4379" max="4379" width="13.44140625" style="4" customWidth="1"/>
    <col min="4380" max="4380" width="9.6640625" style="4" bestFit="1" customWidth="1"/>
    <col min="4381" max="4381" width="9.109375" style="4"/>
    <col min="4382" max="4382" width="3.88671875" style="4" customWidth="1"/>
    <col min="4383" max="4385" width="9.109375" style="4"/>
    <col min="4386" max="4386" width="3.44140625" style="4" customWidth="1"/>
    <col min="4387" max="4387" width="12.5546875" style="4" customWidth="1"/>
    <col min="4388" max="4394" width="9.109375" style="4"/>
    <col min="4395" max="4395" width="4.33203125" style="4" customWidth="1"/>
    <col min="4396" max="4624" width="9.109375" style="4"/>
    <col min="4625" max="4625" width="7.33203125" style="4" customWidth="1"/>
    <col min="4626" max="4626" width="4.33203125" style="4" customWidth="1"/>
    <col min="4627" max="4627" width="26.33203125" style="4" customWidth="1"/>
    <col min="4628" max="4628" width="3.88671875" style="4" customWidth="1"/>
    <col min="4629" max="4629" width="26.33203125" style="4" customWidth="1"/>
    <col min="4630" max="4630" width="9.109375" style="4"/>
    <col min="4631" max="4631" width="3.44140625" style="4" customWidth="1"/>
    <col min="4632" max="4632" width="16.44140625" style="4" customWidth="1"/>
    <col min="4633" max="4634" width="9.109375" style="4"/>
    <col min="4635" max="4635" width="13.44140625" style="4" customWidth="1"/>
    <col min="4636" max="4636" width="9.6640625" style="4" bestFit="1" customWidth="1"/>
    <col min="4637" max="4637" width="9.109375" style="4"/>
    <col min="4638" max="4638" width="3.88671875" style="4" customWidth="1"/>
    <col min="4639" max="4641" width="9.109375" style="4"/>
    <col min="4642" max="4642" width="3.44140625" style="4" customWidth="1"/>
    <col min="4643" max="4643" width="12.5546875" style="4" customWidth="1"/>
    <col min="4644" max="4650" width="9.109375" style="4"/>
    <col min="4651" max="4651" width="4.33203125" style="4" customWidth="1"/>
    <col min="4652" max="4880" width="9.109375" style="4"/>
    <col min="4881" max="4881" width="7.33203125" style="4" customWidth="1"/>
    <col min="4882" max="4882" width="4.33203125" style="4" customWidth="1"/>
    <col min="4883" max="4883" width="26.33203125" style="4" customWidth="1"/>
    <col min="4884" max="4884" width="3.88671875" style="4" customWidth="1"/>
    <col min="4885" max="4885" width="26.33203125" style="4" customWidth="1"/>
    <col min="4886" max="4886" width="9.109375" style="4"/>
    <col min="4887" max="4887" width="3.44140625" style="4" customWidth="1"/>
    <col min="4888" max="4888" width="16.44140625" style="4" customWidth="1"/>
    <col min="4889" max="4890" width="9.109375" style="4"/>
    <col min="4891" max="4891" width="13.44140625" style="4" customWidth="1"/>
    <col min="4892" max="4892" width="9.6640625" style="4" bestFit="1" customWidth="1"/>
    <col min="4893" max="4893" width="9.109375" style="4"/>
    <col min="4894" max="4894" width="3.88671875" style="4" customWidth="1"/>
    <col min="4895" max="4897" width="9.109375" style="4"/>
    <col min="4898" max="4898" width="3.44140625" style="4" customWidth="1"/>
    <col min="4899" max="4899" width="12.5546875" style="4" customWidth="1"/>
    <col min="4900" max="4906" width="9.109375" style="4"/>
    <col min="4907" max="4907" width="4.33203125" style="4" customWidth="1"/>
    <col min="4908" max="5136" width="9.109375" style="4"/>
    <col min="5137" max="5137" width="7.33203125" style="4" customWidth="1"/>
    <col min="5138" max="5138" width="4.33203125" style="4" customWidth="1"/>
    <col min="5139" max="5139" width="26.33203125" style="4" customWidth="1"/>
    <col min="5140" max="5140" width="3.88671875" style="4" customWidth="1"/>
    <col min="5141" max="5141" width="26.33203125" style="4" customWidth="1"/>
    <col min="5142" max="5142" width="9.109375" style="4"/>
    <col min="5143" max="5143" width="3.44140625" style="4" customWidth="1"/>
    <col min="5144" max="5144" width="16.44140625" style="4" customWidth="1"/>
    <col min="5145" max="5146" width="9.109375" style="4"/>
    <col min="5147" max="5147" width="13.44140625" style="4" customWidth="1"/>
    <col min="5148" max="5148" width="9.6640625" style="4" bestFit="1" customWidth="1"/>
    <col min="5149" max="5149" width="9.109375" style="4"/>
    <col min="5150" max="5150" width="3.88671875" style="4" customWidth="1"/>
    <col min="5151" max="5153" width="9.109375" style="4"/>
    <col min="5154" max="5154" width="3.44140625" style="4" customWidth="1"/>
    <col min="5155" max="5155" width="12.5546875" style="4" customWidth="1"/>
    <col min="5156" max="5162" width="9.109375" style="4"/>
    <col min="5163" max="5163" width="4.33203125" style="4" customWidth="1"/>
    <col min="5164" max="5392" width="9.109375" style="4"/>
    <col min="5393" max="5393" width="7.33203125" style="4" customWidth="1"/>
    <col min="5394" max="5394" width="4.33203125" style="4" customWidth="1"/>
    <col min="5395" max="5395" width="26.33203125" style="4" customWidth="1"/>
    <col min="5396" max="5396" width="3.88671875" style="4" customWidth="1"/>
    <col min="5397" max="5397" width="26.33203125" style="4" customWidth="1"/>
    <col min="5398" max="5398" width="9.109375" style="4"/>
    <col min="5399" max="5399" width="3.44140625" style="4" customWidth="1"/>
    <col min="5400" max="5400" width="16.44140625" style="4" customWidth="1"/>
    <col min="5401" max="5402" width="9.109375" style="4"/>
    <col min="5403" max="5403" width="13.44140625" style="4" customWidth="1"/>
    <col min="5404" max="5404" width="9.6640625" style="4" bestFit="1" customWidth="1"/>
    <col min="5405" max="5405" width="9.109375" style="4"/>
    <col min="5406" max="5406" width="3.88671875" style="4" customWidth="1"/>
    <col min="5407" max="5409" width="9.109375" style="4"/>
    <col min="5410" max="5410" width="3.44140625" style="4" customWidth="1"/>
    <col min="5411" max="5411" width="12.5546875" style="4" customWidth="1"/>
    <col min="5412" max="5418" width="9.109375" style="4"/>
    <col min="5419" max="5419" width="4.33203125" style="4" customWidth="1"/>
    <col min="5420" max="5648" width="9.109375" style="4"/>
    <col min="5649" max="5649" width="7.33203125" style="4" customWidth="1"/>
    <col min="5650" max="5650" width="4.33203125" style="4" customWidth="1"/>
    <col min="5651" max="5651" width="26.33203125" style="4" customWidth="1"/>
    <col min="5652" max="5652" width="3.88671875" style="4" customWidth="1"/>
    <col min="5653" max="5653" width="26.33203125" style="4" customWidth="1"/>
    <col min="5654" max="5654" width="9.109375" style="4"/>
    <col min="5655" max="5655" width="3.44140625" style="4" customWidth="1"/>
    <col min="5656" max="5656" width="16.44140625" style="4" customWidth="1"/>
    <col min="5657" max="5658" width="9.109375" style="4"/>
    <col min="5659" max="5659" width="13.44140625" style="4" customWidth="1"/>
    <col min="5660" max="5660" width="9.6640625" style="4" bestFit="1" customWidth="1"/>
    <col min="5661" max="5661" width="9.109375" style="4"/>
    <col min="5662" max="5662" width="3.88671875" style="4" customWidth="1"/>
    <col min="5663" max="5665" width="9.109375" style="4"/>
    <col min="5666" max="5666" width="3.44140625" style="4" customWidth="1"/>
    <col min="5667" max="5667" width="12.5546875" style="4" customWidth="1"/>
    <col min="5668" max="5674" width="9.109375" style="4"/>
    <col min="5675" max="5675" width="4.33203125" style="4" customWidth="1"/>
    <col min="5676" max="5904" width="9.109375" style="4"/>
    <col min="5905" max="5905" width="7.33203125" style="4" customWidth="1"/>
    <col min="5906" max="5906" width="4.33203125" style="4" customWidth="1"/>
    <col min="5907" max="5907" width="26.33203125" style="4" customWidth="1"/>
    <col min="5908" max="5908" width="3.88671875" style="4" customWidth="1"/>
    <col min="5909" max="5909" width="26.33203125" style="4" customWidth="1"/>
    <col min="5910" max="5910" width="9.109375" style="4"/>
    <col min="5911" max="5911" width="3.44140625" style="4" customWidth="1"/>
    <col min="5912" max="5912" width="16.44140625" style="4" customWidth="1"/>
    <col min="5913" max="5914" width="9.109375" style="4"/>
    <col min="5915" max="5915" width="13.44140625" style="4" customWidth="1"/>
    <col min="5916" max="5916" width="9.6640625" style="4" bestFit="1" customWidth="1"/>
    <col min="5917" max="5917" width="9.109375" style="4"/>
    <col min="5918" max="5918" width="3.88671875" style="4" customWidth="1"/>
    <col min="5919" max="5921" width="9.109375" style="4"/>
    <col min="5922" max="5922" width="3.44140625" style="4" customWidth="1"/>
    <col min="5923" max="5923" width="12.5546875" style="4" customWidth="1"/>
    <col min="5924" max="5930" width="9.109375" style="4"/>
    <col min="5931" max="5931" width="4.33203125" style="4" customWidth="1"/>
    <col min="5932" max="6160" width="9.109375" style="4"/>
    <col min="6161" max="6161" width="7.33203125" style="4" customWidth="1"/>
    <col min="6162" max="6162" width="4.33203125" style="4" customWidth="1"/>
    <col min="6163" max="6163" width="26.33203125" style="4" customWidth="1"/>
    <col min="6164" max="6164" width="3.88671875" style="4" customWidth="1"/>
    <col min="6165" max="6165" width="26.33203125" style="4" customWidth="1"/>
    <col min="6166" max="6166" width="9.109375" style="4"/>
    <col min="6167" max="6167" width="3.44140625" style="4" customWidth="1"/>
    <col min="6168" max="6168" width="16.44140625" style="4" customWidth="1"/>
    <col min="6169" max="6170" width="9.109375" style="4"/>
    <col min="6171" max="6171" width="13.44140625" style="4" customWidth="1"/>
    <col min="6172" max="6172" width="9.6640625" style="4" bestFit="1" customWidth="1"/>
    <col min="6173" max="6173" width="9.109375" style="4"/>
    <col min="6174" max="6174" width="3.88671875" style="4" customWidth="1"/>
    <col min="6175" max="6177" width="9.109375" style="4"/>
    <col min="6178" max="6178" width="3.44140625" style="4" customWidth="1"/>
    <col min="6179" max="6179" width="12.5546875" style="4" customWidth="1"/>
    <col min="6180" max="6186" width="9.109375" style="4"/>
    <col min="6187" max="6187" width="4.33203125" style="4" customWidth="1"/>
    <col min="6188" max="6416" width="9.109375" style="4"/>
    <col min="6417" max="6417" width="7.33203125" style="4" customWidth="1"/>
    <col min="6418" max="6418" width="4.33203125" style="4" customWidth="1"/>
    <col min="6419" max="6419" width="26.33203125" style="4" customWidth="1"/>
    <col min="6420" max="6420" width="3.88671875" style="4" customWidth="1"/>
    <col min="6421" max="6421" width="26.33203125" style="4" customWidth="1"/>
    <col min="6422" max="6422" width="9.109375" style="4"/>
    <col min="6423" max="6423" width="3.44140625" style="4" customWidth="1"/>
    <col min="6424" max="6424" width="16.44140625" style="4" customWidth="1"/>
    <col min="6425" max="6426" width="9.109375" style="4"/>
    <col min="6427" max="6427" width="13.44140625" style="4" customWidth="1"/>
    <col min="6428" max="6428" width="9.6640625" style="4" bestFit="1" customWidth="1"/>
    <col min="6429" max="6429" width="9.109375" style="4"/>
    <col min="6430" max="6430" width="3.88671875" style="4" customWidth="1"/>
    <col min="6431" max="6433" width="9.109375" style="4"/>
    <col min="6434" max="6434" width="3.44140625" style="4" customWidth="1"/>
    <col min="6435" max="6435" width="12.5546875" style="4" customWidth="1"/>
    <col min="6436" max="6442" width="9.109375" style="4"/>
    <col min="6443" max="6443" width="4.33203125" style="4" customWidth="1"/>
    <col min="6444" max="6672" width="9.109375" style="4"/>
    <col min="6673" max="6673" width="7.33203125" style="4" customWidth="1"/>
    <col min="6674" max="6674" width="4.33203125" style="4" customWidth="1"/>
    <col min="6675" max="6675" width="26.33203125" style="4" customWidth="1"/>
    <col min="6676" max="6676" width="3.88671875" style="4" customWidth="1"/>
    <col min="6677" max="6677" width="26.33203125" style="4" customWidth="1"/>
    <col min="6678" max="6678" width="9.109375" style="4"/>
    <col min="6679" max="6679" width="3.44140625" style="4" customWidth="1"/>
    <col min="6680" max="6680" width="16.44140625" style="4" customWidth="1"/>
    <col min="6681" max="6682" width="9.109375" style="4"/>
    <col min="6683" max="6683" width="13.44140625" style="4" customWidth="1"/>
    <col min="6684" max="6684" width="9.6640625" style="4" bestFit="1" customWidth="1"/>
    <col min="6685" max="6685" width="9.109375" style="4"/>
    <col min="6686" max="6686" width="3.88671875" style="4" customWidth="1"/>
    <col min="6687" max="6689" width="9.109375" style="4"/>
    <col min="6690" max="6690" width="3.44140625" style="4" customWidth="1"/>
    <col min="6691" max="6691" width="12.5546875" style="4" customWidth="1"/>
    <col min="6692" max="6698" width="9.109375" style="4"/>
    <col min="6699" max="6699" width="4.33203125" style="4" customWidth="1"/>
    <col min="6700" max="6928" width="9.109375" style="4"/>
    <col min="6929" max="6929" width="7.33203125" style="4" customWidth="1"/>
    <col min="6930" max="6930" width="4.33203125" style="4" customWidth="1"/>
    <col min="6931" max="6931" width="26.33203125" style="4" customWidth="1"/>
    <col min="6932" max="6932" width="3.88671875" style="4" customWidth="1"/>
    <col min="6933" max="6933" width="26.33203125" style="4" customWidth="1"/>
    <col min="6934" max="6934" width="9.109375" style="4"/>
    <col min="6935" max="6935" width="3.44140625" style="4" customWidth="1"/>
    <col min="6936" max="6936" width="16.44140625" style="4" customWidth="1"/>
    <col min="6937" max="6938" width="9.109375" style="4"/>
    <col min="6939" max="6939" width="13.44140625" style="4" customWidth="1"/>
    <col min="6940" max="6940" width="9.6640625" style="4" bestFit="1" customWidth="1"/>
    <col min="6941" max="6941" width="9.109375" style="4"/>
    <col min="6942" max="6942" width="3.88671875" style="4" customWidth="1"/>
    <col min="6943" max="6945" width="9.109375" style="4"/>
    <col min="6946" max="6946" width="3.44140625" style="4" customWidth="1"/>
    <col min="6947" max="6947" width="12.5546875" style="4" customWidth="1"/>
    <col min="6948" max="6954" width="9.109375" style="4"/>
    <col min="6955" max="6955" width="4.33203125" style="4" customWidth="1"/>
    <col min="6956" max="7184" width="9.109375" style="4"/>
    <col min="7185" max="7185" width="7.33203125" style="4" customWidth="1"/>
    <col min="7186" max="7186" width="4.33203125" style="4" customWidth="1"/>
    <col min="7187" max="7187" width="26.33203125" style="4" customWidth="1"/>
    <col min="7188" max="7188" width="3.88671875" style="4" customWidth="1"/>
    <col min="7189" max="7189" width="26.33203125" style="4" customWidth="1"/>
    <col min="7190" max="7190" width="9.109375" style="4"/>
    <col min="7191" max="7191" width="3.44140625" style="4" customWidth="1"/>
    <col min="7192" max="7192" width="16.44140625" style="4" customWidth="1"/>
    <col min="7193" max="7194" width="9.109375" style="4"/>
    <col min="7195" max="7195" width="13.44140625" style="4" customWidth="1"/>
    <col min="7196" max="7196" width="9.6640625" style="4" bestFit="1" customWidth="1"/>
    <col min="7197" max="7197" width="9.109375" style="4"/>
    <col min="7198" max="7198" width="3.88671875" style="4" customWidth="1"/>
    <col min="7199" max="7201" width="9.109375" style="4"/>
    <col min="7202" max="7202" width="3.44140625" style="4" customWidth="1"/>
    <col min="7203" max="7203" width="12.5546875" style="4" customWidth="1"/>
    <col min="7204" max="7210" width="9.109375" style="4"/>
    <col min="7211" max="7211" width="4.33203125" style="4" customWidth="1"/>
    <col min="7212" max="7440" width="9.109375" style="4"/>
    <col min="7441" max="7441" width="7.33203125" style="4" customWidth="1"/>
    <col min="7442" max="7442" width="4.33203125" style="4" customWidth="1"/>
    <col min="7443" max="7443" width="26.33203125" style="4" customWidth="1"/>
    <col min="7444" max="7444" width="3.88671875" style="4" customWidth="1"/>
    <col min="7445" max="7445" width="26.33203125" style="4" customWidth="1"/>
    <col min="7446" max="7446" width="9.109375" style="4"/>
    <col min="7447" max="7447" width="3.44140625" style="4" customWidth="1"/>
    <col min="7448" max="7448" width="16.44140625" style="4" customWidth="1"/>
    <col min="7449" max="7450" width="9.109375" style="4"/>
    <col min="7451" max="7451" width="13.44140625" style="4" customWidth="1"/>
    <col min="7452" max="7452" width="9.6640625" style="4" bestFit="1" customWidth="1"/>
    <col min="7453" max="7453" width="9.109375" style="4"/>
    <col min="7454" max="7454" width="3.88671875" style="4" customWidth="1"/>
    <col min="7455" max="7457" width="9.109375" style="4"/>
    <col min="7458" max="7458" width="3.44140625" style="4" customWidth="1"/>
    <col min="7459" max="7459" width="12.5546875" style="4" customWidth="1"/>
    <col min="7460" max="7466" width="9.109375" style="4"/>
    <col min="7467" max="7467" width="4.33203125" style="4" customWidth="1"/>
    <col min="7468" max="7696" width="9.109375" style="4"/>
    <col min="7697" max="7697" width="7.33203125" style="4" customWidth="1"/>
    <col min="7698" max="7698" width="4.33203125" style="4" customWidth="1"/>
    <col min="7699" max="7699" width="26.33203125" style="4" customWidth="1"/>
    <col min="7700" max="7700" width="3.88671875" style="4" customWidth="1"/>
    <col min="7701" max="7701" width="26.33203125" style="4" customWidth="1"/>
    <col min="7702" max="7702" width="9.109375" style="4"/>
    <col min="7703" max="7703" width="3.44140625" style="4" customWidth="1"/>
    <col min="7704" max="7704" width="16.44140625" style="4" customWidth="1"/>
    <col min="7705" max="7706" width="9.109375" style="4"/>
    <col min="7707" max="7707" width="13.44140625" style="4" customWidth="1"/>
    <col min="7708" max="7708" width="9.6640625" style="4" bestFit="1" customWidth="1"/>
    <col min="7709" max="7709" width="9.109375" style="4"/>
    <col min="7710" max="7710" width="3.88671875" style="4" customWidth="1"/>
    <col min="7711" max="7713" width="9.109375" style="4"/>
    <col min="7714" max="7714" width="3.44140625" style="4" customWidth="1"/>
    <col min="7715" max="7715" width="12.5546875" style="4" customWidth="1"/>
    <col min="7716" max="7722" width="9.109375" style="4"/>
    <col min="7723" max="7723" width="4.33203125" style="4" customWidth="1"/>
    <col min="7724" max="7952" width="9.109375" style="4"/>
    <col min="7953" max="7953" width="7.33203125" style="4" customWidth="1"/>
    <col min="7954" max="7954" width="4.33203125" style="4" customWidth="1"/>
    <col min="7955" max="7955" width="26.33203125" style="4" customWidth="1"/>
    <col min="7956" max="7956" width="3.88671875" style="4" customWidth="1"/>
    <col min="7957" max="7957" width="26.33203125" style="4" customWidth="1"/>
    <col min="7958" max="7958" width="9.109375" style="4"/>
    <col min="7959" max="7959" width="3.44140625" style="4" customWidth="1"/>
    <col min="7960" max="7960" width="16.44140625" style="4" customWidth="1"/>
    <col min="7961" max="7962" width="9.109375" style="4"/>
    <col min="7963" max="7963" width="13.44140625" style="4" customWidth="1"/>
    <col min="7964" max="7964" width="9.6640625" style="4" bestFit="1" customWidth="1"/>
    <col min="7965" max="7965" width="9.109375" style="4"/>
    <col min="7966" max="7966" width="3.88671875" style="4" customWidth="1"/>
    <col min="7967" max="7969" width="9.109375" style="4"/>
    <col min="7970" max="7970" width="3.44140625" style="4" customWidth="1"/>
    <col min="7971" max="7971" width="12.5546875" style="4" customWidth="1"/>
    <col min="7972" max="7978" width="9.109375" style="4"/>
    <col min="7979" max="7979" width="4.33203125" style="4" customWidth="1"/>
    <col min="7980" max="8208" width="9.109375" style="4"/>
    <col min="8209" max="8209" width="7.33203125" style="4" customWidth="1"/>
    <col min="8210" max="8210" width="4.33203125" style="4" customWidth="1"/>
    <col min="8211" max="8211" width="26.33203125" style="4" customWidth="1"/>
    <col min="8212" max="8212" width="3.88671875" style="4" customWidth="1"/>
    <col min="8213" max="8213" width="26.33203125" style="4" customWidth="1"/>
    <col min="8214" max="8214" width="9.109375" style="4"/>
    <col min="8215" max="8215" width="3.44140625" style="4" customWidth="1"/>
    <col min="8216" max="8216" width="16.44140625" style="4" customWidth="1"/>
    <col min="8217" max="8218" width="9.109375" style="4"/>
    <col min="8219" max="8219" width="13.44140625" style="4" customWidth="1"/>
    <col min="8220" max="8220" width="9.6640625" style="4" bestFit="1" customWidth="1"/>
    <col min="8221" max="8221" width="9.109375" style="4"/>
    <col min="8222" max="8222" width="3.88671875" style="4" customWidth="1"/>
    <col min="8223" max="8225" width="9.109375" style="4"/>
    <col min="8226" max="8226" width="3.44140625" style="4" customWidth="1"/>
    <col min="8227" max="8227" width="12.5546875" style="4" customWidth="1"/>
    <col min="8228" max="8234" width="9.109375" style="4"/>
    <col min="8235" max="8235" width="4.33203125" style="4" customWidth="1"/>
    <col min="8236" max="8464" width="9.109375" style="4"/>
    <col min="8465" max="8465" width="7.33203125" style="4" customWidth="1"/>
    <col min="8466" max="8466" width="4.33203125" style="4" customWidth="1"/>
    <col min="8467" max="8467" width="26.33203125" style="4" customWidth="1"/>
    <col min="8468" max="8468" width="3.88671875" style="4" customWidth="1"/>
    <col min="8469" max="8469" width="26.33203125" style="4" customWidth="1"/>
    <col min="8470" max="8470" width="9.109375" style="4"/>
    <col min="8471" max="8471" width="3.44140625" style="4" customWidth="1"/>
    <col min="8472" max="8472" width="16.44140625" style="4" customWidth="1"/>
    <col min="8473" max="8474" width="9.109375" style="4"/>
    <col min="8475" max="8475" width="13.44140625" style="4" customWidth="1"/>
    <col min="8476" max="8476" width="9.6640625" style="4" bestFit="1" customWidth="1"/>
    <col min="8477" max="8477" width="9.109375" style="4"/>
    <col min="8478" max="8478" width="3.88671875" style="4" customWidth="1"/>
    <col min="8479" max="8481" width="9.109375" style="4"/>
    <col min="8482" max="8482" width="3.44140625" style="4" customWidth="1"/>
    <col min="8483" max="8483" width="12.5546875" style="4" customWidth="1"/>
    <col min="8484" max="8490" width="9.109375" style="4"/>
    <col min="8491" max="8491" width="4.33203125" style="4" customWidth="1"/>
    <col min="8492" max="8720" width="9.109375" style="4"/>
    <col min="8721" max="8721" width="7.33203125" style="4" customWidth="1"/>
    <col min="8722" max="8722" width="4.33203125" style="4" customWidth="1"/>
    <col min="8723" max="8723" width="26.33203125" style="4" customWidth="1"/>
    <col min="8724" max="8724" width="3.88671875" style="4" customWidth="1"/>
    <col min="8725" max="8725" width="26.33203125" style="4" customWidth="1"/>
    <col min="8726" max="8726" width="9.109375" style="4"/>
    <col min="8727" max="8727" width="3.44140625" style="4" customWidth="1"/>
    <col min="8728" max="8728" width="16.44140625" style="4" customWidth="1"/>
    <col min="8729" max="8730" width="9.109375" style="4"/>
    <col min="8731" max="8731" width="13.44140625" style="4" customWidth="1"/>
    <col min="8732" max="8732" width="9.6640625" style="4" bestFit="1" customWidth="1"/>
    <col min="8733" max="8733" width="9.109375" style="4"/>
    <col min="8734" max="8734" width="3.88671875" style="4" customWidth="1"/>
    <col min="8735" max="8737" width="9.109375" style="4"/>
    <col min="8738" max="8738" width="3.44140625" style="4" customWidth="1"/>
    <col min="8739" max="8739" width="12.5546875" style="4" customWidth="1"/>
    <col min="8740" max="8746" width="9.109375" style="4"/>
    <col min="8747" max="8747" width="4.33203125" style="4" customWidth="1"/>
    <col min="8748" max="8976" width="9.109375" style="4"/>
    <col min="8977" max="8977" width="7.33203125" style="4" customWidth="1"/>
    <col min="8978" max="8978" width="4.33203125" style="4" customWidth="1"/>
    <col min="8979" max="8979" width="26.33203125" style="4" customWidth="1"/>
    <col min="8980" max="8980" width="3.88671875" style="4" customWidth="1"/>
    <col min="8981" max="8981" width="26.33203125" style="4" customWidth="1"/>
    <col min="8982" max="8982" width="9.109375" style="4"/>
    <col min="8983" max="8983" width="3.44140625" style="4" customWidth="1"/>
    <col min="8984" max="8984" width="16.44140625" style="4" customWidth="1"/>
    <col min="8985" max="8986" width="9.109375" style="4"/>
    <col min="8987" max="8987" width="13.44140625" style="4" customWidth="1"/>
    <col min="8988" max="8988" width="9.6640625" style="4" bestFit="1" customWidth="1"/>
    <col min="8989" max="8989" width="9.109375" style="4"/>
    <col min="8990" max="8990" width="3.88671875" style="4" customWidth="1"/>
    <col min="8991" max="8993" width="9.109375" style="4"/>
    <col min="8994" max="8994" width="3.44140625" style="4" customWidth="1"/>
    <col min="8995" max="8995" width="12.5546875" style="4" customWidth="1"/>
    <col min="8996" max="9002" width="9.109375" style="4"/>
    <col min="9003" max="9003" width="4.33203125" style="4" customWidth="1"/>
    <col min="9004" max="9232" width="9.109375" style="4"/>
    <col min="9233" max="9233" width="7.33203125" style="4" customWidth="1"/>
    <col min="9234" max="9234" width="4.33203125" style="4" customWidth="1"/>
    <col min="9235" max="9235" width="26.33203125" style="4" customWidth="1"/>
    <col min="9236" max="9236" width="3.88671875" style="4" customWidth="1"/>
    <col min="9237" max="9237" width="26.33203125" style="4" customWidth="1"/>
    <col min="9238" max="9238" width="9.109375" style="4"/>
    <col min="9239" max="9239" width="3.44140625" style="4" customWidth="1"/>
    <col min="9240" max="9240" width="16.44140625" style="4" customWidth="1"/>
    <col min="9241" max="9242" width="9.109375" style="4"/>
    <col min="9243" max="9243" width="13.44140625" style="4" customWidth="1"/>
    <col min="9244" max="9244" width="9.6640625" style="4" bestFit="1" customWidth="1"/>
    <col min="9245" max="9245" width="9.109375" style="4"/>
    <col min="9246" max="9246" width="3.88671875" style="4" customWidth="1"/>
    <col min="9247" max="9249" width="9.109375" style="4"/>
    <col min="9250" max="9250" width="3.44140625" style="4" customWidth="1"/>
    <col min="9251" max="9251" width="12.5546875" style="4" customWidth="1"/>
    <col min="9252" max="9258" width="9.109375" style="4"/>
    <col min="9259" max="9259" width="4.33203125" style="4" customWidth="1"/>
    <col min="9260" max="9488" width="9.109375" style="4"/>
    <col min="9489" max="9489" width="7.33203125" style="4" customWidth="1"/>
    <col min="9490" max="9490" width="4.33203125" style="4" customWidth="1"/>
    <col min="9491" max="9491" width="26.33203125" style="4" customWidth="1"/>
    <col min="9492" max="9492" width="3.88671875" style="4" customWidth="1"/>
    <col min="9493" max="9493" width="26.33203125" style="4" customWidth="1"/>
    <col min="9494" max="9494" width="9.109375" style="4"/>
    <col min="9495" max="9495" width="3.44140625" style="4" customWidth="1"/>
    <col min="9496" max="9496" width="16.44140625" style="4" customWidth="1"/>
    <col min="9497" max="9498" width="9.109375" style="4"/>
    <col min="9499" max="9499" width="13.44140625" style="4" customWidth="1"/>
    <col min="9500" max="9500" width="9.6640625" style="4" bestFit="1" customWidth="1"/>
    <col min="9501" max="9501" width="9.109375" style="4"/>
    <col min="9502" max="9502" width="3.88671875" style="4" customWidth="1"/>
    <col min="9503" max="9505" width="9.109375" style="4"/>
    <col min="9506" max="9506" width="3.44140625" style="4" customWidth="1"/>
    <col min="9507" max="9507" width="12.5546875" style="4" customWidth="1"/>
    <col min="9508" max="9514" width="9.109375" style="4"/>
    <col min="9515" max="9515" width="4.33203125" style="4" customWidth="1"/>
    <col min="9516" max="9744" width="9.109375" style="4"/>
    <col min="9745" max="9745" width="7.33203125" style="4" customWidth="1"/>
    <col min="9746" max="9746" width="4.33203125" style="4" customWidth="1"/>
    <col min="9747" max="9747" width="26.33203125" style="4" customWidth="1"/>
    <col min="9748" max="9748" width="3.88671875" style="4" customWidth="1"/>
    <col min="9749" max="9749" width="26.33203125" style="4" customWidth="1"/>
    <col min="9750" max="9750" width="9.109375" style="4"/>
    <col min="9751" max="9751" width="3.44140625" style="4" customWidth="1"/>
    <col min="9752" max="9752" width="16.44140625" style="4" customWidth="1"/>
    <col min="9753" max="9754" width="9.109375" style="4"/>
    <col min="9755" max="9755" width="13.44140625" style="4" customWidth="1"/>
    <col min="9756" max="9756" width="9.6640625" style="4" bestFit="1" customWidth="1"/>
    <col min="9757" max="9757" width="9.109375" style="4"/>
    <col min="9758" max="9758" width="3.88671875" style="4" customWidth="1"/>
    <col min="9759" max="9761" width="9.109375" style="4"/>
    <col min="9762" max="9762" width="3.44140625" style="4" customWidth="1"/>
    <col min="9763" max="9763" width="12.5546875" style="4" customWidth="1"/>
    <col min="9764" max="9770" width="9.109375" style="4"/>
    <col min="9771" max="9771" width="4.33203125" style="4" customWidth="1"/>
    <col min="9772" max="10000" width="9.109375" style="4"/>
    <col min="10001" max="10001" width="7.33203125" style="4" customWidth="1"/>
    <col min="10002" max="10002" width="4.33203125" style="4" customWidth="1"/>
    <col min="10003" max="10003" width="26.33203125" style="4" customWidth="1"/>
    <col min="10004" max="10004" width="3.88671875" style="4" customWidth="1"/>
    <col min="10005" max="10005" width="26.33203125" style="4" customWidth="1"/>
    <col min="10006" max="10006" width="9.109375" style="4"/>
    <col min="10007" max="10007" width="3.44140625" style="4" customWidth="1"/>
    <col min="10008" max="10008" width="16.44140625" style="4" customWidth="1"/>
    <col min="10009" max="10010" width="9.109375" style="4"/>
    <col min="10011" max="10011" width="13.44140625" style="4" customWidth="1"/>
    <col min="10012" max="10012" width="9.6640625" style="4" bestFit="1" customWidth="1"/>
    <col min="10013" max="10013" width="9.109375" style="4"/>
    <col min="10014" max="10014" width="3.88671875" style="4" customWidth="1"/>
    <col min="10015" max="10017" width="9.109375" style="4"/>
    <col min="10018" max="10018" width="3.44140625" style="4" customWidth="1"/>
    <col min="10019" max="10019" width="12.5546875" style="4" customWidth="1"/>
    <col min="10020" max="10026" width="9.109375" style="4"/>
    <col min="10027" max="10027" width="4.33203125" style="4" customWidth="1"/>
    <col min="10028" max="10256" width="9.109375" style="4"/>
    <col min="10257" max="10257" width="7.33203125" style="4" customWidth="1"/>
    <col min="10258" max="10258" width="4.33203125" style="4" customWidth="1"/>
    <col min="10259" max="10259" width="26.33203125" style="4" customWidth="1"/>
    <col min="10260" max="10260" width="3.88671875" style="4" customWidth="1"/>
    <col min="10261" max="10261" width="26.33203125" style="4" customWidth="1"/>
    <col min="10262" max="10262" width="9.109375" style="4"/>
    <col min="10263" max="10263" width="3.44140625" style="4" customWidth="1"/>
    <col min="10264" max="10264" width="16.44140625" style="4" customWidth="1"/>
    <col min="10265" max="10266" width="9.109375" style="4"/>
    <col min="10267" max="10267" width="13.44140625" style="4" customWidth="1"/>
    <col min="10268" max="10268" width="9.6640625" style="4" bestFit="1" customWidth="1"/>
    <col min="10269" max="10269" width="9.109375" style="4"/>
    <col min="10270" max="10270" width="3.88671875" style="4" customWidth="1"/>
    <col min="10271" max="10273" width="9.109375" style="4"/>
    <col min="10274" max="10274" width="3.44140625" style="4" customWidth="1"/>
    <col min="10275" max="10275" width="12.5546875" style="4" customWidth="1"/>
    <col min="10276" max="10282" width="9.109375" style="4"/>
    <col min="10283" max="10283" width="4.33203125" style="4" customWidth="1"/>
    <col min="10284" max="10512" width="9.109375" style="4"/>
    <col min="10513" max="10513" width="7.33203125" style="4" customWidth="1"/>
    <col min="10514" max="10514" width="4.33203125" style="4" customWidth="1"/>
    <col min="10515" max="10515" width="26.33203125" style="4" customWidth="1"/>
    <col min="10516" max="10516" width="3.88671875" style="4" customWidth="1"/>
    <col min="10517" max="10517" width="26.33203125" style="4" customWidth="1"/>
    <col min="10518" max="10518" width="9.109375" style="4"/>
    <col min="10519" max="10519" width="3.44140625" style="4" customWidth="1"/>
    <col min="10520" max="10520" width="16.44140625" style="4" customWidth="1"/>
    <col min="10521" max="10522" width="9.109375" style="4"/>
    <col min="10523" max="10523" width="13.44140625" style="4" customWidth="1"/>
    <col min="10524" max="10524" width="9.6640625" style="4" bestFit="1" customWidth="1"/>
    <col min="10525" max="10525" width="9.109375" style="4"/>
    <col min="10526" max="10526" width="3.88671875" style="4" customWidth="1"/>
    <col min="10527" max="10529" width="9.109375" style="4"/>
    <col min="10530" max="10530" width="3.44140625" style="4" customWidth="1"/>
    <col min="10531" max="10531" width="12.5546875" style="4" customWidth="1"/>
    <col min="10532" max="10538" width="9.109375" style="4"/>
    <col min="10539" max="10539" width="4.33203125" style="4" customWidth="1"/>
    <col min="10540" max="10768" width="9.109375" style="4"/>
    <col min="10769" max="10769" width="7.33203125" style="4" customWidth="1"/>
    <col min="10770" max="10770" width="4.33203125" style="4" customWidth="1"/>
    <col min="10771" max="10771" width="26.33203125" style="4" customWidth="1"/>
    <col min="10772" max="10772" width="3.88671875" style="4" customWidth="1"/>
    <col min="10773" max="10773" width="26.33203125" style="4" customWidth="1"/>
    <col min="10774" max="10774" width="9.109375" style="4"/>
    <col min="10775" max="10775" width="3.44140625" style="4" customWidth="1"/>
    <col min="10776" max="10776" width="16.44140625" style="4" customWidth="1"/>
    <col min="10777" max="10778" width="9.109375" style="4"/>
    <col min="10779" max="10779" width="13.44140625" style="4" customWidth="1"/>
    <col min="10780" max="10780" width="9.6640625" style="4" bestFit="1" customWidth="1"/>
    <col min="10781" max="10781" width="9.109375" style="4"/>
    <col min="10782" max="10782" width="3.88671875" style="4" customWidth="1"/>
    <col min="10783" max="10785" width="9.109375" style="4"/>
    <col min="10786" max="10786" width="3.44140625" style="4" customWidth="1"/>
    <col min="10787" max="10787" width="12.5546875" style="4" customWidth="1"/>
    <col min="10788" max="10794" width="9.109375" style="4"/>
    <col min="10795" max="10795" width="4.33203125" style="4" customWidth="1"/>
    <col min="10796" max="11024" width="9.109375" style="4"/>
    <col min="11025" max="11025" width="7.33203125" style="4" customWidth="1"/>
    <col min="11026" max="11026" width="4.33203125" style="4" customWidth="1"/>
    <col min="11027" max="11027" width="26.33203125" style="4" customWidth="1"/>
    <col min="11028" max="11028" width="3.88671875" style="4" customWidth="1"/>
    <col min="11029" max="11029" width="26.33203125" style="4" customWidth="1"/>
    <col min="11030" max="11030" width="9.109375" style="4"/>
    <col min="11031" max="11031" width="3.44140625" style="4" customWidth="1"/>
    <col min="11032" max="11032" width="16.44140625" style="4" customWidth="1"/>
    <col min="11033" max="11034" width="9.109375" style="4"/>
    <col min="11035" max="11035" width="13.44140625" style="4" customWidth="1"/>
    <col min="11036" max="11036" width="9.6640625" style="4" bestFit="1" customWidth="1"/>
    <col min="11037" max="11037" width="9.109375" style="4"/>
    <col min="11038" max="11038" width="3.88671875" style="4" customWidth="1"/>
    <col min="11039" max="11041" width="9.109375" style="4"/>
    <col min="11042" max="11042" width="3.44140625" style="4" customWidth="1"/>
    <col min="11043" max="11043" width="12.5546875" style="4" customWidth="1"/>
    <col min="11044" max="11050" width="9.109375" style="4"/>
    <col min="11051" max="11051" width="4.33203125" style="4" customWidth="1"/>
    <col min="11052" max="11280" width="9.109375" style="4"/>
    <col min="11281" max="11281" width="7.33203125" style="4" customWidth="1"/>
    <col min="11282" max="11282" width="4.33203125" style="4" customWidth="1"/>
    <col min="11283" max="11283" width="26.33203125" style="4" customWidth="1"/>
    <col min="11284" max="11284" width="3.88671875" style="4" customWidth="1"/>
    <col min="11285" max="11285" width="26.33203125" style="4" customWidth="1"/>
    <col min="11286" max="11286" width="9.109375" style="4"/>
    <col min="11287" max="11287" width="3.44140625" style="4" customWidth="1"/>
    <col min="11288" max="11288" width="16.44140625" style="4" customWidth="1"/>
    <col min="11289" max="11290" width="9.109375" style="4"/>
    <col min="11291" max="11291" width="13.44140625" style="4" customWidth="1"/>
    <col min="11292" max="11292" width="9.6640625" style="4" bestFit="1" customWidth="1"/>
    <col min="11293" max="11293" width="9.109375" style="4"/>
    <col min="11294" max="11294" width="3.88671875" style="4" customWidth="1"/>
    <col min="11295" max="11297" width="9.109375" style="4"/>
    <col min="11298" max="11298" width="3.44140625" style="4" customWidth="1"/>
    <col min="11299" max="11299" width="12.5546875" style="4" customWidth="1"/>
    <col min="11300" max="11306" width="9.109375" style="4"/>
    <col min="11307" max="11307" width="4.33203125" style="4" customWidth="1"/>
    <col min="11308" max="11536" width="9.109375" style="4"/>
    <col min="11537" max="11537" width="7.33203125" style="4" customWidth="1"/>
    <col min="11538" max="11538" width="4.33203125" style="4" customWidth="1"/>
    <col min="11539" max="11539" width="26.33203125" style="4" customWidth="1"/>
    <col min="11540" max="11540" width="3.88671875" style="4" customWidth="1"/>
    <col min="11541" max="11541" width="26.33203125" style="4" customWidth="1"/>
    <col min="11542" max="11542" width="9.109375" style="4"/>
    <col min="11543" max="11543" width="3.44140625" style="4" customWidth="1"/>
    <col min="11544" max="11544" width="16.44140625" style="4" customWidth="1"/>
    <col min="11545" max="11546" width="9.109375" style="4"/>
    <col min="11547" max="11547" width="13.44140625" style="4" customWidth="1"/>
    <col min="11548" max="11548" width="9.6640625" style="4" bestFit="1" customWidth="1"/>
    <col min="11549" max="11549" width="9.109375" style="4"/>
    <col min="11550" max="11550" width="3.88671875" style="4" customWidth="1"/>
    <col min="11551" max="11553" width="9.109375" style="4"/>
    <col min="11554" max="11554" width="3.44140625" style="4" customWidth="1"/>
    <col min="11555" max="11555" width="12.5546875" style="4" customWidth="1"/>
    <col min="11556" max="11562" width="9.109375" style="4"/>
    <col min="11563" max="11563" width="4.33203125" style="4" customWidth="1"/>
    <col min="11564" max="11792" width="9.109375" style="4"/>
    <col min="11793" max="11793" width="7.33203125" style="4" customWidth="1"/>
    <col min="11794" max="11794" width="4.33203125" style="4" customWidth="1"/>
    <col min="11795" max="11795" width="26.33203125" style="4" customWidth="1"/>
    <col min="11796" max="11796" width="3.88671875" style="4" customWidth="1"/>
    <col min="11797" max="11797" width="26.33203125" style="4" customWidth="1"/>
    <col min="11798" max="11798" width="9.109375" style="4"/>
    <col min="11799" max="11799" width="3.44140625" style="4" customWidth="1"/>
    <col min="11800" max="11800" width="16.44140625" style="4" customWidth="1"/>
    <col min="11801" max="11802" width="9.109375" style="4"/>
    <col min="11803" max="11803" width="13.44140625" style="4" customWidth="1"/>
    <col min="11804" max="11804" width="9.6640625" style="4" bestFit="1" customWidth="1"/>
    <col min="11805" max="11805" width="9.109375" style="4"/>
    <col min="11806" max="11806" width="3.88671875" style="4" customWidth="1"/>
    <col min="11807" max="11809" width="9.109375" style="4"/>
    <col min="11810" max="11810" width="3.44140625" style="4" customWidth="1"/>
    <col min="11811" max="11811" width="12.5546875" style="4" customWidth="1"/>
    <col min="11812" max="11818" width="9.109375" style="4"/>
    <col min="11819" max="11819" width="4.33203125" style="4" customWidth="1"/>
    <col min="11820" max="12048" width="9.109375" style="4"/>
    <col min="12049" max="12049" width="7.33203125" style="4" customWidth="1"/>
    <col min="12050" max="12050" width="4.33203125" style="4" customWidth="1"/>
    <col min="12051" max="12051" width="26.33203125" style="4" customWidth="1"/>
    <col min="12052" max="12052" width="3.88671875" style="4" customWidth="1"/>
    <col min="12053" max="12053" width="26.33203125" style="4" customWidth="1"/>
    <col min="12054" max="12054" width="9.109375" style="4"/>
    <col min="12055" max="12055" width="3.44140625" style="4" customWidth="1"/>
    <col min="12056" max="12056" width="16.44140625" style="4" customWidth="1"/>
    <col min="12057" max="12058" width="9.109375" style="4"/>
    <col min="12059" max="12059" width="13.44140625" style="4" customWidth="1"/>
    <col min="12060" max="12060" width="9.6640625" style="4" bestFit="1" customWidth="1"/>
    <col min="12061" max="12061" width="9.109375" style="4"/>
    <col min="12062" max="12062" width="3.88671875" style="4" customWidth="1"/>
    <col min="12063" max="12065" width="9.109375" style="4"/>
    <col min="12066" max="12066" width="3.44140625" style="4" customWidth="1"/>
    <col min="12067" max="12067" width="12.5546875" style="4" customWidth="1"/>
    <col min="12068" max="12074" width="9.109375" style="4"/>
    <col min="12075" max="12075" width="4.33203125" style="4" customWidth="1"/>
    <col min="12076" max="12304" width="9.109375" style="4"/>
    <col min="12305" max="12305" width="7.33203125" style="4" customWidth="1"/>
    <col min="12306" max="12306" width="4.33203125" style="4" customWidth="1"/>
    <col min="12307" max="12307" width="26.33203125" style="4" customWidth="1"/>
    <col min="12308" max="12308" width="3.88671875" style="4" customWidth="1"/>
    <col min="12309" max="12309" width="26.33203125" style="4" customWidth="1"/>
    <col min="12310" max="12310" width="9.109375" style="4"/>
    <col min="12311" max="12311" width="3.44140625" style="4" customWidth="1"/>
    <col min="12312" max="12312" width="16.44140625" style="4" customWidth="1"/>
    <col min="12313" max="12314" width="9.109375" style="4"/>
    <col min="12315" max="12315" width="13.44140625" style="4" customWidth="1"/>
    <col min="12316" max="12316" width="9.6640625" style="4" bestFit="1" customWidth="1"/>
    <col min="12317" max="12317" width="9.109375" style="4"/>
    <col min="12318" max="12318" width="3.88671875" style="4" customWidth="1"/>
    <col min="12319" max="12321" width="9.109375" style="4"/>
    <col min="12322" max="12322" width="3.44140625" style="4" customWidth="1"/>
    <col min="12323" max="12323" width="12.5546875" style="4" customWidth="1"/>
    <col min="12324" max="12330" width="9.109375" style="4"/>
    <col min="12331" max="12331" width="4.33203125" style="4" customWidth="1"/>
    <col min="12332" max="12560" width="9.109375" style="4"/>
    <col min="12561" max="12561" width="7.33203125" style="4" customWidth="1"/>
    <col min="12562" max="12562" width="4.33203125" style="4" customWidth="1"/>
    <col min="12563" max="12563" width="26.33203125" style="4" customWidth="1"/>
    <col min="12564" max="12564" width="3.88671875" style="4" customWidth="1"/>
    <col min="12565" max="12565" width="26.33203125" style="4" customWidth="1"/>
    <col min="12566" max="12566" width="9.109375" style="4"/>
    <col min="12567" max="12567" width="3.44140625" style="4" customWidth="1"/>
    <col min="12568" max="12568" width="16.44140625" style="4" customWidth="1"/>
    <col min="12569" max="12570" width="9.109375" style="4"/>
    <col min="12571" max="12571" width="13.44140625" style="4" customWidth="1"/>
    <col min="12572" max="12572" width="9.6640625" style="4" bestFit="1" customWidth="1"/>
    <col min="12573" max="12573" width="9.109375" style="4"/>
    <col min="12574" max="12574" width="3.88671875" style="4" customWidth="1"/>
    <col min="12575" max="12577" width="9.109375" style="4"/>
    <col min="12578" max="12578" width="3.44140625" style="4" customWidth="1"/>
    <col min="12579" max="12579" width="12.5546875" style="4" customWidth="1"/>
    <col min="12580" max="12586" width="9.109375" style="4"/>
    <col min="12587" max="12587" width="4.33203125" style="4" customWidth="1"/>
    <col min="12588" max="12816" width="9.109375" style="4"/>
    <col min="12817" max="12817" width="7.33203125" style="4" customWidth="1"/>
    <col min="12818" max="12818" width="4.33203125" style="4" customWidth="1"/>
    <col min="12819" max="12819" width="26.33203125" style="4" customWidth="1"/>
    <col min="12820" max="12820" width="3.88671875" style="4" customWidth="1"/>
    <col min="12821" max="12821" width="26.33203125" style="4" customWidth="1"/>
    <col min="12822" max="12822" width="9.109375" style="4"/>
    <col min="12823" max="12823" width="3.44140625" style="4" customWidth="1"/>
    <col min="12824" max="12824" width="16.44140625" style="4" customWidth="1"/>
    <col min="12825" max="12826" width="9.109375" style="4"/>
    <col min="12827" max="12827" width="13.44140625" style="4" customWidth="1"/>
    <col min="12828" max="12828" width="9.6640625" style="4" bestFit="1" customWidth="1"/>
    <col min="12829" max="12829" width="9.109375" style="4"/>
    <col min="12830" max="12830" width="3.88671875" style="4" customWidth="1"/>
    <col min="12831" max="12833" width="9.109375" style="4"/>
    <col min="12834" max="12834" width="3.44140625" style="4" customWidth="1"/>
    <col min="12835" max="12835" width="12.5546875" style="4" customWidth="1"/>
    <col min="12836" max="12842" width="9.109375" style="4"/>
    <col min="12843" max="12843" width="4.33203125" style="4" customWidth="1"/>
    <col min="12844" max="13072" width="9.109375" style="4"/>
    <col min="13073" max="13073" width="7.33203125" style="4" customWidth="1"/>
    <col min="13074" max="13074" width="4.33203125" style="4" customWidth="1"/>
    <col min="13075" max="13075" width="26.33203125" style="4" customWidth="1"/>
    <col min="13076" max="13076" width="3.88671875" style="4" customWidth="1"/>
    <col min="13077" max="13077" width="26.33203125" style="4" customWidth="1"/>
    <col min="13078" max="13078" width="9.109375" style="4"/>
    <col min="13079" max="13079" width="3.44140625" style="4" customWidth="1"/>
    <col min="13080" max="13080" width="16.44140625" style="4" customWidth="1"/>
    <col min="13081" max="13082" width="9.109375" style="4"/>
    <col min="13083" max="13083" width="13.44140625" style="4" customWidth="1"/>
    <col min="13084" max="13084" width="9.6640625" style="4" bestFit="1" customWidth="1"/>
    <col min="13085" max="13085" width="9.109375" style="4"/>
    <col min="13086" max="13086" width="3.88671875" style="4" customWidth="1"/>
    <col min="13087" max="13089" width="9.109375" style="4"/>
    <col min="13090" max="13090" width="3.44140625" style="4" customWidth="1"/>
    <col min="13091" max="13091" width="12.5546875" style="4" customWidth="1"/>
    <col min="13092" max="13098" width="9.109375" style="4"/>
    <col min="13099" max="13099" width="4.33203125" style="4" customWidth="1"/>
    <col min="13100" max="13328" width="9.109375" style="4"/>
    <col min="13329" max="13329" width="7.33203125" style="4" customWidth="1"/>
    <col min="13330" max="13330" width="4.33203125" style="4" customWidth="1"/>
    <col min="13331" max="13331" width="26.33203125" style="4" customWidth="1"/>
    <col min="13332" max="13332" width="3.88671875" style="4" customWidth="1"/>
    <col min="13333" max="13333" width="26.33203125" style="4" customWidth="1"/>
    <col min="13334" max="13334" width="9.109375" style="4"/>
    <col min="13335" max="13335" width="3.44140625" style="4" customWidth="1"/>
    <col min="13336" max="13336" width="16.44140625" style="4" customWidth="1"/>
    <col min="13337" max="13338" width="9.109375" style="4"/>
    <col min="13339" max="13339" width="13.44140625" style="4" customWidth="1"/>
    <col min="13340" max="13340" width="9.6640625" style="4" bestFit="1" customWidth="1"/>
    <col min="13341" max="13341" width="9.109375" style="4"/>
    <col min="13342" max="13342" width="3.88671875" style="4" customWidth="1"/>
    <col min="13343" max="13345" width="9.109375" style="4"/>
    <col min="13346" max="13346" width="3.44140625" style="4" customWidth="1"/>
    <col min="13347" max="13347" width="12.5546875" style="4" customWidth="1"/>
    <col min="13348" max="13354" width="9.109375" style="4"/>
    <col min="13355" max="13355" width="4.33203125" style="4" customWidth="1"/>
    <col min="13356" max="13584" width="9.109375" style="4"/>
    <col min="13585" max="13585" width="7.33203125" style="4" customWidth="1"/>
    <col min="13586" max="13586" width="4.33203125" style="4" customWidth="1"/>
    <col min="13587" max="13587" width="26.33203125" style="4" customWidth="1"/>
    <col min="13588" max="13588" width="3.88671875" style="4" customWidth="1"/>
    <col min="13589" max="13589" width="26.33203125" style="4" customWidth="1"/>
    <col min="13590" max="13590" width="9.109375" style="4"/>
    <col min="13591" max="13591" width="3.44140625" style="4" customWidth="1"/>
    <col min="13592" max="13592" width="16.44140625" style="4" customWidth="1"/>
    <col min="13593" max="13594" width="9.109375" style="4"/>
    <col min="13595" max="13595" width="13.44140625" style="4" customWidth="1"/>
    <col min="13596" max="13596" width="9.6640625" style="4" bestFit="1" customWidth="1"/>
    <col min="13597" max="13597" width="9.109375" style="4"/>
    <col min="13598" max="13598" width="3.88671875" style="4" customWidth="1"/>
    <col min="13599" max="13601" width="9.109375" style="4"/>
    <col min="13602" max="13602" width="3.44140625" style="4" customWidth="1"/>
    <col min="13603" max="13603" width="12.5546875" style="4" customWidth="1"/>
    <col min="13604" max="13610" width="9.109375" style="4"/>
    <col min="13611" max="13611" width="4.33203125" style="4" customWidth="1"/>
    <col min="13612" max="13840" width="9.109375" style="4"/>
    <col min="13841" max="13841" width="7.33203125" style="4" customWidth="1"/>
    <col min="13842" max="13842" width="4.33203125" style="4" customWidth="1"/>
    <col min="13843" max="13843" width="26.33203125" style="4" customWidth="1"/>
    <col min="13844" max="13844" width="3.88671875" style="4" customWidth="1"/>
    <col min="13845" max="13845" width="26.33203125" style="4" customWidth="1"/>
    <col min="13846" max="13846" width="9.109375" style="4"/>
    <col min="13847" max="13847" width="3.44140625" style="4" customWidth="1"/>
    <col min="13848" max="13848" width="16.44140625" style="4" customWidth="1"/>
    <col min="13849" max="13850" width="9.109375" style="4"/>
    <col min="13851" max="13851" width="13.44140625" style="4" customWidth="1"/>
    <col min="13852" max="13852" width="9.6640625" style="4" bestFit="1" customWidth="1"/>
    <col min="13853" max="13853" width="9.109375" style="4"/>
    <col min="13854" max="13854" width="3.88671875" style="4" customWidth="1"/>
    <col min="13855" max="13857" width="9.109375" style="4"/>
    <col min="13858" max="13858" width="3.44140625" style="4" customWidth="1"/>
    <col min="13859" max="13859" width="12.5546875" style="4" customWidth="1"/>
    <col min="13860" max="13866" width="9.109375" style="4"/>
    <col min="13867" max="13867" width="4.33203125" style="4" customWidth="1"/>
    <col min="13868" max="14096" width="9.109375" style="4"/>
    <col min="14097" max="14097" width="7.33203125" style="4" customWidth="1"/>
    <col min="14098" max="14098" width="4.33203125" style="4" customWidth="1"/>
    <col min="14099" max="14099" width="26.33203125" style="4" customWidth="1"/>
    <col min="14100" max="14100" width="3.88671875" style="4" customWidth="1"/>
    <col min="14101" max="14101" width="26.33203125" style="4" customWidth="1"/>
    <col min="14102" max="14102" width="9.109375" style="4"/>
    <col min="14103" max="14103" width="3.44140625" style="4" customWidth="1"/>
    <col min="14104" max="14104" width="16.44140625" style="4" customWidth="1"/>
    <col min="14105" max="14106" width="9.109375" style="4"/>
    <col min="14107" max="14107" width="13.44140625" style="4" customWidth="1"/>
    <col min="14108" max="14108" width="9.6640625" style="4" bestFit="1" customWidth="1"/>
    <col min="14109" max="14109" width="9.109375" style="4"/>
    <col min="14110" max="14110" width="3.88671875" style="4" customWidth="1"/>
    <col min="14111" max="14113" width="9.109375" style="4"/>
    <col min="14114" max="14114" width="3.44140625" style="4" customWidth="1"/>
    <col min="14115" max="14115" width="12.5546875" style="4" customWidth="1"/>
    <col min="14116" max="14122" width="9.109375" style="4"/>
    <col min="14123" max="14123" width="4.33203125" style="4" customWidth="1"/>
    <col min="14124" max="14352" width="9.109375" style="4"/>
    <col min="14353" max="14353" width="7.33203125" style="4" customWidth="1"/>
    <col min="14354" max="14354" width="4.33203125" style="4" customWidth="1"/>
    <col min="14355" max="14355" width="26.33203125" style="4" customWidth="1"/>
    <col min="14356" max="14356" width="3.88671875" style="4" customWidth="1"/>
    <col min="14357" max="14357" width="26.33203125" style="4" customWidth="1"/>
    <col min="14358" max="14358" width="9.109375" style="4"/>
    <col min="14359" max="14359" width="3.44140625" style="4" customWidth="1"/>
    <col min="14360" max="14360" width="16.44140625" style="4" customWidth="1"/>
    <col min="14361" max="14362" width="9.109375" style="4"/>
    <col min="14363" max="14363" width="13.44140625" style="4" customWidth="1"/>
    <col min="14364" max="14364" width="9.6640625" style="4" bestFit="1" customWidth="1"/>
    <col min="14365" max="14365" width="9.109375" style="4"/>
    <col min="14366" max="14366" width="3.88671875" style="4" customWidth="1"/>
    <col min="14367" max="14369" width="9.109375" style="4"/>
    <col min="14370" max="14370" width="3.44140625" style="4" customWidth="1"/>
    <col min="14371" max="14371" width="12.5546875" style="4" customWidth="1"/>
    <col min="14372" max="14378" width="9.109375" style="4"/>
    <col min="14379" max="14379" width="4.33203125" style="4" customWidth="1"/>
    <col min="14380" max="14608" width="9.109375" style="4"/>
    <col min="14609" max="14609" width="7.33203125" style="4" customWidth="1"/>
    <col min="14610" max="14610" width="4.33203125" style="4" customWidth="1"/>
    <col min="14611" max="14611" width="26.33203125" style="4" customWidth="1"/>
    <col min="14612" max="14612" width="3.88671875" style="4" customWidth="1"/>
    <col min="14613" max="14613" width="26.33203125" style="4" customWidth="1"/>
    <col min="14614" max="14614" width="9.109375" style="4"/>
    <col min="14615" max="14615" width="3.44140625" style="4" customWidth="1"/>
    <col min="14616" max="14616" width="16.44140625" style="4" customWidth="1"/>
    <col min="14617" max="14618" width="9.109375" style="4"/>
    <col min="14619" max="14619" width="13.44140625" style="4" customWidth="1"/>
    <col min="14620" max="14620" width="9.6640625" style="4" bestFit="1" customWidth="1"/>
    <col min="14621" max="14621" width="9.109375" style="4"/>
    <col min="14622" max="14622" width="3.88671875" style="4" customWidth="1"/>
    <col min="14623" max="14625" width="9.109375" style="4"/>
    <col min="14626" max="14626" width="3.44140625" style="4" customWidth="1"/>
    <col min="14627" max="14627" width="12.5546875" style="4" customWidth="1"/>
    <col min="14628" max="14634" width="9.109375" style="4"/>
    <col min="14635" max="14635" width="4.33203125" style="4" customWidth="1"/>
    <col min="14636" max="14864" width="9.109375" style="4"/>
    <col min="14865" max="14865" width="7.33203125" style="4" customWidth="1"/>
    <col min="14866" max="14866" width="4.33203125" style="4" customWidth="1"/>
    <col min="14867" max="14867" width="26.33203125" style="4" customWidth="1"/>
    <col min="14868" max="14868" width="3.88671875" style="4" customWidth="1"/>
    <col min="14869" max="14869" width="26.33203125" style="4" customWidth="1"/>
    <col min="14870" max="14870" width="9.109375" style="4"/>
    <col min="14871" max="14871" width="3.44140625" style="4" customWidth="1"/>
    <col min="14872" max="14872" width="16.44140625" style="4" customWidth="1"/>
    <col min="14873" max="14874" width="9.109375" style="4"/>
    <col min="14875" max="14875" width="13.44140625" style="4" customWidth="1"/>
    <col min="14876" max="14876" width="9.6640625" style="4" bestFit="1" customWidth="1"/>
    <col min="14877" max="14877" width="9.109375" style="4"/>
    <col min="14878" max="14878" width="3.88671875" style="4" customWidth="1"/>
    <col min="14879" max="14881" width="9.109375" style="4"/>
    <col min="14882" max="14882" width="3.44140625" style="4" customWidth="1"/>
    <col min="14883" max="14883" width="12.5546875" style="4" customWidth="1"/>
    <col min="14884" max="14890" width="9.109375" style="4"/>
    <col min="14891" max="14891" width="4.33203125" style="4" customWidth="1"/>
    <col min="14892" max="15120" width="9.109375" style="4"/>
    <col min="15121" max="15121" width="7.33203125" style="4" customWidth="1"/>
    <col min="15122" max="15122" width="4.33203125" style="4" customWidth="1"/>
    <col min="15123" max="15123" width="26.33203125" style="4" customWidth="1"/>
    <col min="15124" max="15124" width="3.88671875" style="4" customWidth="1"/>
    <col min="15125" max="15125" width="26.33203125" style="4" customWidth="1"/>
    <col min="15126" max="15126" width="9.109375" style="4"/>
    <col min="15127" max="15127" width="3.44140625" style="4" customWidth="1"/>
    <col min="15128" max="15128" width="16.44140625" style="4" customWidth="1"/>
    <col min="15129" max="15130" width="9.109375" style="4"/>
    <col min="15131" max="15131" width="13.44140625" style="4" customWidth="1"/>
    <col min="15132" max="15132" width="9.6640625" style="4" bestFit="1" customWidth="1"/>
    <col min="15133" max="15133" width="9.109375" style="4"/>
    <col min="15134" max="15134" width="3.88671875" style="4" customWidth="1"/>
    <col min="15135" max="15137" width="9.109375" style="4"/>
    <col min="15138" max="15138" width="3.44140625" style="4" customWidth="1"/>
    <col min="15139" max="15139" width="12.5546875" style="4" customWidth="1"/>
    <col min="15140" max="15146" width="9.109375" style="4"/>
    <col min="15147" max="15147" width="4.33203125" style="4" customWidth="1"/>
    <col min="15148" max="15376" width="9.109375" style="4"/>
    <col min="15377" max="15377" width="7.33203125" style="4" customWidth="1"/>
    <col min="15378" max="15378" width="4.33203125" style="4" customWidth="1"/>
    <col min="15379" max="15379" width="26.33203125" style="4" customWidth="1"/>
    <col min="15380" max="15380" width="3.88671875" style="4" customWidth="1"/>
    <col min="15381" max="15381" width="26.33203125" style="4" customWidth="1"/>
    <col min="15382" max="15382" width="9.109375" style="4"/>
    <col min="15383" max="15383" width="3.44140625" style="4" customWidth="1"/>
    <col min="15384" max="15384" width="16.44140625" style="4" customWidth="1"/>
    <col min="15385" max="15386" width="9.109375" style="4"/>
    <col min="15387" max="15387" width="13.44140625" style="4" customWidth="1"/>
    <col min="15388" max="15388" width="9.6640625" style="4" bestFit="1" customWidth="1"/>
    <col min="15389" max="15389" width="9.109375" style="4"/>
    <col min="15390" max="15390" width="3.88671875" style="4" customWidth="1"/>
    <col min="15391" max="15393" width="9.109375" style="4"/>
    <col min="15394" max="15394" width="3.44140625" style="4" customWidth="1"/>
    <col min="15395" max="15395" width="12.5546875" style="4" customWidth="1"/>
    <col min="15396" max="15402" width="9.109375" style="4"/>
    <col min="15403" max="15403" width="4.33203125" style="4" customWidth="1"/>
    <col min="15404" max="15632" width="9.109375" style="4"/>
    <col min="15633" max="15633" width="7.33203125" style="4" customWidth="1"/>
    <col min="15634" max="15634" width="4.33203125" style="4" customWidth="1"/>
    <col min="15635" max="15635" width="26.33203125" style="4" customWidth="1"/>
    <col min="15636" max="15636" width="3.88671875" style="4" customWidth="1"/>
    <col min="15637" max="15637" width="26.33203125" style="4" customWidth="1"/>
    <col min="15638" max="15638" width="9.109375" style="4"/>
    <col min="15639" max="15639" width="3.44140625" style="4" customWidth="1"/>
    <col min="15640" max="15640" width="16.44140625" style="4" customWidth="1"/>
    <col min="15641" max="15642" width="9.109375" style="4"/>
    <col min="15643" max="15643" width="13.44140625" style="4" customWidth="1"/>
    <col min="15644" max="15644" width="9.6640625" style="4" bestFit="1" customWidth="1"/>
    <col min="15645" max="15645" width="9.109375" style="4"/>
    <col min="15646" max="15646" width="3.88671875" style="4" customWidth="1"/>
    <col min="15647" max="15649" width="9.109375" style="4"/>
    <col min="15650" max="15650" width="3.44140625" style="4" customWidth="1"/>
    <col min="15651" max="15651" width="12.5546875" style="4" customWidth="1"/>
    <col min="15652" max="15658" width="9.109375" style="4"/>
    <col min="15659" max="15659" width="4.33203125" style="4" customWidth="1"/>
    <col min="15660" max="15888" width="9.109375" style="4"/>
    <col min="15889" max="15889" width="7.33203125" style="4" customWidth="1"/>
    <col min="15890" max="15890" width="4.33203125" style="4" customWidth="1"/>
    <col min="15891" max="15891" width="26.33203125" style="4" customWidth="1"/>
    <col min="15892" max="15892" width="3.88671875" style="4" customWidth="1"/>
    <col min="15893" max="15893" width="26.33203125" style="4" customWidth="1"/>
    <col min="15894" max="15894" width="9.109375" style="4"/>
    <col min="15895" max="15895" width="3.44140625" style="4" customWidth="1"/>
    <col min="15896" max="15896" width="16.44140625" style="4" customWidth="1"/>
    <col min="15897" max="15898" width="9.109375" style="4"/>
    <col min="15899" max="15899" width="13.44140625" style="4" customWidth="1"/>
    <col min="15900" max="15900" width="9.6640625" style="4" bestFit="1" customWidth="1"/>
    <col min="15901" max="15901" width="9.109375" style="4"/>
    <col min="15902" max="15902" width="3.88671875" style="4" customWidth="1"/>
    <col min="15903" max="15905" width="9.109375" style="4"/>
    <col min="15906" max="15906" width="3.44140625" style="4" customWidth="1"/>
    <col min="15907" max="15907" width="12.5546875" style="4" customWidth="1"/>
    <col min="15908" max="15914" width="9.109375" style="4"/>
    <col min="15915" max="15915" width="4.33203125" style="4" customWidth="1"/>
    <col min="15916" max="16144" width="9.109375" style="4"/>
    <col min="16145" max="16145" width="7.33203125" style="4" customWidth="1"/>
    <col min="16146" max="16146" width="4.33203125" style="4" customWidth="1"/>
    <col min="16147" max="16147" width="26.33203125" style="4" customWidth="1"/>
    <col min="16148" max="16148" width="3.88671875" style="4" customWidth="1"/>
    <col min="16149" max="16149" width="26.33203125" style="4" customWidth="1"/>
    <col min="16150" max="16150" width="9.109375" style="4"/>
    <col min="16151" max="16151" width="3.44140625" style="4" customWidth="1"/>
    <col min="16152" max="16152" width="16.44140625" style="4" customWidth="1"/>
    <col min="16153" max="16154" width="9.109375" style="4"/>
    <col min="16155" max="16155" width="13.44140625" style="4" customWidth="1"/>
    <col min="16156" max="16156" width="9.6640625" style="4" bestFit="1" customWidth="1"/>
    <col min="16157" max="16157" width="9.109375" style="4"/>
    <col min="16158" max="16158" width="3.88671875" style="4" customWidth="1"/>
    <col min="16159" max="16161" width="9.109375" style="4"/>
    <col min="16162" max="16162" width="3.44140625" style="4" customWidth="1"/>
    <col min="16163" max="16163" width="12.5546875" style="4" customWidth="1"/>
    <col min="16164" max="16170" width="9.109375" style="4"/>
    <col min="16171" max="16171" width="4.33203125" style="4" customWidth="1"/>
    <col min="16172" max="16384" width="9.109375" style="4"/>
  </cols>
  <sheetData>
    <row r="1" spans="1:48">
      <c r="A1" s="123" t="s">
        <v>554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318"/>
      <c r="Q1" s="318"/>
      <c r="R1" s="123"/>
      <c r="S1" s="123"/>
      <c r="T1" s="583"/>
      <c r="U1" s="565"/>
      <c r="V1" s="565"/>
      <c r="W1" s="609"/>
      <c r="X1" s="655"/>
      <c r="Y1" s="676"/>
      <c r="Z1" s="374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720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</row>
    <row r="2" spans="1:48" hidden="1">
      <c r="A2" s="123" t="s">
        <v>553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318"/>
      <c r="Q2" s="318"/>
      <c r="R2" s="123"/>
      <c r="S2" s="123"/>
      <c r="T2" s="583"/>
      <c r="U2" s="565"/>
      <c r="V2" s="565"/>
      <c r="W2" s="609"/>
      <c r="X2" s="655"/>
      <c r="Y2" s="676"/>
      <c r="Z2" s="374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720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</row>
    <row r="3" spans="1:48" hidden="1">
      <c r="A3" s="123" t="s">
        <v>552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318"/>
      <c r="Q3" s="318"/>
      <c r="R3" s="123"/>
      <c r="S3" s="123"/>
      <c r="T3" s="583"/>
      <c r="U3" s="565"/>
      <c r="V3" s="565"/>
      <c r="W3" s="609"/>
      <c r="X3" s="655"/>
      <c r="Y3" s="676"/>
      <c r="Z3" s="374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720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</row>
    <row r="4" spans="1:48" hidden="1">
      <c r="A4" s="123" t="s">
        <v>551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318"/>
      <c r="Q4" s="318"/>
      <c r="R4" s="123"/>
      <c r="S4" s="123"/>
      <c r="T4" s="583"/>
      <c r="U4" s="565"/>
      <c r="V4" s="565"/>
      <c r="W4" s="609"/>
      <c r="X4" s="655"/>
      <c r="Y4" s="676"/>
      <c r="Z4" s="374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720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</row>
    <row r="5" spans="1:48" hidden="1">
      <c r="A5" s="123" t="s">
        <v>550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318"/>
      <c r="Q5" s="318"/>
      <c r="R5" s="123"/>
      <c r="S5" s="123"/>
      <c r="T5" s="583"/>
      <c r="U5" s="565"/>
      <c r="V5" s="565"/>
      <c r="W5" s="609"/>
      <c r="X5" s="655"/>
      <c r="Y5" s="676"/>
      <c r="Z5" s="374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720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</row>
    <row r="6" spans="1:48" ht="23.4" hidden="1">
      <c r="A6" s="956" t="s">
        <v>549</v>
      </c>
      <c r="B6" s="956"/>
      <c r="C6" s="956"/>
      <c r="D6" s="956"/>
      <c r="E6" s="956"/>
      <c r="F6" s="956"/>
      <c r="G6" s="956"/>
      <c r="H6" s="956"/>
      <c r="I6" s="956"/>
      <c r="J6" s="956"/>
      <c r="K6" s="956"/>
      <c r="L6" s="956"/>
      <c r="M6" s="956"/>
      <c r="N6" s="956"/>
      <c r="O6" s="956"/>
      <c r="P6" s="956"/>
      <c r="Q6" s="956"/>
      <c r="R6" s="956"/>
      <c r="S6" s="956"/>
      <c r="T6" s="956"/>
      <c r="U6" s="956"/>
      <c r="V6" s="956"/>
      <c r="W6" s="956"/>
      <c r="X6" s="956"/>
      <c r="Y6" s="956"/>
      <c r="Z6" s="956"/>
      <c r="AA6" s="956"/>
      <c r="AB6" s="956"/>
      <c r="AC6" s="956"/>
      <c r="AD6" s="956"/>
      <c r="AE6" s="956"/>
      <c r="AF6" s="956"/>
      <c r="AG6" s="956"/>
      <c r="AH6" s="956"/>
      <c r="AI6" s="956"/>
      <c r="AJ6" s="956"/>
      <c r="AK6" s="956"/>
      <c r="AL6" s="956"/>
      <c r="AM6" s="956"/>
      <c r="AN6" s="956"/>
      <c r="AO6" s="956"/>
      <c r="AP6" s="956"/>
      <c r="AQ6" s="956"/>
      <c r="AR6" s="956"/>
      <c r="AS6" s="956"/>
      <c r="AT6" s="956"/>
      <c r="AU6" s="956"/>
      <c r="AV6" s="956"/>
    </row>
    <row r="7" spans="1:48" ht="23.4" hidden="1">
      <c r="A7" s="956" t="s">
        <v>804</v>
      </c>
      <c r="B7" s="956"/>
      <c r="C7" s="956"/>
      <c r="D7" s="956"/>
      <c r="E7" s="956"/>
      <c r="F7" s="956"/>
      <c r="G7" s="956"/>
      <c r="H7" s="956"/>
      <c r="I7" s="956"/>
      <c r="J7" s="956"/>
      <c r="K7" s="956"/>
      <c r="L7" s="956"/>
      <c r="M7" s="956"/>
      <c r="N7" s="956"/>
      <c r="O7" s="956"/>
      <c r="P7" s="956"/>
      <c r="Q7" s="956"/>
      <c r="R7" s="956"/>
      <c r="S7" s="956"/>
      <c r="T7" s="956"/>
      <c r="U7" s="956"/>
      <c r="V7" s="956"/>
      <c r="W7" s="956"/>
      <c r="X7" s="956"/>
      <c r="Y7" s="956"/>
      <c r="Z7" s="956"/>
      <c r="AA7" s="956"/>
      <c r="AB7" s="956"/>
      <c r="AC7" s="956"/>
      <c r="AD7" s="956"/>
      <c r="AE7" s="956"/>
      <c r="AF7" s="956"/>
      <c r="AG7" s="956"/>
      <c r="AH7" s="956"/>
      <c r="AI7" s="956"/>
      <c r="AJ7" s="956"/>
      <c r="AK7" s="956"/>
      <c r="AL7" s="956"/>
      <c r="AM7" s="956"/>
      <c r="AN7" s="956"/>
      <c r="AO7" s="956"/>
      <c r="AP7" s="956"/>
      <c r="AQ7" s="956"/>
      <c r="AR7" s="956"/>
      <c r="AS7" s="956"/>
      <c r="AT7" s="956"/>
      <c r="AU7" s="956"/>
      <c r="AV7" s="956"/>
    </row>
    <row r="8" spans="1:48" ht="17.399999999999999" hidden="1">
      <c r="A8" s="915" t="s">
        <v>1810</v>
      </c>
      <c r="B8" s="915"/>
      <c r="C8" s="915"/>
      <c r="D8" s="915"/>
      <c r="E8" s="915"/>
      <c r="F8" s="915"/>
      <c r="G8" s="915"/>
      <c r="H8" s="915"/>
      <c r="I8" s="915"/>
      <c r="J8" s="915"/>
      <c r="K8" s="915"/>
      <c r="L8" s="915"/>
      <c r="M8" s="915"/>
      <c r="N8" s="915"/>
      <c r="O8" s="915"/>
      <c r="P8" s="915"/>
      <c r="Q8" s="915"/>
      <c r="R8" s="915"/>
      <c r="S8" s="915"/>
      <c r="T8" s="915"/>
      <c r="U8" s="915"/>
      <c r="V8" s="915"/>
      <c r="W8" s="915"/>
      <c r="X8" s="915"/>
      <c r="Y8" s="915"/>
      <c r="Z8" s="915"/>
      <c r="AA8" s="915"/>
      <c r="AB8" s="915"/>
      <c r="AC8" s="915"/>
      <c r="AD8" s="915"/>
      <c r="AE8" s="915"/>
      <c r="AF8" s="915"/>
      <c r="AG8" s="915"/>
      <c r="AH8" s="915"/>
      <c r="AI8" s="915"/>
      <c r="AJ8" s="915"/>
      <c r="AK8" s="915"/>
      <c r="AL8" s="915"/>
      <c r="AM8" s="915"/>
      <c r="AN8" s="915"/>
      <c r="AO8" s="915"/>
      <c r="AP8" s="915"/>
      <c r="AQ8" s="915"/>
      <c r="AR8" s="915"/>
      <c r="AS8" s="915"/>
      <c r="AT8" s="915"/>
      <c r="AU8" s="915"/>
      <c r="AV8" s="915"/>
    </row>
    <row r="9" spans="1:48" ht="17.399999999999999" hidden="1">
      <c r="A9" s="915" t="s">
        <v>1807</v>
      </c>
      <c r="B9" s="915"/>
      <c r="C9" s="915"/>
      <c r="D9" s="915"/>
      <c r="E9" s="915"/>
      <c r="F9" s="915"/>
      <c r="G9" s="915"/>
      <c r="H9" s="915"/>
      <c r="I9" s="915"/>
      <c r="J9" s="915"/>
      <c r="K9" s="915"/>
      <c r="L9" s="915"/>
      <c r="M9" s="915"/>
      <c r="N9" s="915"/>
      <c r="O9" s="915"/>
      <c r="P9" s="915"/>
      <c r="Q9" s="915"/>
      <c r="R9" s="915"/>
      <c r="S9" s="915"/>
      <c r="T9" s="915"/>
      <c r="U9" s="915"/>
      <c r="V9" s="915"/>
      <c r="W9" s="915"/>
      <c r="X9" s="915"/>
      <c r="Y9" s="915"/>
      <c r="Z9" s="915"/>
      <c r="AA9" s="915"/>
      <c r="AB9" s="915"/>
      <c r="AC9" s="915"/>
      <c r="AD9" s="915"/>
      <c r="AE9" s="915"/>
      <c r="AF9" s="915"/>
      <c r="AG9" s="915"/>
      <c r="AH9" s="915"/>
      <c r="AI9" s="915"/>
      <c r="AJ9" s="915"/>
      <c r="AK9" s="915"/>
      <c r="AL9" s="915"/>
      <c r="AM9" s="915"/>
      <c r="AN9" s="915"/>
      <c r="AO9" s="915"/>
      <c r="AP9" s="915"/>
      <c r="AQ9" s="915"/>
      <c r="AR9" s="915"/>
      <c r="AS9" s="915"/>
      <c r="AT9" s="915"/>
      <c r="AU9" s="915"/>
      <c r="AV9" s="915"/>
    </row>
    <row r="10" spans="1:48" hidden="1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318"/>
      <c r="Q10" s="318"/>
      <c r="R10" s="123"/>
      <c r="S10" s="123"/>
      <c r="T10" s="583"/>
      <c r="U10" s="565"/>
      <c r="V10" s="565"/>
      <c r="W10" s="609"/>
      <c r="X10" s="655"/>
      <c r="Y10" s="676"/>
      <c r="Z10" s="374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720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</row>
    <row r="11" spans="1:48" ht="42" hidden="1" customHeight="1">
      <c r="A11" s="957" t="s">
        <v>547</v>
      </c>
      <c r="B11" s="957" t="s">
        <v>546</v>
      </c>
      <c r="C11" s="957"/>
      <c r="D11" s="957"/>
      <c r="E11" s="957"/>
      <c r="F11" s="957" t="s">
        <v>545</v>
      </c>
      <c r="G11" s="957"/>
      <c r="H11" s="957"/>
      <c r="I11" s="957"/>
      <c r="J11" s="957"/>
      <c r="K11" s="957"/>
      <c r="L11" s="957" t="s">
        <v>544</v>
      </c>
      <c r="M11" s="957"/>
      <c r="N11" s="957" t="s">
        <v>543</v>
      </c>
      <c r="O11" s="957"/>
      <c r="P11" s="957"/>
      <c r="Q11" s="957"/>
      <c r="R11" s="957" t="s">
        <v>542</v>
      </c>
      <c r="S11" s="957"/>
      <c r="T11" s="957"/>
      <c r="U11" s="957" t="s">
        <v>541</v>
      </c>
      <c r="V11" s="957"/>
      <c r="W11" s="957"/>
      <c r="X11" s="957"/>
      <c r="Y11" s="957"/>
      <c r="Z11" s="957"/>
      <c r="AA11" s="957" t="s">
        <v>540</v>
      </c>
      <c r="AB11" s="957"/>
      <c r="AC11" s="957"/>
      <c r="AD11" s="957" t="s">
        <v>539</v>
      </c>
      <c r="AE11" s="957" t="s">
        <v>538</v>
      </c>
      <c r="AF11" s="908" t="s">
        <v>1813</v>
      </c>
      <c r="AG11" s="913"/>
      <c r="AH11" s="913"/>
      <c r="AI11" s="913"/>
      <c r="AJ11" s="913"/>
      <c r="AK11" s="913"/>
      <c r="AL11" s="913"/>
      <c r="AM11" s="913"/>
      <c r="AN11" s="913"/>
      <c r="AO11" s="913"/>
      <c r="AP11" s="913"/>
      <c r="AQ11" s="913"/>
      <c r="AR11" s="913"/>
      <c r="AS11" s="913"/>
      <c r="AT11" s="909"/>
      <c r="AU11" s="910" t="s">
        <v>1828</v>
      </c>
      <c r="AV11" s="957" t="s">
        <v>537</v>
      </c>
    </row>
    <row r="12" spans="1:48" ht="27" hidden="1" customHeight="1">
      <c r="A12" s="957"/>
      <c r="B12" s="957" t="s">
        <v>536</v>
      </c>
      <c r="C12" s="957"/>
      <c r="D12" s="957" t="s">
        <v>535</v>
      </c>
      <c r="E12" s="957"/>
      <c r="F12" s="957" t="s">
        <v>534</v>
      </c>
      <c r="G12" s="957" t="s">
        <v>533</v>
      </c>
      <c r="H12" s="957"/>
      <c r="I12" s="957" t="s">
        <v>532</v>
      </c>
      <c r="J12" s="957" t="s">
        <v>531</v>
      </c>
      <c r="K12" s="957" t="s">
        <v>530</v>
      </c>
      <c r="L12" s="957" t="s">
        <v>529</v>
      </c>
      <c r="M12" s="957" t="s">
        <v>528</v>
      </c>
      <c r="N12" s="957" t="s">
        <v>525</v>
      </c>
      <c r="O12" s="957"/>
      <c r="P12" s="957" t="s">
        <v>524</v>
      </c>
      <c r="Q12" s="957" t="s">
        <v>528</v>
      </c>
      <c r="R12" s="958" t="s">
        <v>522</v>
      </c>
      <c r="S12" s="959"/>
      <c r="T12" s="962" t="s">
        <v>527</v>
      </c>
      <c r="U12" s="957" t="s">
        <v>526</v>
      </c>
      <c r="V12" s="957"/>
      <c r="W12" s="957"/>
      <c r="X12" s="957"/>
      <c r="Y12" s="957"/>
      <c r="Z12" s="964" t="s">
        <v>524</v>
      </c>
      <c r="AA12" s="957" t="s">
        <v>525</v>
      </c>
      <c r="AB12" s="957"/>
      <c r="AC12" s="957" t="s">
        <v>524</v>
      </c>
      <c r="AD12" s="957"/>
      <c r="AE12" s="957"/>
      <c r="AF12" s="908" t="s">
        <v>1814</v>
      </c>
      <c r="AG12" s="913"/>
      <c r="AH12" s="913"/>
      <c r="AI12" s="913"/>
      <c r="AJ12" s="913"/>
      <c r="AK12" s="913"/>
      <c r="AL12" s="913"/>
      <c r="AM12" s="913"/>
      <c r="AN12" s="909"/>
      <c r="AO12" s="908" t="s">
        <v>1818</v>
      </c>
      <c r="AP12" s="913"/>
      <c r="AQ12" s="913"/>
      <c r="AR12" s="913"/>
      <c r="AS12" s="909"/>
      <c r="AT12" s="492"/>
      <c r="AU12" s="911"/>
      <c r="AV12" s="957"/>
    </row>
    <row r="13" spans="1:48" ht="28.5" hidden="1" customHeight="1">
      <c r="A13" s="957"/>
      <c r="B13" s="957"/>
      <c r="C13" s="957"/>
      <c r="D13" s="962"/>
      <c r="E13" s="962"/>
      <c r="F13" s="957"/>
      <c r="G13" s="962"/>
      <c r="H13" s="962"/>
      <c r="I13" s="957"/>
      <c r="J13" s="957"/>
      <c r="K13" s="957"/>
      <c r="L13" s="957"/>
      <c r="M13" s="957"/>
      <c r="N13" s="957"/>
      <c r="O13" s="957"/>
      <c r="P13" s="957"/>
      <c r="Q13" s="957"/>
      <c r="R13" s="960"/>
      <c r="S13" s="961"/>
      <c r="T13" s="963"/>
      <c r="U13" s="516" t="s">
        <v>523</v>
      </c>
      <c r="V13" s="516" t="s">
        <v>522</v>
      </c>
      <c r="W13" s="516" t="s">
        <v>521</v>
      </c>
      <c r="X13" s="656" t="s">
        <v>520</v>
      </c>
      <c r="Y13" s="677" t="s">
        <v>519</v>
      </c>
      <c r="Z13" s="964"/>
      <c r="AA13" s="957"/>
      <c r="AB13" s="957"/>
      <c r="AC13" s="957"/>
      <c r="AD13" s="957"/>
      <c r="AE13" s="957"/>
      <c r="AF13" s="908" t="s">
        <v>545</v>
      </c>
      <c r="AG13" s="909"/>
      <c r="AH13" s="908" t="s">
        <v>543</v>
      </c>
      <c r="AI13" s="913"/>
      <c r="AJ13" s="909"/>
      <c r="AK13" s="908" t="s">
        <v>542</v>
      </c>
      <c r="AL13" s="913"/>
      <c r="AM13" s="909"/>
      <c r="AN13" s="910" t="s">
        <v>1819</v>
      </c>
      <c r="AO13" s="908" t="s">
        <v>1820</v>
      </c>
      <c r="AP13" s="909"/>
      <c r="AQ13" s="908" t="s">
        <v>1823</v>
      </c>
      <c r="AR13" s="909"/>
      <c r="AS13" s="494" t="s">
        <v>1826</v>
      </c>
      <c r="AT13" s="494" t="s">
        <v>1827</v>
      </c>
      <c r="AU13" s="911"/>
      <c r="AV13" s="957"/>
    </row>
    <row r="14" spans="1:48" hidden="1">
      <c r="A14" s="319">
        <v>1</v>
      </c>
      <c r="B14" s="321"/>
      <c r="C14" s="320">
        <v>2</v>
      </c>
      <c r="D14" s="321"/>
      <c r="E14" s="320">
        <v>3</v>
      </c>
      <c r="F14" s="322">
        <v>4</v>
      </c>
      <c r="G14" s="321"/>
      <c r="H14" s="320">
        <v>5</v>
      </c>
      <c r="I14" s="320">
        <v>6</v>
      </c>
      <c r="J14" s="319">
        <v>7</v>
      </c>
      <c r="K14" s="319">
        <v>8</v>
      </c>
      <c r="L14" s="319">
        <v>9</v>
      </c>
      <c r="M14" s="319">
        <v>10</v>
      </c>
      <c r="N14" s="965">
        <v>11</v>
      </c>
      <c r="O14" s="965"/>
      <c r="P14" s="319">
        <v>12</v>
      </c>
      <c r="Q14" s="319">
        <v>13</v>
      </c>
      <c r="R14" s="965">
        <v>14</v>
      </c>
      <c r="S14" s="965"/>
      <c r="T14" s="566">
        <v>15</v>
      </c>
      <c r="U14" s="566">
        <v>16</v>
      </c>
      <c r="V14" s="566">
        <v>17</v>
      </c>
      <c r="W14" s="566">
        <v>18</v>
      </c>
      <c r="X14" s="657">
        <v>19</v>
      </c>
      <c r="Y14" s="678">
        <v>20</v>
      </c>
      <c r="Z14" s="430">
        <v>21</v>
      </c>
      <c r="AA14" s="965">
        <v>22</v>
      </c>
      <c r="AB14" s="965"/>
      <c r="AC14" s="319">
        <v>23</v>
      </c>
      <c r="AD14" s="319">
        <v>24</v>
      </c>
      <c r="AE14" s="319">
        <v>25</v>
      </c>
      <c r="AF14" s="491" t="s">
        <v>1815</v>
      </c>
      <c r="AG14" s="491" t="s">
        <v>1816</v>
      </c>
      <c r="AH14" s="491" t="s">
        <v>1815</v>
      </c>
      <c r="AI14" s="491" t="s">
        <v>1817</v>
      </c>
      <c r="AJ14" s="491" t="s">
        <v>1816</v>
      </c>
      <c r="AK14" s="717" t="s">
        <v>1829</v>
      </c>
      <c r="AL14" s="518" t="s">
        <v>1817</v>
      </c>
      <c r="AM14" s="491" t="s">
        <v>1816</v>
      </c>
      <c r="AN14" s="912"/>
      <c r="AO14" s="491" t="s">
        <v>1821</v>
      </c>
      <c r="AP14" s="491" t="s">
        <v>1822</v>
      </c>
      <c r="AQ14" s="491" t="s">
        <v>1824</v>
      </c>
      <c r="AR14" s="491" t="s">
        <v>1825</v>
      </c>
      <c r="AS14" s="491"/>
      <c r="AT14" s="491"/>
      <c r="AU14" s="912"/>
      <c r="AV14" s="319">
        <v>26</v>
      </c>
    </row>
    <row r="15" spans="1:48" ht="20.100000000000001" hidden="1" customHeight="1">
      <c r="A15" s="966"/>
      <c r="B15" s="176" t="s">
        <v>25</v>
      </c>
      <c r="C15" s="170" t="s">
        <v>518</v>
      </c>
      <c r="D15" s="207" t="s">
        <v>25</v>
      </c>
      <c r="E15" s="184" t="s">
        <v>518</v>
      </c>
      <c r="F15" s="966"/>
      <c r="G15" s="207" t="s">
        <v>25</v>
      </c>
      <c r="H15" s="184" t="s">
        <v>721</v>
      </c>
      <c r="I15" s="174"/>
      <c r="J15" s="969" t="s">
        <v>720</v>
      </c>
      <c r="K15" s="969" t="s">
        <v>515</v>
      </c>
      <c r="L15" s="972"/>
      <c r="M15" s="975"/>
      <c r="N15" s="253" t="s">
        <v>25</v>
      </c>
      <c r="O15" s="296" t="s">
        <v>514</v>
      </c>
      <c r="P15" s="174"/>
      <c r="Q15" s="175"/>
      <c r="R15" s="170" t="s">
        <v>25</v>
      </c>
      <c r="S15" s="170" t="s">
        <v>24</v>
      </c>
      <c r="T15" s="506"/>
      <c r="U15" s="168"/>
      <c r="V15" s="169"/>
      <c r="W15" s="610"/>
      <c r="X15" s="653"/>
      <c r="Y15" s="679"/>
      <c r="Z15" s="419"/>
      <c r="AA15" s="207" t="s">
        <v>25</v>
      </c>
      <c r="AB15" s="296" t="s">
        <v>513</v>
      </c>
      <c r="AC15" s="168"/>
      <c r="AD15" s="995"/>
      <c r="AE15" s="966"/>
      <c r="AF15" s="506"/>
      <c r="AG15" s="506"/>
      <c r="AH15" s="506"/>
      <c r="AI15" s="506"/>
      <c r="AJ15" s="506"/>
      <c r="AK15" s="722"/>
      <c r="AL15" s="506"/>
      <c r="AM15" s="506"/>
      <c r="AN15" s="506"/>
      <c r="AO15" s="506"/>
      <c r="AP15" s="506"/>
      <c r="AQ15" s="506"/>
      <c r="AR15" s="506"/>
      <c r="AS15" s="506"/>
      <c r="AT15" s="506"/>
      <c r="AU15" s="506"/>
      <c r="AV15" s="966"/>
    </row>
    <row r="16" spans="1:48" ht="20.100000000000001" hidden="1" customHeight="1">
      <c r="A16" s="967"/>
      <c r="B16" s="153" t="s">
        <v>16</v>
      </c>
      <c r="C16" s="163" t="s">
        <v>512</v>
      </c>
      <c r="D16" s="317" t="s">
        <v>16</v>
      </c>
      <c r="E16" s="162" t="s">
        <v>512</v>
      </c>
      <c r="F16" s="967"/>
      <c r="G16" s="317" t="s">
        <v>16</v>
      </c>
      <c r="H16" s="164" t="s">
        <v>511</v>
      </c>
      <c r="I16" s="151"/>
      <c r="J16" s="970"/>
      <c r="K16" s="970"/>
      <c r="L16" s="973"/>
      <c r="M16" s="976"/>
      <c r="N16" s="239" t="s">
        <v>16</v>
      </c>
      <c r="O16" s="164" t="s">
        <v>510</v>
      </c>
      <c r="P16" s="151"/>
      <c r="Q16" s="152"/>
      <c r="R16" s="147" t="s">
        <v>16</v>
      </c>
      <c r="S16" s="147" t="s">
        <v>15</v>
      </c>
      <c r="T16" s="507"/>
      <c r="U16" s="145"/>
      <c r="V16" s="146"/>
      <c r="W16" s="611"/>
      <c r="X16" s="636"/>
      <c r="Y16" s="680"/>
      <c r="Z16" s="401"/>
      <c r="AA16" s="157" t="s">
        <v>16</v>
      </c>
      <c r="AB16" s="156" t="s">
        <v>509</v>
      </c>
      <c r="AC16" s="145"/>
      <c r="AD16" s="986"/>
      <c r="AE16" s="967"/>
      <c r="AF16" s="507"/>
      <c r="AG16" s="507"/>
      <c r="AH16" s="507"/>
      <c r="AI16" s="507"/>
      <c r="AJ16" s="507"/>
      <c r="AK16" s="721"/>
      <c r="AL16" s="507"/>
      <c r="AM16" s="507"/>
      <c r="AN16" s="507"/>
      <c r="AO16" s="507"/>
      <c r="AP16" s="507"/>
      <c r="AQ16" s="507"/>
      <c r="AR16" s="507"/>
      <c r="AS16" s="507"/>
      <c r="AT16" s="507"/>
      <c r="AU16" s="507"/>
      <c r="AV16" s="967"/>
    </row>
    <row r="17" spans="1:48" ht="20.100000000000001" hidden="1" customHeight="1">
      <c r="A17" s="967"/>
      <c r="B17" s="153" t="s">
        <v>18</v>
      </c>
      <c r="C17" s="147" t="s">
        <v>508</v>
      </c>
      <c r="D17" s="153" t="s">
        <v>18</v>
      </c>
      <c r="E17" s="162" t="s">
        <v>508</v>
      </c>
      <c r="F17" s="967"/>
      <c r="G17" s="153" t="s">
        <v>18</v>
      </c>
      <c r="H17" s="162" t="s">
        <v>507</v>
      </c>
      <c r="I17" s="151"/>
      <c r="J17" s="970"/>
      <c r="K17" s="970"/>
      <c r="L17" s="973"/>
      <c r="M17" s="976"/>
      <c r="N17" s="239" t="s">
        <v>18</v>
      </c>
      <c r="O17" s="164" t="s">
        <v>506</v>
      </c>
      <c r="P17" s="151"/>
      <c r="Q17" s="152"/>
      <c r="R17" s="147"/>
      <c r="S17" s="147"/>
      <c r="T17" s="967"/>
      <c r="U17" s="507"/>
      <c r="V17" s="513"/>
      <c r="W17" s="611"/>
      <c r="X17" s="636"/>
      <c r="Y17" s="680"/>
      <c r="Z17" s="401"/>
      <c r="AA17" s="153" t="s">
        <v>18</v>
      </c>
      <c r="AB17" s="164" t="s">
        <v>505</v>
      </c>
      <c r="AC17" s="145"/>
      <c r="AD17" s="986"/>
      <c r="AE17" s="967"/>
      <c r="AF17" s="507"/>
      <c r="AG17" s="507"/>
      <c r="AH17" s="507"/>
      <c r="AI17" s="507"/>
      <c r="AJ17" s="507"/>
      <c r="AK17" s="721"/>
      <c r="AL17" s="507"/>
      <c r="AM17" s="507"/>
      <c r="AN17" s="507"/>
      <c r="AO17" s="507"/>
      <c r="AP17" s="507"/>
      <c r="AQ17" s="507"/>
      <c r="AR17" s="507"/>
      <c r="AS17" s="507"/>
      <c r="AT17" s="507"/>
      <c r="AU17" s="507"/>
      <c r="AV17" s="967"/>
    </row>
    <row r="18" spans="1:48" ht="20.100000000000001" hidden="1" customHeight="1">
      <c r="A18" s="967"/>
      <c r="B18" s="153" t="s">
        <v>12</v>
      </c>
      <c r="C18" s="147" t="s">
        <v>504</v>
      </c>
      <c r="D18" s="153" t="s">
        <v>12</v>
      </c>
      <c r="E18" s="162" t="s">
        <v>504</v>
      </c>
      <c r="F18" s="967"/>
      <c r="G18" s="157"/>
      <c r="H18" s="286"/>
      <c r="I18" s="151"/>
      <c r="J18" s="970"/>
      <c r="K18" s="970"/>
      <c r="L18" s="973"/>
      <c r="M18" s="976"/>
      <c r="N18" s="239" t="s">
        <v>12</v>
      </c>
      <c r="O18" s="164" t="s">
        <v>503</v>
      </c>
      <c r="P18" s="151"/>
      <c r="Q18" s="152"/>
      <c r="R18" s="147"/>
      <c r="S18" s="147"/>
      <c r="T18" s="967"/>
      <c r="U18" s="507"/>
      <c r="V18" s="513"/>
      <c r="W18" s="611"/>
      <c r="X18" s="636"/>
      <c r="Y18" s="680"/>
      <c r="Z18" s="401"/>
      <c r="AA18" s="153" t="s">
        <v>12</v>
      </c>
      <c r="AB18" s="164" t="s">
        <v>502</v>
      </c>
      <c r="AC18" s="145"/>
      <c r="AD18" s="986"/>
      <c r="AE18" s="967"/>
      <c r="AF18" s="507"/>
      <c r="AG18" s="507"/>
      <c r="AH18" s="507"/>
      <c r="AI18" s="507"/>
      <c r="AJ18" s="507"/>
      <c r="AK18" s="721"/>
      <c r="AL18" s="507"/>
      <c r="AM18" s="507"/>
      <c r="AN18" s="507"/>
      <c r="AO18" s="507"/>
      <c r="AP18" s="507"/>
      <c r="AQ18" s="507"/>
      <c r="AR18" s="507"/>
      <c r="AS18" s="507"/>
      <c r="AT18" s="507"/>
      <c r="AU18" s="507"/>
      <c r="AV18" s="967"/>
    </row>
    <row r="19" spans="1:48" ht="20.100000000000001" hidden="1" customHeight="1">
      <c r="A19" s="968"/>
      <c r="B19" s="131" t="s">
        <v>8</v>
      </c>
      <c r="C19" s="131" t="s">
        <v>501</v>
      </c>
      <c r="D19" s="137" t="s">
        <v>8</v>
      </c>
      <c r="E19" s="254" t="s">
        <v>501</v>
      </c>
      <c r="F19" s="968"/>
      <c r="G19" s="197"/>
      <c r="H19" s="314"/>
      <c r="I19" s="135"/>
      <c r="J19" s="971"/>
      <c r="K19" s="971"/>
      <c r="L19" s="974"/>
      <c r="M19" s="977"/>
      <c r="N19" s="236"/>
      <c r="O19" s="314"/>
      <c r="P19" s="135"/>
      <c r="Q19" s="136"/>
      <c r="R19" s="131"/>
      <c r="S19" s="131"/>
      <c r="T19" s="968"/>
      <c r="U19" s="508"/>
      <c r="V19" s="514"/>
      <c r="W19" s="612"/>
      <c r="X19" s="637"/>
      <c r="Y19" s="681"/>
      <c r="Z19" s="423"/>
      <c r="AA19" s="197"/>
      <c r="AB19" s="314"/>
      <c r="AC19" s="129"/>
      <c r="AD19" s="987"/>
      <c r="AE19" s="968"/>
      <c r="AF19" s="508"/>
      <c r="AG19" s="508"/>
      <c r="AH19" s="508"/>
      <c r="AI19" s="508"/>
      <c r="AJ19" s="508"/>
      <c r="AK19" s="723"/>
      <c r="AL19" s="508"/>
      <c r="AM19" s="508"/>
      <c r="AN19" s="508"/>
      <c r="AO19" s="508"/>
      <c r="AP19" s="508"/>
      <c r="AQ19" s="508"/>
      <c r="AR19" s="508"/>
      <c r="AS19" s="508"/>
      <c r="AT19" s="508"/>
      <c r="AU19" s="508"/>
      <c r="AV19" s="968"/>
    </row>
    <row r="20" spans="1:48" hidden="1">
      <c r="A20" s="185" t="s">
        <v>719</v>
      </c>
      <c r="B20" s="176" t="s">
        <v>25</v>
      </c>
      <c r="C20" s="184" t="s">
        <v>801</v>
      </c>
      <c r="D20" s="183"/>
      <c r="E20" s="170"/>
      <c r="F20" s="978"/>
      <c r="G20" s="182" t="s">
        <v>25</v>
      </c>
      <c r="H20" s="181" t="s">
        <v>729</v>
      </c>
      <c r="I20" s="975">
        <v>249</v>
      </c>
      <c r="J20" s="981" t="s">
        <v>46</v>
      </c>
      <c r="K20" s="969" t="s">
        <v>649</v>
      </c>
      <c r="L20" s="983" t="s">
        <v>46</v>
      </c>
      <c r="M20" s="975"/>
      <c r="N20" s="988" t="s">
        <v>803</v>
      </c>
      <c r="O20" s="989"/>
      <c r="P20" s="175"/>
      <c r="Q20" s="174"/>
      <c r="R20" s="176" t="s">
        <v>25</v>
      </c>
      <c r="S20" s="170" t="s">
        <v>24</v>
      </c>
      <c r="T20" s="506"/>
      <c r="U20" s="512"/>
      <c r="V20" s="567"/>
      <c r="W20" s="613"/>
      <c r="X20" s="658"/>
      <c r="Y20" s="682"/>
      <c r="Z20" s="391"/>
      <c r="AA20" s="183"/>
      <c r="AB20" s="181"/>
      <c r="AC20" s="168"/>
      <c r="AD20" s="995"/>
      <c r="AE20" s="966"/>
      <c r="AF20" s="506"/>
      <c r="AG20" s="506"/>
      <c r="AH20" s="506"/>
      <c r="AI20" s="506"/>
      <c r="AJ20" s="506"/>
      <c r="AK20" s="722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969"/>
    </row>
    <row r="21" spans="1:48" ht="27.6" hidden="1">
      <c r="A21" s="145"/>
      <c r="B21" s="153" t="s">
        <v>16</v>
      </c>
      <c r="C21" s="164" t="s">
        <v>802</v>
      </c>
      <c r="D21" s="147"/>
      <c r="E21" s="163"/>
      <c r="F21" s="979"/>
      <c r="G21" s="147" t="s">
        <v>16</v>
      </c>
      <c r="H21" s="147" t="s">
        <v>726</v>
      </c>
      <c r="I21" s="980"/>
      <c r="J21" s="982"/>
      <c r="K21" s="970"/>
      <c r="L21" s="984"/>
      <c r="M21" s="980"/>
      <c r="N21" s="147" t="s">
        <v>25</v>
      </c>
      <c r="O21" s="154" t="s">
        <v>62</v>
      </c>
      <c r="P21" s="379">
        <v>1</v>
      </c>
      <c r="Q21" s="380">
        <v>42</v>
      </c>
      <c r="R21" s="153"/>
      <c r="S21" s="147"/>
      <c r="T21" s="507"/>
      <c r="U21" s="513"/>
      <c r="V21" s="161"/>
      <c r="W21" s="614"/>
      <c r="X21" s="639"/>
      <c r="Y21" s="683"/>
      <c r="Z21" s="385"/>
      <c r="AA21" s="147"/>
      <c r="AB21" s="154"/>
      <c r="AC21" s="145"/>
      <c r="AD21" s="986"/>
      <c r="AE21" s="967"/>
      <c r="AF21" s="507"/>
      <c r="AG21" s="507"/>
      <c r="AH21" s="507"/>
      <c r="AI21" s="507"/>
      <c r="AJ21" s="507"/>
      <c r="AK21" s="721"/>
      <c r="AL21" s="507"/>
      <c r="AM21" s="507"/>
      <c r="AN21" s="507"/>
      <c r="AO21" s="507"/>
      <c r="AP21" s="507"/>
      <c r="AQ21" s="507"/>
      <c r="AR21" s="507"/>
      <c r="AS21" s="507"/>
      <c r="AT21" s="507"/>
      <c r="AU21" s="507"/>
      <c r="AV21" s="970"/>
    </row>
    <row r="22" spans="1:48" hidden="1">
      <c r="A22" s="145"/>
      <c r="B22" s="153" t="s">
        <v>18</v>
      </c>
      <c r="C22" s="162" t="s">
        <v>601</v>
      </c>
      <c r="D22" s="147"/>
      <c r="E22" s="147"/>
      <c r="F22" s="979"/>
      <c r="G22" s="147" t="s">
        <v>18</v>
      </c>
      <c r="H22" s="147" t="s">
        <v>19</v>
      </c>
      <c r="I22" s="980"/>
      <c r="J22" s="982"/>
      <c r="K22" s="970"/>
      <c r="L22" s="984"/>
      <c r="M22" s="980"/>
      <c r="N22" s="990" t="s">
        <v>801</v>
      </c>
      <c r="O22" s="991"/>
      <c r="P22" s="379"/>
      <c r="Q22" s="380"/>
      <c r="R22" s="153" t="s">
        <v>16</v>
      </c>
      <c r="S22" s="147" t="s">
        <v>15</v>
      </c>
      <c r="T22" s="507">
        <v>3</v>
      </c>
      <c r="U22" s="513">
        <v>1</v>
      </c>
      <c r="V22" s="161" t="s">
        <v>958</v>
      </c>
      <c r="W22" s="615">
        <v>20</v>
      </c>
      <c r="X22" s="634">
        <v>0</v>
      </c>
      <c r="Y22" s="684">
        <v>0</v>
      </c>
      <c r="Z22" s="385">
        <f>SUM(W22:Y22)</f>
        <v>20</v>
      </c>
      <c r="AA22" s="147"/>
      <c r="AB22" s="154"/>
      <c r="AC22" s="145"/>
      <c r="AD22" s="986"/>
      <c r="AE22" s="967"/>
      <c r="AF22" s="507"/>
      <c r="AG22" s="507"/>
      <c r="AH22" s="507"/>
      <c r="AI22" s="507"/>
      <c r="AJ22" s="507"/>
      <c r="AK22" s="721">
        <v>15000</v>
      </c>
      <c r="AL22" s="507"/>
      <c r="AM22" s="507"/>
      <c r="AN22" s="507"/>
      <c r="AO22" s="507"/>
      <c r="AP22" s="507"/>
      <c r="AQ22" s="507"/>
      <c r="AR22" s="507"/>
      <c r="AS22" s="507"/>
      <c r="AT22" s="507"/>
      <c r="AU22" s="507"/>
      <c r="AV22" s="970"/>
    </row>
    <row r="23" spans="1:48" ht="69.75" hidden="1" customHeight="1">
      <c r="A23" s="145"/>
      <c r="B23" s="157" t="s">
        <v>12</v>
      </c>
      <c r="C23" s="156" t="s">
        <v>800</v>
      </c>
      <c r="D23" s="147"/>
      <c r="E23" s="154"/>
      <c r="F23" s="979"/>
      <c r="G23" s="147"/>
      <c r="H23" s="146"/>
      <c r="I23" s="980"/>
      <c r="J23" s="982"/>
      <c r="K23" s="970"/>
      <c r="L23" s="984"/>
      <c r="M23" s="980"/>
      <c r="N23" s="217" t="s">
        <v>25</v>
      </c>
      <c r="O23" s="307" t="s">
        <v>62</v>
      </c>
      <c r="P23" s="379">
        <v>1</v>
      </c>
      <c r="Q23" s="380">
        <v>45.6</v>
      </c>
      <c r="R23" s="153"/>
      <c r="S23" s="163"/>
      <c r="T23" s="584"/>
      <c r="U23" s="595">
        <v>2</v>
      </c>
      <c r="V23" s="568" t="s">
        <v>1017</v>
      </c>
      <c r="W23" s="616">
        <v>5</v>
      </c>
      <c r="X23" s="639">
        <v>0</v>
      </c>
      <c r="Y23" s="683">
        <v>0</v>
      </c>
      <c r="Z23" s="385">
        <f>SUM(W23:Y23)</f>
        <v>5</v>
      </c>
      <c r="AA23" s="147"/>
      <c r="AB23" s="163"/>
      <c r="AC23" s="152"/>
      <c r="AD23" s="986"/>
      <c r="AE23" s="967"/>
      <c r="AF23" s="507"/>
      <c r="AG23" s="507"/>
      <c r="AH23" s="507"/>
      <c r="AI23" s="507"/>
      <c r="AJ23" s="507"/>
      <c r="AK23" s="721">
        <v>125000</v>
      </c>
      <c r="AL23" s="507"/>
      <c r="AM23" s="507"/>
      <c r="AN23" s="507"/>
      <c r="AO23" s="507"/>
      <c r="AP23" s="507"/>
      <c r="AQ23" s="507"/>
      <c r="AR23" s="507"/>
      <c r="AS23" s="507"/>
      <c r="AT23" s="507"/>
      <c r="AU23" s="507"/>
      <c r="AV23" s="970"/>
    </row>
    <row r="24" spans="1:48" ht="27.6" hidden="1">
      <c r="A24" s="145"/>
      <c r="B24" s="157" t="s">
        <v>8</v>
      </c>
      <c r="C24" s="429" t="s">
        <v>799</v>
      </c>
      <c r="D24" s="147"/>
      <c r="E24" s="271"/>
      <c r="F24" s="979"/>
      <c r="G24" s="147"/>
      <c r="H24" s="146"/>
      <c r="I24" s="980"/>
      <c r="J24" s="982"/>
      <c r="K24" s="970"/>
      <c r="L24" s="984"/>
      <c r="M24" s="980"/>
      <c r="N24" s="217" t="s">
        <v>435</v>
      </c>
      <c r="O24" s="307" t="s">
        <v>784</v>
      </c>
      <c r="P24" s="379">
        <v>1</v>
      </c>
      <c r="Q24" s="380">
        <v>10.199999999999999</v>
      </c>
      <c r="R24" s="153"/>
      <c r="S24" s="163"/>
      <c r="T24" s="584"/>
      <c r="U24" s="595">
        <v>3</v>
      </c>
      <c r="V24" s="568" t="s">
        <v>1018</v>
      </c>
      <c r="W24" s="617">
        <v>7</v>
      </c>
      <c r="X24" s="639">
        <v>0</v>
      </c>
      <c r="Y24" s="685">
        <v>0</v>
      </c>
      <c r="Z24" s="385">
        <f>SUM(W24:Y24)</f>
        <v>7</v>
      </c>
      <c r="AA24" s="147"/>
      <c r="AB24" s="163"/>
      <c r="AC24" s="152"/>
      <c r="AD24" s="986"/>
      <c r="AE24" s="967"/>
      <c r="AF24" s="507"/>
      <c r="AG24" s="507"/>
      <c r="AH24" s="507"/>
      <c r="AI24" s="507"/>
      <c r="AJ24" s="507"/>
      <c r="AK24" s="721">
        <v>6000</v>
      </c>
      <c r="AL24" s="507"/>
      <c r="AM24" s="507"/>
      <c r="AN24" s="507"/>
      <c r="AO24" s="507"/>
      <c r="AP24" s="507"/>
      <c r="AQ24" s="507"/>
      <c r="AR24" s="507"/>
      <c r="AS24" s="507"/>
      <c r="AT24" s="507"/>
      <c r="AU24" s="507"/>
      <c r="AV24" s="970"/>
    </row>
    <row r="25" spans="1:48" hidden="1">
      <c r="A25" s="145"/>
      <c r="B25" s="157"/>
      <c r="C25" s="429"/>
      <c r="D25" s="147"/>
      <c r="E25" s="271"/>
      <c r="F25" s="226"/>
      <c r="G25" s="147"/>
      <c r="H25" s="146"/>
      <c r="I25" s="461"/>
      <c r="J25" s="151"/>
      <c r="K25" s="142"/>
      <c r="L25" s="281"/>
      <c r="M25" s="231"/>
      <c r="N25" s="217"/>
      <c r="O25" s="307"/>
      <c r="P25" s="152"/>
      <c r="Q25" s="151"/>
      <c r="R25" s="153"/>
      <c r="S25" s="163"/>
      <c r="T25" s="584"/>
      <c r="U25" s="595"/>
      <c r="V25" s="568"/>
      <c r="W25" s="617"/>
      <c r="X25" s="639"/>
      <c r="Y25" s="685"/>
      <c r="Z25" s="385"/>
      <c r="AA25" s="147"/>
      <c r="AB25" s="163"/>
      <c r="AC25" s="152"/>
      <c r="AD25" s="144"/>
      <c r="AE25" s="143"/>
      <c r="AF25" s="507"/>
      <c r="AG25" s="507"/>
      <c r="AH25" s="507"/>
      <c r="AI25" s="507"/>
      <c r="AJ25" s="507"/>
      <c r="AK25" s="721"/>
      <c r="AL25" s="507"/>
      <c r="AM25" s="507"/>
      <c r="AN25" s="507"/>
      <c r="AO25" s="507"/>
      <c r="AP25" s="507"/>
      <c r="AQ25" s="507"/>
      <c r="AR25" s="507"/>
      <c r="AS25" s="507"/>
      <c r="AT25" s="507"/>
      <c r="AU25" s="507"/>
      <c r="AV25" s="142"/>
    </row>
    <row r="26" spans="1:48" hidden="1">
      <c r="A26" s="129"/>
      <c r="B26" s="197"/>
      <c r="C26" s="311"/>
      <c r="D26" s="131"/>
      <c r="E26" s="140"/>
      <c r="F26" s="282"/>
      <c r="G26" s="131"/>
      <c r="H26" s="130"/>
      <c r="I26" s="462"/>
      <c r="J26" s="135"/>
      <c r="K26" s="126"/>
      <c r="L26" s="428"/>
      <c r="M26" s="280"/>
      <c r="N26" s="427"/>
      <c r="O26" s="268"/>
      <c r="P26" s="136"/>
      <c r="Q26" s="135"/>
      <c r="R26" s="137"/>
      <c r="S26" s="227"/>
      <c r="T26" s="585"/>
      <c r="U26" s="596"/>
      <c r="V26" s="569"/>
      <c r="W26" s="618"/>
      <c r="X26" s="652"/>
      <c r="Y26" s="686"/>
      <c r="Z26" s="394"/>
      <c r="AA26" s="131"/>
      <c r="AB26" s="227"/>
      <c r="AC26" s="136"/>
      <c r="AD26" s="128"/>
      <c r="AE26" s="127"/>
      <c r="AF26" s="508"/>
      <c r="AG26" s="508"/>
      <c r="AH26" s="508"/>
      <c r="AI26" s="508"/>
      <c r="AJ26" s="508"/>
      <c r="AK26" s="723"/>
      <c r="AL26" s="508"/>
      <c r="AM26" s="508"/>
      <c r="AN26" s="508"/>
      <c r="AO26" s="508"/>
      <c r="AP26" s="508"/>
      <c r="AQ26" s="508"/>
      <c r="AR26" s="508"/>
      <c r="AS26" s="508"/>
      <c r="AT26" s="508"/>
      <c r="AU26" s="508"/>
      <c r="AV26" s="126"/>
    </row>
    <row r="27" spans="1:48" hidden="1">
      <c r="A27" s="221" t="s">
        <v>713</v>
      </c>
      <c r="B27" s="218" t="s">
        <v>25</v>
      </c>
      <c r="C27" s="162" t="s">
        <v>762</v>
      </c>
      <c r="D27" s="217"/>
      <c r="E27" s="147"/>
      <c r="F27" s="979"/>
      <c r="G27" s="219" t="s">
        <v>25</v>
      </c>
      <c r="H27" s="154" t="s">
        <v>729</v>
      </c>
      <c r="I27" s="980">
        <v>232</v>
      </c>
      <c r="J27" s="982" t="s">
        <v>46</v>
      </c>
      <c r="K27" s="970" t="s">
        <v>798</v>
      </c>
      <c r="L27" s="984" t="s">
        <v>46</v>
      </c>
      <c r="M27" s="980"/>
      <c r="N27" s="147" t="s">
        <v>25</v>
      </c>
      <c r="O27" s="154" t="s">
        <v>17</v>
      </c>
      <c r="P27" s="379">
        <v>1</v>
      </c>
      <c r="Q27" s="380"/>
      <c r="R27" s="218" t="s">
        <v>25</v>
      </c>
      <c r="S27" s="147" t="s">
        <v>24</v>
      </c>
      <c r="T27" s="507">
        <v>3</v>
      </c>
      <c r="U27" s="597">
        <v>1</v>
      </c>
      <c r="V27" s="570" t="s">
        <v>585</v>
      </c>
      <c r="W27" s="619">
        <v>0</v>
      </c>
      <c r="X27" s="659">
        <v>0</v>
      </c>
      <c r="Y27" s="687">
        <v>15</v>
      </c>
      <c r="Z27" s="391">
        <f>SUM(W27:Y27)</f>
        <v>15</v>
      </c>
      <c r="AA27" s="217"/>
      <c r="AB27" s="154"/>
      <c r="AC27" s="145"/>
      <c r="AD27" s="986"/>
      <c r="AE27" s="967"/>
      <c r="AF27" s="507"/>
      <c r="AG27" s="507"/>
      <c r="AH27" s="507"/>
      <c r="AI27" s="507"/>
      <c r="AJ27" s="507"/>
      <c r="AK27" s="721">
        <v>8250</v>
      </c>
      <c r="AL27" s="507"/>
      <c r="AM27" s="507"/>
      <c r="AN27" s="507"/>
      <c r="AO27" s="507"/>
      <c r="AP27" s="507"/>
      <c r="AQ27" s="507"/>
      <c r="AR27" s="507"/>
      <c r="AS27" s="507"/>
      <c r="AT27" s="507"/>
      <c r="AU27" s="507"/>
      <c r="AV27" s="970"/>
    </row>
    <row r="28" spans="1:48" hidden="1">
      <c r="A28" s="145"/>
      <c r="B28" s="153" t="s">
        <v>16</v>
      </c>
      <c r="C28" s="164" t="s">
        <v>797</v>
      </c>
      <c r="D28" s="147"/>
      <c r="E28" s="163"/>
      <c r="F28" s="979"/>
      <c r="G28" s="147" t="s">
        <v>16</v>
      </c>
      <c r="H28" s="147" t="s">
        <v>726</v>
      </c>
      <c r="I28" s="980"/>
      <c r="J28" s="982"/>
      <c r="K28" s="970"/>
      <c r="L28" s="984"/>
      <c r="M28" s="980"/>
      <c r="N28" s="147"/>
      <c r="O28" s="163"/>
      <c r="P28" s="379"/>
      <c r="Q28" s="380"/>
      <c r="R28" s="153"/>
      <c r="S28" s="147"/>
      <c r="T28" s="507"/>
      <c r="U28" s="598">
        <v>2</v>
      </c>
      <c r="V28" s="571" t="s">
        <v>109</v>
      </c>
      <c r="W28" s="620">
        <v>0</v>
      </c>
      <c r="X28" s="660">
        <v>0</v>
      </c>
      <c r="Y28" s="688">
        <v>10</v>
      </c>
      <c r="Z28" s="385">
        <f>SUM(W28:Y28)</f>
        <v>10</v>
      </c>
      <c r="AA28" s="147"/>
      <c r="AB28" s="154"/>
      <c r="AC28" s="145"/>
      <c r="AD28" s="986"/>
      <c r="AE28" s="967"/>
      <c r="AF28" s="507"/>
      <c r="AG28" s="507"/>
      <c r="AH28" s="507"/>
      <c r="AI28" s="507"/>
      <c r="AJ28" s="507"/>
      <c r="AK28" s="721">
        <v>10000</v>
      </c>
      <c r="AL28" s="507"/>
      <c r="AM28" s="507"/>
      <c r="AN28" s="507"/>
      <c r="AO28" s="507"/>
      <c r="AP28" s="507"/>
      <c r="AQ28" s="507"/>
      <c r="AR28" s="507"/>
      <c r="AS28" s="507"/>
      <c r="AT28" s="507"/>
      <c r="AU28" s="507"/>
      <c r="AV28" s="970"/>
    </row>
    <row r="29" spans="1:48" hidden="1">
      <c r="A29" s="145"/>
      <c r="B29" s="153" t="s">
        <v>18</v>
      </c>
      <c r="C29" s="162" t="s">
        <v>633</v>
      </c>
      <c r="D29" s="147"/>
      <c r="E29" s="147"/>
      <c r="F29" s="979"/>
      <c r="G29" s="147" t="s">
        <v>18</v>
      </c>
      <c r="H29" s="147" t="s">
        <v>19</v>
      </c>
      <c r="I29" s="980"/>
      <c r="J29" s="982"/>
      <c r="K29" s="970"/>
      <c r="L29" s="984"/>
      <c r="M29" s="980"/>
      <c r="N29" s="147"/>
      <c r="O29" s="154"/>
      <c r="P29" s="379"/>
      <c r="Q29" s="409"/>
      <c r="R29" s="411"/>
      <c r="S29" s="388"/>
      <c r="T29" s="586"/>
      <c r="U29" s="598">
        <v>3</v>
      </c>
      <c r="V29" s="571" t="s">
        <v>56</v>
      </c>
      <c r="W29" s="620">
        <v>0</v>
      </c>
      <c r="X29" s="660">
        <v>0</v>
      </c>
      <c r="Y29" s="688">
        <v>15</v>
      </c>
      <c r="Z29" s="386">
        <f>SUM(W29:Y29)</f>
        <v>15</v>
      </c>
      <c r="AA29" s="147"/>
      <c r="AB29" s="154"/>
      <c r="AC29" s="145"/>
      <c r="AD29" s="986"/>
      <c r="AE29" s="967"/>
      <c r="AF29" s="507"/>
      <c r="AG29" s="507"/>
      <c r="AH29" s="507"/>
      <c r="AI29" s="507"/>
      <c r="AJ29" s="507"/>
      <c r="AK29" s="721">
        <v>10000</v>
      </c>
      <c r="AL29" s="507"/>
      <c r="AM29" s="507"/>
      <c r="AN29" s="507"/>
      <c r="AO29" s="507"/>
      <c r="AP29" s="507"/>
      <c r="AQ29" s="507"/>
      <c r="AR29" s="507"/>
      <c r="AS29" s="507"/>
      <c r="AT29" s="507"/>
      <c r="AU29" s="507"/>
      <c r="AV29" s="970"/>
    </row>
    <row r="30" spans="1:48" ht="55.2" hidden="1">
      <c r="A30" s="145"/>
      <c r="B30" s="157" t="s">
        <v>12</v>
      </c>
      <c r="C30" s="156" t="s">
        <v>796</v>
      </c>
      <c r="D30" s="147"/>
      <c r="E30" s="154"/>
      <c r="F30" s="979"/>
      <c r="G30" s="147"/>
      <c r="H30" s="146"/>
      <c r="I30" s="980"/>
      <c r="J30" s="982"/>
      <c r="K30" s="970"/>
      <c r="L30" s="984"/>
      <c r="M30" s="980"/>
      <c r="N30" s="147"/>
      <c r="O30" s="154"/>
      <c r="P30" s="152"/>
      <c r="Q30" s="152"/>
      <c r="R30" s="411"/>
      <c r="S30" s="388"/>
      <c r="T30" s="586"/>
      <c r="U30" s="572"/>
      <c r="V30" s="572"/>
      <c r="W30" s="621"/>
      <c r="X30" s="661"/>
      <c r="Y30" s="689"/>
      <c r="Z30" s="386"/>
      <c r="AA30" s="147"/>
      <c r="AB30" s="163"/>
      <c r="AC30" s="152"/>
      <c r="AD30" s="986"/>
      <c r="AE30" s="967"/>
      <c r="AF30" s="507"/>
      <c r="AG30" s="507"/>
      <c r="AH30" s="507"/>
      <c r="AI30" s="507"/>
      <c r="AJ30" s="507"/>
      <c r="AK30" s="721"/>
      <c r="AL30" s="507"/>
      <c r="AM30" s="507"/>
      <c r="AN30" s="507"/>
      <c r="AO30" s="507"/>
      <c r="AP30" s="507"/>
      <c r="AQ30" s="507"/>
      <c r="AR30" s="507"/>
      <c r="AS30" s="507"/>
      <c r="AT30" s="507"/>
      <c r="AU30" s="507"/>
      <c r="AV30" s="970"/>
    </row>
    <row r="31" spans="1:48" hidden="1">
      <c r="A31" s="145"/>
      <c r="B31" s="157" t="s">
        <v>8</v>
      </c>
      <c r="C31" s="156" t="s">
        <v>795</v>
      </c>
      <c r="D31" s="147"/>
      <c r="E31" s="154"/>
      <c r="F31" s="979"/>
      <c r="G31" s="147"/>
      <c r="H31" s="146"/>
      <c r="I31" s="980"/>
      <c r="J31" s="982"/>
      <c r="K31" s="970"/>
      <c r="L31" s="984"/>
      <c r="M31" s="980"/>
      <c r="N31" s="147"/>
      <c r="O31" s="154"/>
      <c r="P31" s="152"/>
      <c r="Q31" s="151"/>
      <c r="R31" s="153" t="s">
        <v>16</v>
      </c>
      <c r="S31" s="147" t="s">
        <v>15</v>
      </c>
      <c r="T31" s="507">
        <v>4</v>
      </c>
      <c r="U31" s="599">
        <v>1</v>
      </c>
      <c r="V31" s="161" t="s">
        <v>1016</v>
      </c>
      <c r="W31" s="622" t="s">
        <v>950</v>
      </c>
      <c r="X31" s="639">
        <v>6</v>
      </c>
      <c r="Y31" s="685" t="s">
        <v>950</v>
      </c>
      <c r="Z31" s="385">
        <f>SUM(X31:Y31)</f>
        <v>6</v>
      </c>
      <c r="AA31" s="147"/>
      <c r="AB31" s="163"/>
      <c r="AC31" s="152"/>
      <c r="AD31" s="986"/>
      <c r="AE31" s="967"/>
      <c r="AF31" s="507"/>
      <c r="AG31" s="507"/>
      <c r="AH31" s="507"/>
      <c r="AI31" s="507"/>
      <c r="AJ31" s="507"/>
      <c r="AK31" s="721">
        <v>50000</v>
      </c>
      <c r="AL31" s="507"/>
      <c r="AM31" s="507"/>
      <c r="AN31" s="507"/>
      <c r="AO31" s="507"/>
      <c r="AP31" s="507"/>
      <c r="AQ31" s="507"/>
      <c r="AR31" s="507"/>
      <c r="AS31" s="507"/>
      <c r="AT31" s="507"/>
      <c r="AU31" s="507"/>
      <c r="AV31" s="970"/>
    </row>
    <row r="32" spans="1:48" hidden="1">
      <c r="A32" s="145"/>
      <c r="B32" s="157"/>
      <c r="C32" s="156"/>
      <c r="D32" s="147"/>
      <c r="E32" s="154"/>
      <c r="F32" s="979"/>
      <c r="G32" s="147"/>
      <c r="H32" s="146"/>
      <c r="I32" s="980"/>
      <c r="J32" s="982"/>
      <c r="K32" s="970"/>
      <c r="L32" s="984"/>
      <c r="M32" s="980"/>
      <c r="N32" s="147"/>
      <c r="O32" s="154"/>
      <c r="P32" s="152"/>
      <c r="Q32" s="151"/>
      <c r="R32" s="218"/>
      <c r="S32" s="163"/>
      <c r="T32" s="507"/>
      <c r="U32" s="599">
        <v>2</v>
      </c>
      <c r="V32" s="161" t="s">
        <v>1017</v>
      </c>
      <c r="W32" s="622" t="s">
        <v>950</v>
      </c>
      <c r="X32" s="639">
        <v>7</v>
      </c>
      <c r="Y32" s="685" t="s">
        <v>950</v>
      </c>
      <c r="Z32" s="385">
        <f>SUM(X32:Y32)</f>
        <v>7</v>
      </c>
      <c r="AA32" s="147"/>
      <c r="AB32" s="163"/>
      <c r="AC32" s="152"/>
      <c r="AD32" s="986"/>
      <c r="AE32" s="967"/>
      <c r="AF32" s="507"/>
      <c r="AG32" s="507"/>
      <c r="AH32" s="507"/>
      <c r="AI32" s="507"/>
      <c r="AJ32" s="507"/>
      <c r="AK32" s="721">
        <v>82500</v>
      </c>
      <c r="AL32" s="507"/>
      <c r="AM32" s="507"/>
      <c r="AN32" s="507"/>
      <c r="AO32" s="507"/>
      <c r="AP32" s="507"/>
      <c r="AQ32" s="507"/>
      <c r="AR32" s="507"/>
      <c r="AS32" s="507"/>
      <c r="AT32" s="507"/>
      <c r="AU32" s="507"/>
      <c r="AV32" s="970"/>
    </row>
    <row r="33" spans="1:48" hidden="1">
      <c r="A33" s="145"/>
      <c r="B33" s="157"/>
      <c r="C33" s="156"/>
      <c r="D33" s="147"/>
      <c r="E33" s="154"/>
      <c r="F33" s="979"/>
      <c r="G33" s="147"/>
      <c r="H33" s="146"/>
      <c r="I33" s="980"/>
      <c r="J33" s="982"/>
      <c r="K33" s="970"/>
      <c r="L33" s="984"/>
      <c r="M33" s="980"/>
      <c r="N33" s="147"/>
      <c r="O33" s="154"/>
      <c r="P33" s="152"/>
      <c r="Q33" s="151"/>
      <c r="R33" s="218"/>
      <c r="S33" s="163"/>
      <c r="T33" s="507"/>
      <c r="U33" s="599">
        <v>3</v>
      </c>
      <c r="V33" s="161" t="s">
        <v>958</v>
      </c>
      <c r="W33" s="622">
        <v>21</v>
      </c>
      <c r="X33" s="639" t="s">
        <v>950</v>
      </c>
      <c r="Y33" s="685"/>
      <c r="Z33" s="385">
        <f>SUM(X33:Y33)</f>
        <v>0</v>
      </c>
      <c r="AA33" s="147"/>
      <c r="AB33" s="163"/>
      <c r="AC33" s="152"/>
      <c r="AD33" s="986"/>
      <c r="AE33" s="967"/>
      <c r="AF33" s="507"/>
      <c r="AG33" s="507"/>
      <c r="AH33" s="507"/>
      <c r="AI33" s="507"/>
      <c r="AJ33" s="507"/>
      <c r="AK33" s="721">
        <v>15000</v>
      </c>
      <c r="AL33" s="507"/>
      <c r="AM33" s="507"/>
      <c r="AN33" s="507"/>
      <c r="AO33" s="507"/>
      <c r="AP33" s="507"/>
      <c r="AQ33" s="507"/>
      <c r="AR33" s="507"/>
      <c r="AS33" s="507"/>
      <c r="AT33" s="507"/>
      <c r="AU33" s="507"/>
      <c r="AV33" s="970"/>
    </row>
    <row r="34" spans="1:48" hidden="1">
      <c r="A34" s="145"/>
      <c r="B34" s="157"/>
      <c r="C34" s="156"/>
      <c r="D34" s="147"/>
      <c r="E34" s="154"/>
      <c r="F34" s="979"/>
      <c r="G34" s="147"/>
      <c r="H34" s="146"/>
      <c r="I34" s="980"/>
      <c r="J34" s="982"/>
      <c r="K34" s="970"/>
      <c r="L34" s="984"/>
      <c r="M34" s="980"/>
      <c r="N34" s="147"/>
      <c r="O34" s="154"/>
      <c r="P34" s="503"/>
      <c r="Q34" s="504"/>
      <c r="R34" s="218"/>
      <c r="S34" s="163"/>
      <c r="T34" s="507"/>
      <c r="U34" s="599">
        <v>3</v>
      </c>
      <c r="V34" s="161" t="s">
        <v>958</v>
      </c>
      <c r="W34" s="622"/>
      <c r="X34" s="639" t="s">
        <v>950</v>
      </c>
      <c r="Y34" s="685">
        <v>12</v>
      </c>
      <c r="Z34" s="385"/>
      <c r="AA34" s="147"/>
      <c r="AB34" s="163"/>
      <c r="AC34" s="503"/>
      <c r="AD34" s="986"/>
      <c r="AE34" s="967"/>
      <c r="AF34" s="507"/>
      <c r="AG34" s="507"/>
      <c r="AH34" s="507"/>
      <c r="AI34" s="507"/>
      <c r="AJ34" s="507"/>
      <c r="AK34" s="721">
        <v>5000</v>
      </c>
      <c r="AL34" s="507"/>
      <c r="AM34" s="507"/>
      <c r="AN34" s="507"/>
      <c r="AO34" s="507"/>
      <c r="AP34" s="507"/>
      <c r="AQ34" s="507"/>
      <c r="AR34" s="507"/>
      <c r="AS34" s="507"/>
      <c r="AT34" s="507"/>
      <c r="AU34" s="507"/>
      <c r="AV34" s="970"/>
    </row>
    <row r="35" spans="1:48" hidden="1">
      <c r="A35" s="145"/>
      <c r="B35" s="157"/>
      <c r="C35" s="156"/>
      <c r="D35" s="147"/>
      <c r="E35" s="154"/>
      <c r="F35" s="979"/>
      <c r="G35" s="147"/>
      <c r="H35" s="146"/>
      <c r="I35" s="980"/>
      <c r="J35" s="982"/>
      <c r="K35" s="970"/>
      <c r="L35" s="984"/>
      <c r="M35" s="980"/>
      <c r="N35" s="147"/>
      <c r="O35" s="154"/>
      <c r="P35" s="152"/>
      <c r="Q35" s="151"/>
      <c r="R35" s="218"/>
      <c r="S35" s="163"/>
      <c r="T35" s="507"/>
      <c r="U35" s="599">
        <v>4</v>
      </c>
      <c r="V35" s="161" t="s">
        <v>953</v>
      </c>
      <c r="W35" s="622" t="s">
        <v>950</v>
      </c>
      <c r="X35" s="639">
        <v>6</v>
      </c>
      <c r="Y35" s="685" t="s">
        <v>950</v>
      </c>
      <c r="Z35" s="385">
        <f>SUM(X35:Y35)</f>
        <v>6</v>
      </c>
      <c r="AA35" s="147"/>
      <c r="AB35" s="163"/>
      <c r="AC35" s="152"/>
      <c r="AD35" s="986"/>
      <c r="AE35" s="967"/>
      <c r="AF35" s="507"/>
      <c r="AG35" s="507"/>
      <c r="AH35" s="507"/>
      <c r="AI35" s="507"/>
      <c r="AJ35" s="507"/>
      <c r="AK35" s="721">
        <v>231000</v>
      </c>
      <c r="AL35" s="507"/>
      <c r="AM35" s="507"/>
      <c r="AN35" s="507"/>
      <c r="AO35" s="507"/>
      <c r="AP35" s="507"/>
      <c r="AQ35" s="507"/>
      <c r="AR35" s="507"/>
      <c r="AS35" s="507"/>
      <c r="AT35" s="507"/>
      <c r="AU35" s="507"/>
      <c r="AV35" s="970"/>
    </row>
    <row r="36" spans="1:48" hidden="1">
      <c r="A36" s="129"/>
      <c r="B36" s="137"/>
      <c r="C36" s="141"/>
      <c r="D36" s="131"/>
      <c r="E36" s="140"/>
      <c r="F36" s="992"/>
      <c r="G36" s="131"/>
      <c r="H36" s="130"/>
      <c r="I36" s="985"/>
      <c r="J36" s="993"/>
      <c r="K36" s="971"/>
      <c r="L36" s="994"/>
      <c r="M36" s="985"/>
      <c r="N36" s="131"/>
      <c r="O36" s="138"/>
      <c r="P36" s="136"/>
      <c r="Q36" s="135"/>
      <c r="R36" s="137"/>
      <c r="S36" s="131"/>
      <c r="T36" s="508"/>
      <c r="U36" s="600"/>
      <c r="V36" s="573"/>
      <c r="W36" s="623"/>
      <c r="X36" s="652"/>
      <c r="Y36" s="686"/>
      <c r="Z36" s="394"/>
      <c r="AA36" s="131"/>
      <c r="AB36" s="227"/>
      <c r="AC36" s="136"/>
      <c r="AD36" s="987"/>
      <c r="AE36" s="968"/>
      <c r="AF36" s="508"/>
      <c r="AG36" s="508"/>
      <c r="AH36" s="508"/>
      <c r="AI36" s="508"/>
      <c r="AJ36" s="508"/>
      <c r="AK36" s="723"/>
      <c r="AL36" s="508"/>
      <c r="AM36" s="508"/>
      <c r="AN36" s="508"/>
      <c r="AO36" s="508"/>
      <c r="AP36" s="508"/>
      <c r="AQ36" s="508"/>
      <c r="AR36" s="508"/>
      <c r="AS36" s="508"/>
      <c r="AT36" s="508"/>
      <c r="AU36" s="508"/>
      <c r="AV36" s="971"/>
    </row>
    <row r="37" spans="1:48" hidden="1">
      <c r="A37" s="185" t="s">
        <v>711</v>
      </c>
      <c r="B37" s="176" t="s">
        <v>25</v>
      </c>
      <c r="C37" s="184" t="s">
        <v>790</v>
      </c>
      <c r="D37" s="183"/>
      <c r="E37" s="170"/>
      <c r="F37" s="978"/>
      <c r="G37" s="219" t="s">
        <v>25</v>
      </c>
      <c r="H37" s="154" t="s">
        <v>729</v>
      </c>
      <c r="I37" s="996">
        <v>570</v>
      </c>
      <c r="J37" s="981" t="s">
        <v>46</v>
      </c>
      <c r="K37" s="969" t="s">
        <v>794</v>
      </c>
      <c r="L37" s="997" t="s">
        <v>46</v>
      </c>
      <c r="M37" s="996"/>
      <c r="N37" s="988" t="s">
        <v>793</v>
      </c>
      <c r="O37" s="989"/>
      <c r="P37" s="175"/>
      <c r="Q37" s="174"/>
      <c r="R37" s="218" t="s">
        <v>25</v>
      </c>
      <c r="S37" s="147" t="s">
        <v>24</v>
      </c>
      <c r="T37" s="506"/>
      <c r="U37" s="597">
        <v>1</v>
      </c>
      <c r="V37" s="570" t="s">
        <v>1022</v>
      </c>
      <c r="W37" s="624">
        <v>0</v>
      </c>
      <c r="X37" s="662">
        <v>0</v>
      </c>
      <c r="Y37" s="690">
        <v>1</v>
      </c>
      <c r="Z37" s="391">
        <f>SUM(W37:Y37)</f>
        <v>1</v>
      </c>
      <c r="AA37" s="183"/>
      <c r="AB37" s="270"/>
      <c r="AC37" s="168"/>
      <c r="AD37" s="995"/>
      <c r="AE37" s="966"/>
      <c r="AF37" s="506"/>
      <c r="AG37" s="506"/>
      <c r="AH37" s="506"/>
      <c r="AI37" s="506"/>
      <c r="AJ37" s="506"/>
      <c r="AK37" s="722">
        <v>8000</v>
      </c>
      <c r="AL37" s="506"/>
      <c r="AM37" s="506"/>
      <c r="AN37" s="506"/>
      <c r="AO37" s="506"/>
      <c r="AP37" s="506"/>
      <c r="AQ37" s="506"/>
      <c r="AR37" s="506"/>
      <c r="AS37" s="506"/>
      <c r="AT37" s="506"/>
      <c r="AU37" s="506"/>
      <c r="AV37" s="969"/>
    </row>
    <row r="38" spans="1:48" hidden="1">
      <c r="A38" s="145"/>
      <c r="B38" s="153" t="s">
        <v>16</v>
      </c>
      <c r="C38" s="164" t="s">
        <v>792</v>
      </c>
      <c r="D38" s="147"/>
      <c r="E38" s="163"/>
      <c r="F38" s="979"/>
      <c r="G38" s="147" t="s">
        <v>16</v>
      </c>
      <c r="H38" s="147" t="s">
        <v>726</v>
      </c>
      <c r="I38" s="980"/>
      <c r="J38" s="982"/>
      <c r="K38" s="970"/>
      <c r="L38" s="984"/>
      <c r="M38" s="980"/>
      <c r="N38" s="217" t="s">
        <v>25</v>
      </c>
      <c r="O38" s="425" t="s">
        <v>21</v>
      </c>
      <c r="P38" s="379">
        <v>1</v>
      </c>
      <c r="Q38" s="378">
        <v>15</v>
      </c>
      <c r="R38" s="153"/>
      <c r="S38" s="162"/>
      <c r="T38" s="587"/>
      <c r="U38" s="598">
        <v>2</v>
      </c>
      <c r="V38" s="571" t="s">
        <v>883</v>
      </c>
      <c r="W38" s="625">
        <v>0</v>
      </c>
      <c r="X38" s="663">
        <v>0</v>
      </c>
      <c r="Y38" s="691">
        <v>1</v>
      </c>
      <c r="Z38" s="385">
        <f>SUM(W38:Y38)</f>
        <v>1</v>
      </c>
      <c r="AA38" s="147"/>
      <c r="AB38" s="154"/>
      <c r="AC38" s="145"/>
      <c r="AD38" s="986"/>
      <c r="AE38" s="967"/>
      <c r="AF38" s="507"/>
      <c r="AG38" s="507"/>
      <c r="AH38" s="507"/>
      <c r="AI38" s="507"/>
      <c r="AJ38" s="507"/>
      <c r="AK38" s="721">
        <v>20000</v>
      </c>
      <c r="AL38" s="507"/>
      <c r="AM38" s="507"/>
      <c r="AN38" s="507"/>
      <c r="AO38" s="507"/>
      <c r="AP38" s="507"/>
      <c r="AQ38" s="507"/>
      <c r="AR38" s="507"/>
      <c r="AS38" s="507"/>
      <c r="AT38" s="507"/>
      <c r="AU38" s="507"/>
      <c r="AV38" s="970"/>
    </row>
    <row r="39" spans="1:48" ht="27.6" hidden="1">
      <c r="A39" s="145"/>
      <c r="B39" s="153" t="s">
        <v>18</v>
      </c>
      <c r="C39" s="162" t="s">
        <v>601</v>
      </c>
      <c r="D39" s="147"/>
      <c r="E39" s="147"/>
      <c r="F39" s="979"/>
      <c r="G39" s="147" t="s">
        <v>18</v>
      </c>
      <c r="H39" s="147" t="s">
        <v>19</v>
      </c>
      <c r="I39" s="980"/>
      <c r="J39" s="982"/>
      <c r="K39" s="970"/>
      <c r="L39" s="984"/>
      <c r="M39" s="980"/>
      <c r="N39" s="217" t="s">
        <v>435</v>
      </c>
      <c r="O39" s="425" t="s">
        <v>191</v>
      </c>
      <c r="P39" s="379">
        <v>1</v>
      </c>
      <c r="Q39" s="378">
        <v>29.94</v>
      </c>
      <c r="R39" s="110"/>
      <c r="S39" s="388"/>
      <c r="T39" s="586"/>
      <c r="U39" s="598">
        <v>3</v>
      </c>
      <c r="V39" s="571" t="s">
        <v>1023</v>
      </c>
      <c r="W39" s="625">
        <v>0</v>
      </c>
      <c r="X39" s="663">
        <v>0</v>
      </c>
      <c r="Y39" s="691">
        <v>7</v>
      </c>
      <c r="Z39" s="426">
        <f>SUM(W39:Y39)</f>
        <v>7</v>
      </c>
      <c r="AA39" s="147"/>
      <c r="AB39" s="154"/>
      <c r="AC39" s="145"/>
      <c r="AD39" s="986"/>
      <c r="AE39" s="967"/>
      <c r="AF39" s="507"/>
      <c r="AG39" s="507"/>
      <c r="AH39" s="507"/>
      <c r="AI39" s="507"/>
      <c r="AJ39" s="507"/>
      <c r="AK39" s="721">
        <v>10000</v>
      </c>
      <c r="AL39" s="507"/>
      <c r="AM39" s="507"/>
      <c r="AN39" s="507"/>
      <c r="AO39" s="507"/>
      <c r="AP39" s="507"/>
      <c r="AQ39" s="507"/>
      <c r="AR39" s="507"/>
      <c r="AS39" s="507"/>
      <c r="AT39" s="507"/>
      <c r="AU39" s="507"/>
      <c r="AV39" s="970"/>
    </row>
    <row r="40" spans="1:48" ht="66.75" hidden="1" customHeight="1">
      <c r="A40" s="145"/>
      <c r="B40" s="153" t="s">
        <v>12</v>
      </c>
      <c r="C40" s="156" t="s">
        <v>725</v>
      </c>
      <c r="D40" s="146"/>
      <c r="E40" s="154"/>
      <c r="F40" s="979"/>
      <c r="G40" s="147"/>
      <c r="H40" s="146"/>
      <c r="I40" s="980"/>
      <c r="J40" s="982"/>
      <c r="K40" s="970"/>
      <c r="L40" s="984"/>
      <c r="M40" s="980"/>
      <c r="N40" s="217" t="s">
        <v>433</v>
      </c>
      <c r="O40" s="307" t="s">
        <v>789</v>
      </c>
      <c r="P40" s="379">
        <v>1</v>
      </c>
      <c r="Q40" s="378">
        <v>68.400000000000006</v>
      </c>
      <c r="R40" s="110"/>
      <c r="S40" s="388"/>
      <c r="T40" s="586"/>
      <c r="U40" s="598">
        <v>4</v>
      </c>
      <c r="V40" s="571" t="s">
        <v>58</v>
      </c>
      <c r="W40" s="625">
        <v>0</v>
      </c>
      <c r="X40" s="663">
        <v>0</v>
      </c>
      <c r="Y40" s="691">
        <v>5</v>
      </c>
      <c r="Z40" s="426">
        <f>SUM(W40:Y40)</f>
        <v>5</v>
      </c>
      <c r="AA40" s="147"/>
      <c r="AB40" s="154"/>
      <c r="AC40" s="145"/>
      <c r="AD40" s="986"/>
      <c r="AE40" s="967"/>
      <c r="AF40" s="507"/>
      <c r="AG40" s="507"/>
      <c r="AH40" s="507"/>
      <c r="AI40" s="507"/>
      <c r="AJ40" s="507"/>
      <c r="AK40" s="721">
        <v>50000</v>
      </c>
      <c r="AL40" s="507"/>
      <c r="AM40" s="507"/>
      <c r="AN40" s="507"/>
      <c r="AO40" s="507"/>
      <c r="AP40" s="507"/>
      <c r="AQ40" s="507"/>
      <c r="AR40" s="507"/>
      <c r="AS40" s="507"/>
      <c r="AT40" s="507"/>
      <c r="AU40" s="507"/>
      <c r="AV40" s="970"/>
    </row>
    <row r="41" spans="1:48" hidden="1">
      <c r="A41" s="145"/>
      <c r="B41" s="153" t="s">
        <v>429</v>
      </c>
      <c r="C41" s="190" t="s">
        <v>791</v>
      </c>
      <c r="D41" s="146"/>
      <c r="E41" s="154"/>
      <c r="F41" s="979"/>
      <c r="G41" s="147"/>
      <c r="H41" s="146"/>
      <c r="I41" s="980"/>
      <c r="J41" s="982"/>
      <c r="K41" s="970"/>
      <c r="L41" s="984"/>
      <c r="M41" s="980"/>
      <c r="N41" s="217" t="s">
        <v>8</v>
      </c>
      <c r="O41" s="425" t="s">
        <v>17</v>
      </c>
      <c r="P41" s="379">
        <v>1</v>
      </c>
      <c r="Q41" s="378"/>
      <c r="R41" s="110"/>
      <c r="S41" s="388"/>
      <c r="T41" s="586"/>
      <c r="U41" s="598">
        <v>5</v>
      </c>
      <c r="V41" s="571" t="s">
        <v>1024</v>
      </c>
      <c r="W41" s="625">
        <v>0</v>
      </c>
      <c r="X41" s="663">
        <v>0</v>
      </c>
      <c r="Y41" s="691">
        <v>5</v>
      </c>
      <c r="Z41" s="426">
        <f>SUM(W41:Y41)</f>
        <v>5</v>
      </c>
      <c r="AA41" s="147"/>
      <c r="AB41" s="154"/>
      <c r="AC41" s="145"/>
      <c r="AD41" s="986"/>
      <c r="AE41" s="967"/>
      <c r="AF41" s="507"/>
      <c r="AG41" s="507"/>
      <c r="AH41" s="507"/>
      <c r="AI41" s="507"/>
      <c r="AJ41" s="507"/>
      <c r="AK41" s="721">
        <v>10000</v>
      </c>
      <c r="AL41" s="507"/>
      <c r="AM41" s="507"/>
      <c r="AN41" s="507"/>
      <c r="AO41" s="507"/>
      <c r="AP41" s="507"/>
      <c r="AQ41" s="507"/>
      <c r="AR41" s="507"/>
      <c r="AS41" s="507"/>
      <c r="AT41" s="507"/>
      <c r="AU41" s="507"/>
      <c r="AV41" s="970"/>
    </row>
    <row r="42" spans="1:48" hidden="1">
      <c r="A42" s="145"/>
      <c r="B42" s="153"/>
      <c r="C42" s="156"/>
      <c r="D42" s="146"/>
      <c r="E42" s="154"/>
      <c r="F42" s="979"/>
      <c r="G42" s="147"/>
      <c r="H42" s="146"/>
      <c r="I42" s="980"/>
      <c r="J42" s="982"/>
      <c r="K42" s="970"/>
      <c r="L42" s="984"/>
      <c r="M42" s="980"/>
      <c r="N42" s="217"/>
      <c r="O42" s="425"/>
      <c r="P42" s="379"/>
      <c r="Q42" s="378"/>
      <c r="R42" s="110"/>
      <c r="S42" s="388"/>
      <c r="T42" s="586"/>
      <c r="U42" s="572"/>
      <c r="V42" s="572"/>
      <c r="W42" s="626"/>
      <c r="X42" s="664"/>
      <c r="Y42" s="692"/>
      <c r="Z42" s="426"/>
      <c r="AA42" s="147"/>
      <c r="AB42" s="154"/>
      <c r="AC42" s="145"/>
      <c r="AD42" s="986"/>
      <c r="AE42" s="967"/>
      <c r="AF42" s="507"/>
      <c r="AG42" s="507"/>
      <c r="AH42" s="507"/>
      <c r="AI42" s="507"/>
      <c r="AJ42" s="507"/>
      <c r="AK42" s="721"/>
      <c r="AL42" s="507"/>
      <c r="AM42" s="507"/>
      <c r="AN42" s="507"/>
      <c r="AO42" s="507"/>
      <c r="AP42" s="507"/>
      <c r="AQ42" s="507"/>
      <c r="AR42" s="507"/>
      <c r="AS42" s="507"/>
      <c r="AT42" s="507"/>
      <c r="AU42" s="507"/>
      <c r="AV42" s="970"/>
    </row>
    <row r="43" spans="1:48" hidden="1">
      <c r="A43" s="145"/>
      <c r="B43" s="153"/>
      <c r="C43" s="156"/>
      <c r="D43" s="146"/>
      <c r="E43" s="154"/>
      <c r="F43" s="979"/>
      <c r="G43" s="147"/>
      <c r="H43" s="146"/>
      <c r="I43" s="980"/>
      <c r="J43" s="982"/>
      <c r="K43" s="970"/>
      <c r="L43" s="984"/>
      <c r="M43" s="980"/>
      <c r="N43" s="990" t="s">
        <v>790</v>
      </c>
      <c r="O43" s="991"/>
      <c r="P43" s="379"/>
      <c r="Q43" s="378"/>
      <c r="R43" s="153" t="s">
        <v>16</v>
      </c>
      <c r="S43" s="147" t="s">
        <v>15</v>
      </c>
      <c r="T43" s="507">
        <v>12</v>
      </c>
      <c r="U43" s="513">
        <v>1</v>
      </c>
      <c r="V43" s="574" t="s">
        <v>984</v>
      </c>
      <c r="W43" s="627">
        <v>0</v>
      </c>
      <c r="X43" s="627">
        <v>150</v>
      </c>
      <c r="Y43" s="693">
        <v>0</v>
      </c>
      <c r="Z43" s="385">
        <f t="shared" ref="Z43:Z54" si="0">SUM(W43:Y43)</f>
        <v>150</v>
      </c>
      <c r="AA43" s="147"/>
      <c r="AB43" s="154"/>
      <c r="AC43" s="145"/>
      <c r="AD43" s="986"/>
      <c r="AE43" s="967"/>
      <c r="AF43" s="507"/>
      <c r="AG43" s="507"/>
      <c r="AH43" s="507"/>
      <c r="AI43" s="507"/>
      <c r="AJ43" s="507"/>
      <c r="AK43" s="721">
        <v>6650</v>
      </c>
      <c r="AL43" s="507"/>
      <c r="AM43" s="507"/>
      <c r="AN43" s="507"/>
      <c r="AO43" s="507"/>
      <c r="AP43" s="507"/>
      <c r="AQ43" s="507"/>
      <c r="AR43" s="507"/>
      <c r="AS43" s="507"/>
      <c r="AT43" s="507"/>
      <c r="AU43" s="507"/>
      <c r="AV43" s="970"/>
    </row>
    <row r="44" spans="1:48" hidden="1">
      <c r="A44" s="145"/>
      <c r="B44" s="153"/>
      <c r="C44" s="156"/>
      <c r="D44" s="146"/>
      <c r="E44" s="154"/>
      <c r="F44" s="979"/>
      <c r="G44" s="147"/>
      <c r="H44" s="146"/>
      <c r="I44" s="980"/>
      <c r="J44" s="982"/>
      <c r="K44" s="970"/>
      <c r="L44" s="984"/>
      <c r="M44" s="980"/>
      <c r="N44" s="217" t="s">
        <v>25</v>
      </c>
      <c r="O44" s="217" t="s">
        <v>21</v>
      </c>
      <c r="P44" s="379">
        <v>1</v>
      </c>
      <c r="Q44" s="378">
        <v>15</v>
      </c>
      <c r="R44" s="218"/>
      <c r="S44" s="163"/>
      <c r="T44" s="507"/>
      <c r="U44" s="599">
        <v>2</v>
      </c>
      <c r="V44" s="574" t="s">
        <v>985</v>
      </c>
      <c r="W44" s="628" t="s">
        <v>950</v>
      </c>
      <c r="X44" s="641">
        <v>3</v>
      </c>
      <c r="Y44" s="694" t="s">
        <v>950</v>
      </c>
      <c r="Z44" s="385">
        <f t="shared" si="0"/>
        <v>3</v>
      </c>
      <c r="AA44" s="147"/>
      <c r="AB44" s="154"/>
      <c r="AC44" s="145"/>
      <c r="AD44" s="986"/>
      <c r="AE44" s="967"/>
      <c r="AF44" s="507"/>
      <c r="AG44" s="507"/>
      <c r="AH44" s="507"/>
      <c r="AI44" s="507"/>
      <c r="AJ44" s="507"/>
      <c r="AK44" s="721">
        <v>82500</v>
      </c>
      <c r="AL44" s="507"/>
      <c r="AM44" s="507"/>
      <c r="AN44" s="507"/>
      <c r="AO44" s="507"/>
      <c r="AP44" s="507"/>
      <c r="AQ44" s="507"/>
      <c r="AR44" s="507"/>
      <c r="AS44" s="507"/>
      <c r="AT44" s="507"/>
      <c r="AU44" s="507"/>
      <c r="AV44" s="970"/>
    </row>
    <row r="45" spans="1:48" ht="27.6" hidden="1">
      <c r="A45" s="145"/>
      <c r="B45" s="153"/>
      <c r="C45" s="156"/>
      <c r="D45" s="146"/>
      <c r="E45" s="154"/>
      <c r="F45" s="979"/>
      <c r="G45" s="147"/>
      <c r="H45" s="146"/>
      <c r="I45" s="980"/>
      <c r="J45" s="982"/>
      <c r="K45" s="970"/>
      <c r="L45" s="984"/>
      <c r="M45" s="980"/>
      <c r="N45" s="217" t="s">
        <v>435</v>
      </c>
      <c r="O45" s="217" t="s">
        <v>789</v>
      </c>
      <c r="P45" s="379">
        <v>1</v>
      </c>
      <c r="Q45" s="378">
        <v>178.82</v>
      </c>
      <c r="R45" s="218"/>
      <c r="S45" s="163"/>
      <c r="T45" s="507"/>
      <c r="U45" s="513">
        <v>3</v>
      </c>
      <c r="V45" s="574" t="s">
        <v>986</v>
      </c>
      <c r="W45" s="629">
        <v>3</v>
      </c>
      <c r="X45" s="641" t="s">
        <v>950</v>
      </c>
      <c r="Y45" s="695" t="s">
        <v>950</v>
      </c>
      <c r="Z45" s="385">
        <f t="shared" si="0"/>
        <v>3</v>
      </c>
      <c r="AA45" s="147"/>
      <c r="AB45" s="154"/>
      <c r="AC45" s="145"/>
      <c r="AD45" s="986"/>
      <c r="AE45" s="967"/>
      <c r="AF45" s="507"/>
      <c r="AG45" s="507"/>
      <c r="AH45" s="507"/>
      <c r="AI45" s="507"/>
      <c r="AJ45" s="507"/>
      <c r="AK45" s="721">
        <v>425000</v>
      </c>
      <c r="AL45" s="507"/>
      <c r="AM45" s="507"/>
      <c r="AN45" s="507"/>
      <c r="AO45" s="507"/>
      <c r="AP45" s="507"/>
      <c r="AQ45" s="507"/>
      <c r="AR45" s="507"/>
      <c r="AS45" s="507"/>
      <c r="AT45" s="507"/>
      <c r="AU45" s="507"/>
      <c r="AV45" s="970"/>
    </row>
    <row r="46" spans="1:48" hidden="1">
      <c r="A46" s="145"/>
      <c r="B46" s="153"/>
      <c r="C46" s="156"/>
      <c r="D46" s="146"/>
      <c r="E46" s="154"/>
      <c r="F46" s="979"/>
      <c r="G46" s="147"/>
      <c r="H46" s="146"/>
      <c r="I46" s="980"/>
      <c r="J46" s="982"/>
      <c r="K46" s="970"/>
      <c r="L46" s="984"/>
      <c r="M46" s="980"/>
      <c r="N46" s="217" t="s">
        <v>433</v>
      </c>
      <c r="O46" s="217" t="s">
        <v>17</v>
      </c>
      <c r="P46" s="379">
        <v>1</v>
      </c>
      <c r="Q46" s="378">
        <v>1</v>
      </c>
      <c r="R46" s="218"/>
      <c r="S46" s="163"/>
      <c r="T46" s="507"/>
      <c r="U46" s="599">
        <v>4</v>
      </c>
      <c r="V46" s="574" t="s">
        <v>987</v>
      </c>
      <c r="W46" s="629">
        <v>30</v>
      </c>
      <c r="X46" s="641" t="s">
        <v>950</v>
      </c>
      <c r="Y46" s="695" t="s">
        <v>950</v>
      </c>
      <c r="Z46" s="385">
        <f t="shared" si="0"/>
        <v>30</v>
      </c>
      <c r="AA46" s="147"/>
      <c r="AB46" s="154"/>
      <c r="AC46" s="145"/>
      <c r="AD46" s="986"/>
      <c r="AE46" s="967"/>
      <c r="AF46" s="507"/>
      <c r="AG46" s="507"/>
      <c r="AH46" s="507"/>
      <c r="AI46" s="507"/>
      <c r="AJ46" s="507"/>
      <c r="AK46" s="721">
        <v>4000</v>
      </c>
      <c r="AL46" s="507"/>
      <c r="AM46" s="507"/>
      <c r="AN46" s="507"/>
      <c r="AO46" s="507"/>
      <c r="AP46" s="507"/>
      <c r="AQ46" s="507"/>
      <c r="AR46" s="507"/>
      <c r="AS46" s="507"/>
      <c r="AT46" s="507"/>
      <c r="AU46" s="507"/>
      <c r="AV46" s="970"/>
    </row>
    <row r="47" spans="1:48" hidden="1">
      <c r="A47" s="145"/>
      <c r="B47" s="153"/>
      <c r="C47" s="156"/>
      <c r="D47" s="146"/>
      <c r="E47" s="154"/>
      <c r="F47" s="979"/>
      <c r="G47" s="147"/>
      <c r="H47" s="146"/>
      <c r="I47" s="980"/>
      <c r="J47" s="982"/>
      <c r="K47" s="970"/>
      <c r="L47" s="984"/>
      <c r="M47" s="980"/>
      <c r="N47" s="217" t="s">
        <v>12</v>
      </c>
      <c r="O47" s="425" t="s">
        <v>11</v>
      </c>
      <c r="P47" s="379">
        <v>1</v>
      </c>
      <c r="Q47" s="378">
        <v>1</v>
      </c>
      <c r="R47" s="218"/>
      <c r="S47" s="163"/>
      <c r="T47" s="507"/>
      <c r="U47" s="513">
        <v>5</v>
      </c>
      <c r="V47" s="574" t="s">
        <v>947</v>
      </c>
      <c r="W47" s="629" t="s">
        <v>950</v>
      </c>
      <c r="X47" s="641">
        <v>40</v>
      </c>
      <c r="Y47" s="695" t="s">
        <v>950</v>
      </c>
      <c r="Z47" s="385">
        <f t="shared" si="0"/>
        <v>40</v>
      </c>
      <c r="AA47" s="147"/>
      <c r="AB47" s="154"/>
      <c r="AC47" s="145"/>
      <c r="AD47" s="986"/>
      <c r="AE47" s="967"/>
      <c r="AF47" s="507"/>
      <c r="AG47" s="507"/>
      <c r="AH47" s="507"/>
      <c r="AI47" s="507"/>
      <c r="AJ47" s="507"/>
      <c r="AK47" s="721">
        <v>2000</v>
      </c>
      <c r="AL47" s="507"/>
      <c r="AM47" s="507"/>
      <c r="AN47" s="507"/>
      <c r="AO47" s="507"/>
      <c r="AP47" s="507"/>
      <c r="AQ47" s="507"/>
      <c r="AR47" s="507"/>
      <c r="AS47" s="507"/>
      <c r="AT47" s="507"/>
      <c r="AU47" s="507"/>
      <c r="AV47" s="970"/>
    </row>
    <row r="48" spans="1:48" hidden="1">
      <c r="A48" s="145"/>
      <c r="B48" s="153"/>
      <c r="C48" s="156"/>
      <c r="D48" s="146"/>
      <c r="E48" s="154"/>
      <c r="F48" s="979"/>
      <c r="G48" s="147"/>
      <c r="H48" s="146"/>
      <c r="I48" s="980"/>
      <c r="J48" s="982"/>
      <c r="K48" s="970"/>
      <c r="L48" s="984"/>
      <c r="M48" s="980"/>
      <c r="N48" s="217" t="s">
        <v>8</v>
      </c>
      <c r="O48" s="425" t="s">
        <v>184</v>
      </c>
      <c r="P48" s="379"/>
      <c r="Q48" s="378">
        <v>4.03</v>
      </c>
      <c r="R48" s="218"/>
      <c r="S48" s="163"/>
      <c r="T48" s="507"/>
      <c r="U48" s="599">
        <v>6</v>
      </c>
      <c r="V48" s="574" t="s">
        <v>955</v>
      </c>
      <c r="W48" s="629">
        <v>10</v>
      </c>
      <c r="X48" s="641" t="s">
        <v>950</v>
      </c>
      <c r="Y48" s="695" t="s">
        <v>950</v>
      </c>
      <c r="Z48" s="385">
        <f t="shared" si="0"/>
        <v>10</v>
      </c>
      <c r="AA48" s="147"/>
      <c r="AB48" s="154"/>
      <c r="AC48" s="145"/>
      <c r="AD48" s="986"/>
      <c r="AE48" s="967"/>
      <c r="AF48" s="507"/>
      <c r="AG48" s="507"/>
      <c r="AH48" s="507"/>
      <c r="AI48" s="507"/>
      <c r="AJ48" s="507"/>
      <c r="AK48" s="721">
        <v>4000</v>
      </c>
      <c r="AL48" s="507"/>
      <c r="AM48" s="507"/>
      <c r="AN48" s="507"/>
      <c r="AO48" s="507"/>
      <c r="AP48" s="507"/>
      <c r="AQ48" s="507"/>
      <c r="AR48" s="507"/>
      <c r="AS48" s="507"/>
      <c r="AT48" s="507"/>
      <c r="AU48" s="507"/>
      <c r="AV48" s="970"/>
    </row>
    <row r="49" spans="1:48" hidden="1">
      <c r="A49" s="145"/>
      <c r="B49" s="153"/>
      <c r="C49" s="156"/>
      <c r="D49" s="146"/>
      <c r="E49" s="154"/>
      <c r="F49" s="979"/>
      <c r="G49" s="147"/>
      <c r="H49" s="146"/>
      <c r="I49" s="980"/>
      <c r="J49" s="982"/>
      <c r="K49" s="970"/>
      <c r="L49" s="984"/>
      <c r="M49" s="980"/>
      <c r="N49" s="217"/>
      <c r="O49" s="425"/>
      <c r="P49" s="152"/>
      <c r="Q49" s="151"/>
      <c r="R49" s="218"/>
      <c r="S49" s="163"/>
      <c r="T49" s="507"/>
      <c r="U49" s="513">
        <v>7</v>
      </c>
      <c r="V49" s="574" t="s">
        <v>988</v>
      </c>
      <c r="W49" s="629" t="s">
        <v>950</v>
      </c>
      <c r="X49" s="641" t="s">
        <v>950</v>
      </c>
      <c r="Y49" s="695">
        <v>7</v>
      </c>
      <c r="Z49" s="385">
        <f t="shared" si="0"/>
        <v>7</v>
      </c>
      <c r="AA49" s="147"/>
      <c r="AB49" s="154"/>
      <c r="AC49" s="145"/>
      <c r="AD49" s="986"/>
      <c r="AE49" s="967"/>
      <c r="AF49" s="507"/>
      <c r="AG49" s="507"/>
      <c r="AH49" s="507"/>
      <c r="AI49" s="507"/>
      <c r="AJ49" s="507"/>
      <c r="AK49" s="721">
        <v>20000</v>
      </c>
      <c r="AL49" s="507"/>
      <c r="AM49" s="507"/>
      <c r="AN49" s="507"/>
      <c r="AO49" s="507"/>
      <c r="AP49" s="507"/>
      <c r="AQ49" s="507"/>
      <c r="AR49" s="507"/>
      <c r="AS49" s="507"/>
      <c r="AT49" s="507"/>
      <c r="AU49" s="507"/>
      <c r="AV49" s="970"/>
    </row>
    <row r="50" spans="1:48" hidden="1">
      <c r="A50" s="145"/>
      <c r="B50" s="153"/>
      <c r="C50" s="156"/>
      <c r="D50" s="146"/>
      <c r="E50" s="154"/>
      <c r="F50" s="979"/>
      <c r="G50" s="147"/>
      <c r="H50" s="146"/>
      <c r="I50" s="980"/>
      <c r="J50" s="982"/>
      <c r="K50" s="970"/>
      <c r="L50" s="984"/>
      <c r="M50" s="980"/>
      <c r="N50" s="217"/>
      <c r="O50" s="425"/>
      <c r="P50" s="152"/>
      <c r="Q50" s="151"/>
      <c r="R50" s="218"/>
      <c r="S50" s="163"/>
      <c r="T50" s="507"/>
      <c r="U50" s="599">
        <v>8</v>
      </c>
      <c r="V50" s="574" t="s">
        <v>989</v>
      </c>
      <c r="W50" s="629">
        <v>5</v>
      </c>
      <c r="X50" s="641" t="s">
        <v>950</v>
      </c>
      <c r="Y50" s="695" t="s">
        <v>950</v>
      </c>
      <c r="Z50" s="385">
        <f t="shared" si="0"/>
        <v>5</v>
      </c>
      <c r="AA50" s="147"/>
      <c r="AB50" s="154"/>
      <c r="AC50" s="145"/>
      <c r="AD50" s="986"/>
      <c r="AE50" s="967"/>
      <c r="AF50" s="507"/>
      <c r="AG50" s="507"/>
      <c r="AH50" s="507"/>
      <c r="AI50" s="507"/>
      <c r="AJ50" s="507"/>
      <c r="AK50" s="721">
        <v>10000</v>
      </c>
      <c r="AL50" s="507"/>
      <c r="AM50" s="507"/>
      <c r="AN50" s="507"/>
      <c r="AO50" s="507"/>
      <c r="AP50" s="507"/>
      <c r="AQ50" s="507"/>
      <c r="AR50" s="507"/>
      <c r="AS50" s="507"/>
      <c r="AT50" s="507"/>
      <c r="AU50" s="507"/>
      <c r="AV50" s="970"/>
    </row>
    <row r="51" spans="1:48" hidden="1">
      <c r="A51" s="145"/>
      <c r="B51" s="153"/>
      <c r="C51" s="156"/>
      <c r="D51" s="146"/>
      <c r="E51" s="154"/>
      <c r="F51" s="979"/>
      <c r="G51" s="147"/>
      <c r="H51" s="146"/>
      <c r="I51" s="980"/>
      <c r="J51" s="982"/>
      <c r="K51" s="970"/>
      <c r="L51" s="984"/>
      <c r="M51" s="980"/>
      <c r="N51" s="217"/>
      <c r="O51" s="425"/>
      <c r="P51" s="152"/>
      <c r="Q51" s="151"/>
      <c r="R51" s="218"/>
      <c r="S51" s="163"/>
      <c r="T51" s="507"/>
      <c r="U51" s="513">
        <v>9</v>
      </c>
      <c r="V51" s="574" t="s">
        <v>990</v>
      </c>
      <c r="W51" s="629" t="s">
        <v>950</v>
      </c>
      <c r="X51" s="641" t="s">
        <v>950</v>
      </c>
      <c r="Y51" s="695">
        <v>2</v>
      </c>
      <c r="Z51" s="385">
        <f t="shared" si="0"/>
        <v>2</v>
      </c>
      <c r="AA51" s="147"/>
      <c r="AB51" s="154"/>
      <c r="AC51" s="145"/>
      <c r="AD51" s="986"/>
      <c r="AE51" s="967"/>
      <c r="AF51" s="507"/>
      <c r="AG51" s="507"/>
      <c r="AH51" s="507"/>
      <c r="AI51" s="507"/>
      <c r="AJ51" s="507"/>
      <c r="AK51" s="721">
        <v>33000</v>
      </c>
      <c r="AL51" s="507"/>
      <c r="AM51" s="507"/>
      <c r="AN51" s="507"/>
      <c r="AO51" s="507"/>
      <c r="AP51" s="507"/>
      <c r="AQ51" s="507"/>
      <c r="AR51" s="507"/>
      <c r="AS51" s="507"/>
      <c r="AT51" s="507"/>
      <c r="AU51" s="507"/>
      <c r="AV51" s="970"/>
    </row>
    <row r="52" spans="1:48" hidden="1">
      <c r="A52" s="145"/>
      <c r="B52" s="153"/>
      <c r="C52" s="156"/>
      <c r="D52" s="146"/>
      <c r="E52" s="154"/>
      <c r="F52" s="979"/>
      <c r="G52" s="147"/>
      <c r="H52" s="146"/>
      <c r="I52" s="980"/>
      <c r="J52" s="982"/>
      <c r="K52" s="970"/>
      <c r="L52" s="984"/>
      <c r="M52" s="980"/>
      <c r="N52" s="217"/>
      <c r="O52" s="425"/>
      <c r="P52" s="152"/>
      <c r="Q52" s="151"/>
      <c r="R52" s="218"/>
      <c r="S52" s="163"/>
      <c r="T52" s="507"/>
      <c r="U52" s="599">
        <v>10</v>
      </c>
      <c r="V52" s="574" t="s">
        <v>991</v>
      </c>
      <c r="W52" s="629" t="s">
        <v>950</v>
      </c>
      <c r="X52" s="641" t="s">
        <v>950</v>
      </c>
      <c r="Y52" s="695">
        <v>2</v>
      </c>
      <c r="Z52" s="385">
        <f t="shared" si="0"/>
        <v>2</v>
      </c>
      <c r="AA52" s="147"/>
      <c r="AB52" s="154"/>
      <c r="AC52" s="145"/>
      <c r="AD52" s="986"/>
      <c r="AE52" s="967"/>
      <c r="AF52" s="507"/>
      <c r="AG52" s="507"/>
      <c r="AH52" s="507"/>
      <c r="AI52" s="507"/>
      <c r="AJ52" s="507"/>
      <c r="AK52" s="721">
        <v>33000</v>
      </c>
      <c r="AL52" s="507"/>
      <c r="AM52" s="507"/>
      <c r="AN52" s="507"/>
      <c r="AO52" s="507"/>
      <c r="AP52" s="507"/>
      <c r="AQ52" s="507"/>
      <c r="AR52" s="507"/>
      <c r="AS52" s="507"/>
      <c r="AT52" s="507"/>
      <c r="AU52" s="507"/>
      <c r="AV52" s="970"/>
    </row>
    <row r="53" spans="1:48" hidden="1">
      <c r="A53" s="145"/>
      <c r="B53" s="153"/>
      <c r="C53" s="156"/>
      <c r="D53" s="146"/>
      <c r="E53" s="154"/>
      <c r="F53" s="979"/>
      <c r="G53" s="147"/>
      <c r="H53" s="146"/>
      <c r="I53" s="980"/>
      <c r="J53" s="982"/>
      <c r="K53" s="970"/>
      <c r="L53" s="984"/>
      <c r="M53" s="980"/>
      <c r="N53" s="217"/>
      <c r="O53" s="425"/>
      <c r="P53" s="152"/>
      <c r="Q53" s="151"/>
      <c r="R53" s="218"/>
      <c r="S53" s="163"/>
      <c r="T53" s="507"/>
      <c r="U53" s="513">
        <v>11</v>
      </c>
      <c r="V53" s="574" t="s">
        <v>992</v>
      </c>
      <c r="W53" s="629" t="s">
        <v>950</v>
      </c>
      <c r="X53" s="641" t="s">
        <v>950</v>
      </c>
      <c r="Y53" s="695">
        <v>2</v>
      </c>
      <c r="Z53" s="385">
        <f t="shared" si="0"/>
        <v>2</v>
      </c>
      <c r="AA53" s="147"/>
      <c r="AB53" s="154"/>
      <c r="AC53" s="145"/>
      <c r="AD53" s="986"/>
      <c r="AE53" s="967"/>
      <c r="AF53" s="507"/>
      <c r="AG53" s="507"/>
      <c r="AH53" s="507"/>
      <c r="AI53" s="507"/>
      <c r="AJ53" s="507"/>
      <c r="AK53" s="721">
        <v>41250</v>
      </c>
      <c r="AL53" s="507"/>
      <c r="AM53" s="507"/>
      <c r="AN53" s="507"/>
      <c r="AO53" s="507"/>
      <c r="AP53" s="507"/>
      <c r="AQ53" s="507"/>
      <c r="AR53" s="507"/>
      <c r="AS53" s="507"/>
      <c r="AT53" s="507"/>
      <c r="AU53" s="507"/>
      <c r="AV53" s="970"/>
    </row>
    <row r="54" spans="1:48" hidden="1">
      <c r="A54" s="145"/>
      <c r="B54" s="153"/>
      <c r="C54" s="156"/>
      <c r="D54" s="146"/>
      <c r="E54" s="154"/>
      <c r="F54" s="979"/>
      <c r="G54" s="147"/>
      <c r="H54" s="146"/>
      <c r="I54" s="980"/>
      <c r="J54" s="982"/>
      <c r="K54" s="970"/>
      <c r="L54" s="984"/>
      <c r="M54" s="980"/>
      <c r="N54" s="217"/>
      <c r="O54" s="425"/>
      <c r="P54" s="152"/>
      <c r="Q54" s="151"/>
      <c r="R54" s="218"/>
      <c r="S54" s="163"/>
      <c r="T54" s="507"/>
      <c r="U54" s="599">
        <v>12</v>
      </c>
      <c r="V54" s="574" t="s">
        <v>993</v>
      </c>
      <c r="W54" s="629">
        <v>3</v>
      </c>
      <c r="X54" s="641" t="s">
        <v>950</v>
      </c>
      <c r="Y54" s="695" t="s">
        <v>950</v>
      </c>
      <c r="Z54" s="385">
        <f t="shared" si="0"/>
        <v>3</v>
      </c>
      <c r="AA54" s="147"/>
      <c r="AB54" s="154"/>
      <c r="AC54" s="145"/>
      <c r="AD54" s="986"/>
      <c r="AE54" s="967"/>
      <c r="AF54" s="507"/>
      <c r="AG54" s="507"/>
      <c r="AH54" s="507"/>
      <c r="AI54" s="507"/>
      <c r="AJ54" s="507"/>
      <c r="AK54" s="721">
        <v>10000</v>
      </c>
      <c r="AL54" s="507"/>
      <c r="AM54" s="507"/>
      <c r="AN54" s="507"/>
      <c r="AO54" s="507"/>
      <c r="AP54" s="507"/>
      <c r="AQ54" s="507"/>
      <c r="AR54" s="507"/>
      <c r="AS54" s="507"/>
      <c r="AT54" s="507"/>
      <c r="AU54" s="507"/>
      <c r="AV54" s="970"/>
    </row>
    <row r="55" spans="1:48" hidden="1">
      <c r="A55" s="129"/>
      <c r="B55" s="137"/>
      <c r="C55" s="141"/>
      <c r="D55" s="130"/>
      <c r="E55" s="138"/>
      <c r="F55" s="992"/>
      <c r="G55" s="131"/>
      <c r="H55" s="130"/>
      <c r="I55" s="985"/>
      <c r="J55" s="993"/>
      <c r="K55" s="971"/>
      <c r="L55" s="994"/>
      <c r="M55" s="985"/>
      <c r="N55" s="131"/>
      <c r="O55" s="138"/>
      <c r="P55" s="136"/>
      <c r="Q55" s="135"/>
      <c r="R55" s="137"/>
      <c r="S55" s="131"/>
      <c r="T55" s="508"/>
      <c r="U55" s="600"/>
      <c r="V55" s="573"/>
      <c r="W55" s="623"/>
      <c r="X55" s="652"/>
      <c r="Y55" s="686"/>
      <c r="Z55" s="394"/>
      <c r="AA55" s="131"/>
      <c r="AB55" s="138"/>
      <c r="AC55" s="129"/>
      <c r="AD55" s="987"/>
      <c r="AE55" s="968"/>
      <c r="AF55" s="508"/>
      <c r="AG55" s="508"/>
      <c r="AH55" s="508"/>
      <c r="AI55" s="508"/>
      <c r="AJ55" s="508"/>
      <c r="AK55" s="723"/>
      <c r="AL55" s="508"/>
      <c r="AM55" s="508"/>
      <c r="AN55" s="508"/>
      <c r="AO55" s="508"/>
      <c r="AP55" s="508"/>
      <c r="AQ55" s="508"/>
      <c r="AR55" s="508"/>
      <c r="AS55" s="508"/>
      <c r="AT55" s="508"/>
      <c r="AU55" s="508"/>
      <c r="AV55" s="971"/>
    </row>
    <row r="56" spans="1:48" hidden="1">
      <c r="A56" s="185" t="s">
        <v>704</v>
      </c>
      <c r="B56" s="176" t="s">
        <v>25</v>
      </c>
      <c r="C56" s="184" t="s">
        <v>783</v>
      </c>
      <c r="D56" s="183"/>
      <c r="E56" s="170"/>
      <c r="F56" s="978"/>
      <c r="G56" s="219" t="s">
        <v>25</v>
      </c>
      <c r="H56" s="154" t="s">
        <v>729</v>
      </c>
      <c r="I56" s="996">
        <v>1400</v>
      </c>
      <c r="J56" s="981" t="s">
        <v>46</v>
      </c>
      <c r="K56" s="969" t="s">
        <v>788</v>
      </c>
      <c r="L56" s="997" t="s">
        <v>46</v>
      </c>
      <c r="M56" s="996"/>
      <c r="N56" s="988" t="s">
        <v>787</v>
      </c>
      <c r="O56" s="989"/>
      <c r="P56" s="175"/>
      <c r="Q56" s="174"/>
      <c r="R56" s="218" t="s">
        <v>25</v>
      </c>
      <c r="S56" s="147" t="s">
        <v>24</v>
      </c>
      <c r="T56" s="506"/>
      <c r="U56" s="597">
        <v>1</v>
      </c>
      <c r="V56" s="575" t="s">
        <v>56</v>
      </c>
      <c r="W56" s="619">
        <v>0</v>
      </c>
      <c r="X56" s="659">
        <v>0</v>
      </c>
      <c r="Y56" s="687">
        <v>10</v>
      </c>
      <c r="Z56" s="385">
        <f t="shared" ref="Z56:Z63" si="1">SUM(W56:Y56)</f>
        <v>10</v>
      </c>
      <c r="AA56" s="183"/>
      <c r="AB56" s="270"/>
      <c r="AC56" s="168"/>
      <c r="AD56" s="995"/>
      <c r="AE56" s="966"/>
      <c r="AF56" s="506"/>
      <c r="AG56" s="506"/>
      <c r="AH56" s="506"/>
      <c r="AI56" s="506"/>
      <c r="AJ56" s="506"/>
      <c r="AK56" s="722">
        <v>10000</v>
      </c>
      <c r="AL56" s="506"/>
      <c r="AM56" s="506"/>
      <c r="AN56" s="506"/>
      <c r="AO56" s="506"/>
      <c r="AP56" s="506"/>
      <c r="AQ56" s="506"/>
      <c r="AR56" s="506"/>
      <c r="AS56" s="506"/>
      <c r="AT56" s="506"/>
      <c r="AU56" s="506"/>
      <c r="AV56" s="969"/>
    </row>
    <row r="57" spans="1:48" hidden="1">
      <c r="A57" s="145"/>
      <c r="B57" s="153" t="s">
        <v>16</v>
      </c>
      <c r="C57" s="164" t="s">
        <v>780</v>
      </c>
      <c r="D57" s="147"/>
      <c r="E57" s="163"/>
      <c r="F57" s="979"/>
      <c r="G57" s="147" t="s">
        <v>16</v>
      </c>
      <c r="H57" s="147" t="s">
        <v>726</v>
      </c>
      <c r="I57" s="980"/>
      <c r="J57" s="982"/>
      <c r="K57" s="970"/>
      <c r="L57" s="984"/>
      <c r="M57" s="980"/>
      <c r="N57" s="147" t="s">
        <v>25</v>
      </c>
      <c r="O57" s="203" t="s">
        <v>21</v>
      </c>
      <c r="P57" s="379">
        <v>1</v>
      </c>
      <c r="Q57" s="378">
        <v>16.2</v>
      </c>
      <c r="R57" s="153"/>
      <c r="S57" s="147"/>
      <c r="T57" s="507"/>
      <c r="U57" s="598">
        <v>2</v>
      </c>
      <c r="V57" s="571" t="s">
        <v>883</v>
      </c>
      <c r="W57" s="620">
        <v>0</v>
      </c>
      <c r="X57" s="660">
        <v>0</v>
      </c>
      <c r="Y57" s="688">
        <v>15</v>
      </c>
      <c r="Z57" s="385">
        <f t="shared" si="1"/>
        <v>15</v>
      </c>
      <c r="AA57" s="147"/>
      <c r="AB57" s="154"/>
      <c r="AC57" s="145"/>
      <c r="AD57" s="986"/>
      <c r="AE57" s="967"/>
      <c r="AF57" s="507"/>
      <c r="AG57" s="507"/>
      <c r="AH57" s="507"/>
      <c r="AI57" s="507"/>
      <c r="AJ57" s="507"/>
      <c r="AK57" s="721">
        <v>20000</v>
      </c>
      <c r="AL57" s="507"/>
      <c r="AM57" s="507"/>
      <c r="AN57" s="507"/>
      <c r="AO57" s="507"/>
      <c r="AP57" s="507"/>
      <c r="AQ57" s="507"/>
      <c r="AR57" s="507"/>
      <c r="AS57" s="507"/>
      <c r="AT57" s="507"/>
      <c r="AU57" s="507"/>
      <c r="AV57" s="970"/>
    </row>
    <row r="58" spans="1:48" hidden="1">
      <c r="A58" s="145"/>
      <c r="B58" s="153" t="s">
        <v>18</v>
      </c>
      <c r="C58" s="162" t="s">
        <v>38</v>
      </c>
      <c r="D58" s="147"/>
      <c r="E58" s="147"/>
      <c r="F58" s="979"/>
      <c r="G58" s="147" t="s">
        <v>18</v>
      </c>
      <c r="H58" s="147" t="s">
        <v>19</v>
      </c>
      <c r="I58" s="980"/>
      <c r="J58" s="982"/>
      <c r="K58" s="970"/>
      <c r="L58" s="984"/>
      <c r="M58" s="980"/>
      <c r="N58" s="153" t="s">
        <v>435</v>
      </c>
      <c r="O58" s="162" t="s">
        <v>62</v>
      </c>
      <c r="P58" s="379">
        <v>1</v>
      </c>
      <c r="Q58" s="378">
        <v>107.1</v>
      </c>
      <c r="T58" s="507"/>
      <c r="U58" s="598">
        <v>3</v>
      </c>
      <c r="V58" s="571" t="s">
        <v>58</v>
      </c>
      <c r="W58" s="620">
        <v>0</v>
      </c>
      <c r="X58" s="660">
        <v>0</v>
      </c>
      <c r="Y58" s="688">
        <v>25</v>
      </c>
      <c r="Z58" s="385">
        <f t="shared" si="1"/>
        <v>25</v>
      </c>
      <c r="AA58" s="147"/>
      <c r="AB58" s="163"/>
      <c r="AC58" s="145"/>
      <c r="AD58" s="986"/>
      <c r="AE58" s="967"/>
      <c r="AF58" s="507"/>
      <c r="AG58" s="507"/>
      <c r="AH58" s="507"/>
      <c r="AI58" s="507"/>
      <c r="AJ58" s="507"/>
      <c r="AK58" s="721">
        <v>50000</v>
      </c>
      <c r="AL58" s="507"/>
      <c r="AM58" s="507"/>
      <c r="AN58" s="507"/>
      <c r="AO58" s="507"/>
      <c r="AP58" s="507"/>
      <c r="AQ58" s="507"/>
      <c r="AR58" s="507"/>
      <c r="AS58" s="507"/>
      <c r="AT58" s="507"/>
      <c r="AU58" s="507"/>
      <c r="AV58" s="970"/>
    </row>
    <row r="59" spans="1:48" ht="55.2" hidden="1">
      <c r="A59" s="145"/>
      <c r="B59" s="157" t="s">
        <v>12</v>
      </c>
      <c r="C59" s="156" t="s">
        <v>725</v>
      </c>
      <c r="D59" s="146"/>
      <c r="E59" s="154"/>
      <c r="F59" s="979"/>
      <c r="G59" s="147"/>
      <c r="H59" s="146"/>
      <c r="I59" s="980"/>
      <c r="J59" s="982"/>
      <c r="K59" s="970"/>
      <c r="L59" s="984"/>
      <c r="M59" s="980"/>
      <c r="N59" s="147" t="s">
        <v>433</v>
      </c>
      <c r="O59" s="155" t="s">
        <v>17</v>
      </c>
      <c r="P59" s="379">
        <v>1</v>
      </c>
      <c r="Q59" s="378"/>
      <c r="R59" s="153"/>
      <c r="S59" s="163"/>
      <c r="T59" s="584"/>
      <c r="U59" s="598">
        <v>4</v>
      </c>
      <c r="V59" s="571" t="s">
        <v>1023</v>
      </c>
      <c r="W59" s="620">
        <v>0</v>
      </c>
      <c r="X59" s="660">
        <v>0</v>
      </c>
      <c r="Y59" s="688">
        <v>30</v>
      </c>
      <c r="Z59" s="385">
        <f t="shared" si="1"/>
        <v>30</v>
      </c>
      <c r="AA59" s="147"/>
      <c r="AB59" s="163"/>
      <c r="AC59" s="152"/>
      <c r="AD59" s="986"/>
      <c r="AE59" s="967"/>
      <c r="AF59" s="507"/>
      <c r="AG59" s="507"/>
      <c r="AH59" s="507"/>
      <c r="AI59" s="507"/>
      <c r="AJ59" s="507"/>
      <c r="AK59" s="721">
        <v>10000</v>
      </c>
      <c r="AL59" s="507"/>
      <c r="AM59" s="507"/>
      <c r="AN59" s="507"/>
      <c r="AO59" s="507"/>
      <c r="AP59" s="507"/>
      <c r="AQ59" s="507"/>
      <c r="AR59" s="507"/>
      <c r="AS59" s="507"/>
      <c r="AT59" s="507"/>
      <c r="AU59" s="507"/>
      <c r="AV59" s="970"/>
    </row>
    <row r="60" spans="1:48" hidden="1">
      <c r="A60" s="145"/>
      <c r="B60" s="157" t="s">
        <v>429</v>
      </c>
      <c r="C60" s="190" t="s">
        <v>779</v>
      </c>
      <c r="D60" s="146"/>
      <c r="E60" s="154"/>
      <c r="F60" s="979"/>
      <c r="G60" s="147"/>
      <c r="H60" s="146"/>
      <c r="I60" s="980"/>
      <c r="J60" s="982"/>
      <c r="K60" s="970"/>
      <c r="L60" s="984"/>
      <c r="M60" s="980"/>
      <c r="N60" s="147" t="s">
        <v>431</v>
      </c>
      <c r="O60" s="154" t="s">
        <v>11</v>
      </c>
      <c r="P60" s="379">
        <v>1</v>
      </c>
      <c r="Q60" s="378"/>
      <c r="R60" s="153"/>
      <c r="S60" s="163"/>
      <c r="T60" s="584"/>
      <c r="U60" s="598">
        <v>5</v>
      </c>
      <c r="V60" s="576" t="s">
        <v>585</v>
      </c>
      <c r="W60" s="620">
        <v>0</v>
      </c>
      <c r="X60" s="660">
        <v>0</v>
      </c>
      <c r="Y60" s="688">
        <v>15</v>
      </c>
      <c r="Z60" s="385">
        <f t="shared" si="1"/>
        <v>15</v>
      </c>
      <c r="AA60" s="147"/>
      <c r="AB60" s="163"/>
      <c r="AC60" s="152"/>
      <c r="AD60" s="986"/>
      <c r="AE60" s="967"/>
      <c r="AF60" s="507"/>
      <c r="AG60" s="507"/>
      <c r="AH60" s="507"/>
      <c r="AI60" s="507"/>
      <c r="AJ60" s="507"/>
      <c r="AK60" s="721">
        <v>8250</v>
      </c>
      <c r="AL60" s="507"/>
      <c r="AM60" s="507"/>
      <c r="AN60" s="507"/>
      <c r="AO60" s="507"/>
      <c r="AP60" s="507"/>
      <c r="AQ60" s="507"/>
      <c r="AR60" s="507"/>
      <c r="AS60" s="507"/>
      <c r="AT60" s="507"/>
      <c r="AU60" s="507"/>
      <c r="AV60" s="970"/>
    </row>
    <row r="61" spans="1:48" hidden="1">
      <c r="A61" s="145"/>
      <c r="B61" s="157"/>
      <c r="C61" s="156"/>
      <c r="D61" s="146"/>
      <c r="E61" s="154"/>
      <c r="F61" s="979"/>
      <c r="G61" s="147"/>
      <c r="H61" s="146"/>
      <c r="I61" s="980"/>
      <c r="J61" s="982"/>
      <c r="K61" s="970"/>
      <c r="L61" s="984"/>
      <c r="M61" s="980"/>
      <c r="N61" s="147"/>
      <c r="O61" s="154"/>
      <c r="P61" s="379"/>
      <c r="Q61" s="378"/>
      <c r="R61" s="153"/>
      <c r="S61" s="163"/>
      <c r="T61" s="584"/>
      <c r="U61" s="598">
        <v>6</v>
      </c>
      <c r="V61" s="576" t="s">
        <v>1024</v>
      </c>
      <c r="W61" s="620">
        <v>0</v>
      </c>
      <c r="X61" s="660">
        <v>0</v>
      </c>
      <c r="Y61" s="688">
        <v>30</v>
      </c>
      <c r="Z61" s="385">
        <f t="shared" si="1"/>
        <v>30</v>
      </c>
      <c r="AA61" s="147"/>
      <c r="AB61" s="163"/>
      <c r="AC61" s="152"/>
      <c r="AD61" s="986"/>
      <c r="AE61" s="967"/>
      <c r="AF61" s="507"/>
      <c r="AG61" s="507"/>
      <c r="AH61" s="507"/>
      <c r="AI61" s="507"/>
      <c r="AJ61" s="507"/>
      <c r="AK61" s="721">
        <v>10000</v>
      </c>
      <c r="AL61" s="507"/>
      <c r="AM61" s="507"/>
      <c r="AN61" s="507"/>
      <c r="AO61" s="507"/>
      <c r="AP61" s="507"/>
      <c r="AQ61" s="507"/>
      <c r="AR61" s="507"/>
      <c r="AS61" s="507"/>
      <c r="AT61" s="507"/>
      <c r="AU61" s="507"/>
      <c r="AV61" s="970"/>
    </row>
    <row r="62" spans="1:48" hidden="1">
      <c r="A62" s="145"/>
      <c r="B62" s="157"/>
      <c r="C62" s="156"/>
      <c r="D62" s="146"/>
      <c r="E62" s="154"/>
      <c r="F62" s="979"/>
      <c r="G62" s="147"/>
      <c r="H62" s="146"/>
      <c r="I62" s="980"/>
      <c r="J62" s="982"/>
      <c r="K62" s="970"/>
      <c r="L62" s="984"/>
      <c r="M62" s="980"/>
      <c r="N62" s="990" t="s">
        <v>786</v>
      </c>
      <c r="O62" s="991"/>
      <c r="P62" s="379"/>
      <c r="Q62" s="378"/>
      <c r="R62" s="153"/>
      <c r="S62" s="163"/>
      <c r="T62" s="584"/>
      <c r="U62" s="598">
        <v>7</v>
      </c>
      <c r="V62" s="576" t="s">
        <v>88</v>
      </c>
      <c r="W62" s="620">
        <v>0</v>
      </c>
      <c r="X62" s="660">
        <v>0</v>
      </c>
      <c r="Y62" s="688">
        <v>15</v>
      </c>
      <c r="Z62" s="385">
        <f t="shared" si="1"/>
        <v>15</v>
      </c>
      <c r="AA62" s="147"/>
      <c r="AB62" s="163"/>
      <c r="AC62" s="152"/>
      <c r="AD62" s="986"/>
      <c r="AE62" s="967"/>
      <c r="AF62" s="507"/>
      <c r="AG62" s="507"/>
      <c r="AH62" s="507"/>
      <c r="AI62" s="507"/>
      <c r="AJ62" s="507"/>
      <c r="AK62" s="721">
        <v>20000</v>
      </c>
      <c r="AL62" s="507"/>
      <c r="AM62" s="507"/>
      <c r="AN62" s="507"/>
      <c r="AO62" s="507"/>
      <c r="AP62" s="507"/>
      <c r="AQ62" s="507"/>
      <c r="AR62" s="507"/>
      <c r="AS62" s="507"/>
      <c r="AT62" s="507"/>
      <c r="AU62" s="507"/>
      <c r="AV62" s="970"/>
    </row>
    <row r="63" spans="1:48" hidden="1">
      <c r="A63" s="145"/>
      <c r="B63" s="157"/>
      <c r="C63" s="156"/>
      <c r="D63" s="146"/>
      <c r="E63" s="154"/>
      <c r="F63" s="979"/>
      <c r="G63" s="147"/>
      <c r="H63" s="146"/>
      <c r="I63" s="980"/>
      <c r="J63" s="982"/>
      <c r="K63" s="970"/>
      <c r="L63" s="984"/>
      <c r="M63" s="980"/>
      <c r="N63" s="147" t="s">
        <v>25</v>
      </c>
      <c r="O63" s="203" t="s">
        <v>21</v>
      </c>
      <c r="P63" s="379">
        <v>1</v>
      </c>
      <c r="Q63" s="378">
        <v>18</v>
      </c>
      <c r="R63" s="153"/>
      <c r="S63" s="163"/>
      <c r="T63" s="584"/>
      <c r="U63" s="598">
        <v>8</v>
      </c>
      <c r="V63" s="576" t="s">
        <v>109</v>
      </c>
      <c r="W63" s="620">
        <v>0</v>
      </c>
      <c r="X63" s="660">
        <v>0</v>
      </c>
      <c r="Y63" s="688">
        <v>10</v>
      </c>
      <c r="Z63" s="385">
        <f t="shared" si="1"/>
        <v>10</v>
      </c>
      <c r="AA63" s="147"/>
      <c r="AB63" s="163"/>
      <c r="AC63" s="152"/>
      <c r="AD63" s="986"/>
      <c r="AE63" s="967"/>
      <c r="AF63" s="507"/>
      <c r="AG63" s="507"/>
      <c r="AH63" s="507"/>
      <c r="AI63" s="507"/>
      <c r="AJ63" s="507"/>
      <c r="AK63" s="721">
        <v>10000</v>
      </c>
      <c r="AL63" s="507"/>
      <c r="AM63" s="507"/>
      <c r="AN63" s="507"/>
      <c r="AO63" s="507"/>
      <c r="AP63" s="507"/>
      <c r="AQ63" s="507"/>
      <c r="AR63" s="507"/>
      <c r="AS63" s="507"/>
      <c r="AT63" s="507"/>
      <c r="AU63" s="507"/>
      <c r="AV63" s="970"/>
    </row>
    <row r="64" spans="1:48" hidden="1">
      <c r="A64" s="145"/>
      <c r="B64" s="157"/>
      <c r="C64" s="156"/>
      <c r="D64" s="146"/>
      <c r="E64" s="154"/>
      <c r="F64" s="979"/>
      <c r="G64" s="147"/>
      <c r="H64" s="146"/>
      <c r="I64" s="980"/>
      <c r="J64" s="982"/>
      <c r="K64" s="970"/>
      <c r="L64" s="984"/>
      <c r="M64" s="980"/>
      <c r="N64" s="147" t="s">
        <v>435</v>
      </c>
      <c r="O64" s="162" t="s">
        <v>62</v>
      </c>
      <c r="P64" s="379">
        <v>1</v>
      </c>
      <c r="Q64" s="378">
        <v>63</v>
      </c>
      <c r="R64" s="153"/>
      <c r="S64" s="163"/>
      <c r="T64" s="584"/>
      <c r="U64" s="601"/>
      <c r="V64" s="568"/>
      <c r="W64" s="630"/>
      <c r="X64" s="639"/>
      <c r="Y64" s="683"/>
      <c r="Z64" s="385"/>
      <c r="AA64" s="147"/>
      <c r="AB64" s="163"/>
      <c r="AC64" s="152"/>
      <c r="AD64" s="986"/>
      <c r="AE64" s="967"/>
      <c r="AF64" s="507"/>
      <c r="AG64" s="507"/>
      <c r="AH64" s="507"/>
      <c r="AI64" s="507"/>
      <c r="AJ64" s="507"/>
      <c r="AK64" s="721"/>
      <c r="AL64" s="507"/>
      <c r="AM64" s="507"/>
      <c r="AN64" s="507"/>
      <c r="AO64" s="507"/>
      <c r="AP64" s="507"/>
      <c r="AQ64" s="507"/>
      <c r="AR64" s="507"/>
      <c r="AS64" s="507"/>
      <c r="AT64" s="507"/>
      <c r="AU64" s="507"/>
      <c r="AV64" s="970"/>
    </row>
    <row r="65" spans="1:48" hidden="1">
      <c r="A65" s="145"/>
      <c r="B65" s="157"/>
      <c r="C65" s="156"/>
      <c r="D65" s="146"/>
      <c r="E65" s="154"/>
      <c r="F65" s="979"/>
      <c r="G65" s="147"/>
      <c r="H65" s="146"/>
      <c r="I65" s="980"/>
      <c r="J65" s="982"/>
      <c r="K65" s="970"/>
      <c r="L65" s="984"/>
      <c r="M65" s="980"/>
      <c r="N65" s="147"/>
      <c r="O65" s="154"/>
      <c r="P65" s="379"/>
      <c r="Q65" s="378"/>
      <c r="R65" s="153" t="s">
        <v>16</v>
      </c>
      <c r="S65" s="147" t="s">
        <v>15</v>
      </c>
      <c r="T65" s="584"/>
      <c r="U65" s="595"/>
      <c r="V65" s="568"/>
      <c r="W65" s="631"/>
      <c r="X65" s="639"/>
      <c r="Y65" s="685"/>
      <c r="Z65" s="385"/>
      <c r="AA65" s="147"/>
      <c r="AB65" s="163"/>
      <c r="AC65" s="152"/>
      <c r="AD65" s="986"/>
      <c r="AE65" s="967"/>
      <c r="AF65" s="507"/>
      <c r="AG65" s="507"/>
      <c r="AH65" s="507"/>
      <c r="AI65" s="507"/>
      <c r="AJ65" s="507"/>
      <c r="AK65" s="721"/>
      <c r="AL65" s="507"/>
      <c r="AM65" s="507"/>
      <c r="AN65" s="507"/>
      <c r="AO65" s="507"/>
      <c r="AP65" s="507"/>
      <c r="AQ65" s="507"/>
      <c r="AR65" s="507"/>
      <c r="AS65" s="507"/>
      <c r="AT65" s="507"/>
      <c r="AU65" s="507"/>
      <c r="AV65" s="970"/>
    </row>
    <row r="66" spans="1:48" hidden="1">
      <c r="A66" s="145"/>
      <c r="B66" s="157"/>
      <c r="C66" s="156"/>
      <c r="D66" s="146"/>
      <c r="E66" s="154"/>
      <c r="F66" s="979"/>
      <c r="G66" s="147"/>
      <c r="H66" s="146"/>
      <c r="I66" s="980"/>
      <c r="J66" s="982"/>
      <c r="K66" s="970"/>
      <c r="L66" s="984"/>
      <c r="M66" s="980"/>
      <c r="N66" s="990" t="s">
        <v>785</v>
      </c>
      <c r="O66" s="991"/>
      <c r="P66" s="379"/>
      <c r="Q66" s="378"/>
      <c r="R66" s="153"/>
      <c r="S66" s="163"/>
      <c r="T66" s="584"/>
      <c r="U66" s="595"/>
      <c r="V66" s="568"/>
      <c r="W66" s="631"/>
      <c r="X66" s="639"/>
      <c r="Y66" s="685"/>
      <c r="Z66" s="385"/>
      <c r="AA66" s="147"/>
      <c r="AB66" s="163"/>
      <c r="AC66" s="152"/>
      <c r="AD66" s="986"/>
      <c r="AE66" s="967"/>
      <c r="AF66" s="507"/>
      <c r="AG66" s="507"/>
      <c r="AH66" s="507"/>
      <c r="AI66" s="507"/>
      <c r="AJ66" s="507"/>
      <c r="AK66" s="721"/>
      <c r="AL66" s="507"/>
      <c r="AM66" s="507"/>
      <c r="AN66" s="507"/>
      <c r="AO66" s="507"/>
      <c r="AP66" s="507"/>
      <c r="AQ66" s="507"/>
      <c r="AR66" s="507"/>
      <c r="AS66" s="507"/>
      <c r="AT66" s="507"/>
      <c r="AU66" s="507"/>
      <c r="AV66" s="970"/>
    </row>
    <row r="67" spans="1:48" ht="27.6" hidden="1">
      <c r="A67" s="145"/>
      <c r="B67" s="157"/>
      <c r="C67" s="156"/>
      <c r="D67" s="146"/>
      <c r="E67" s="154"/>
      <c r="F67" s="979"/>
      <c r="G67" s="147"/>
      <c r="H67" s="146"/>
      <c r="I67" s="980"/>
      <c r="J67" s="982"/>
      <c r="K67" s="970"/>
      <c r="L67" s="984"/>
      <c r="M67" s="980"/>
      <c r="N67" s="147" t="s">
        <v>25</v>
      </c>
      <c r="O67" s="154" t="s">
        <v>62</v>
      </c>
      <c r="P67" s="379">
        <v>1</v>
      </c>
      <c r="Q67" s="378">
        <v>96.54</v>
      </c>
      <c r="R67" s="153"/>
      <c r="S67" s="163"/>
      <c r="T67" s="584"/>
      <c r="U67" s="595"/>
      <c r="V67" s="568"/>
      <c r="W67" s="631"/>
      <c r="X67" s="639"/>
      <c r="Y67" s="685"/>
      <c r="Z67" s="385"/>
      <c r="AA67" s="147"/>
      <c r="AB67" s="163"/>
      <c r="AC67" s="152"/>
      <c r="AD67" s="986"/>
      <c r="AE67" s="967"/>
      <c r="AF67" s="507"/>
      <c r="AG67" s="507"/>
      <c r="AH67" s="507"/>
      <c r="AI67" s="507"/>
      <c r="AJ67" s="507"/>
      <c r="AK67" s="721"/>
      <c r="AL67" s="507"/>
      <c r="AM67" s="507"/>
      <c r="AN67" s="507"/>
      <c r="AO67" s="507"/>
      <c r="AP67" s="507"/>
      <c r="AQ67" s="507"/>
      <c r="AR67" s="507"/>
      <c r="AS67" s="507"/>
      <c r="AT67" s="507"/>
      <c r="AU67" s="507"/>
      <c r="AV67" s="970"/>
    </row>
    <row r="68" spans="1:48" ht="27.6" hidden="1">
      <c r="A68" s="145"/>
      <c r="B68" s="157"/>
      <c r="C68" s="156"/>
      <c r="D68" s="146"/>
      <c r="E68" s="154"/>
      <c r="F68" s="979"/>
      <c r="G68" s="147"/>
      <c r="H68" s="146"/>
      <c r="I68" s="980"/>
      <c r="J68" s="982"/>
      <c r="K68" s="970"/>
      <c r="L68" s="984"/>
      <c r="M68" s="980"/>
      <c r="N68" s="147" t="s">
        <v>435</v>
      </c>
      <c r="O68" s="154" t="s">
        <v>784</v>
      </c>
      <c r="P68" s="379">
        <v>1</v>
      </c>
      <c r="Q68" s="378">
        <v>16.47</v>
      </c>
      <c r="R68" s="153"/>
      <c r="S68" s="163"/>
      <c r="T68" s="584"/>
      <c r="U68" s="595"/>
      <c r="V68" s="568"/>
      <c r="W68" s="631"/>
      <c r="X68" s="639"/>
      <c r="Y68" s="685"/>
      <c r="Z68" s="385"/>
      <c r="AA68" s="147"/>
      <c r="AB68" s="163"/>
      <c r="AC68" s="152"/>
      <c r="AD68" s="986"/>
      <c r="AE68" s="967"/>
      <c r="AF68" s="507"/>
      <c r="AG68" s="507"/>
      <c r="AH68" s="507"/>
      <c r="AI68" s="507"/>
      <c r="AJ68" s="507"/>
      <c r="AK68" s="721"/>
      <c r="AL68" s="507"/>
      <c r="AM68" s="507"/>
      <c r="AN68" s="507"/>
      <c r="AO68" s="507"/>
      <c r="AP68" s="507"/>
      <c r="AQ68" s="507"/>
      <c r="AR68" s="507"/>
      <c r="AS68" s="507"/>
      <c r="AT68" s="507"/>
      <c r="AU68" s="507"/>
      <c r="AV68" s="970"/>
    </row>
    <row r="69" spans="1:48" hidden="1">
      <c r="A69" s="145"/>
      <c r="B69" s="157"/>
      <c r="C69" s="156"/>
      <c r="D69" s="146"/>
      <c r="E69" s="154"/>
      <c r="F69" s="979"/>
      <c r="G69" s="147"/>
      <c r="H69" s="146"/>
      <c r="I69" s="980"/>
      <c r="J69" s="982"/>
      <c r="K69" s="970"/>
      <c r="L69" s="984"/>
      <c r="M69" s="980"/>
      <c r="N69" s="147" t="s">
        <v>433</v>
      </c>
      <c r="O69" s="154" t="s">
        <v>319</v>
      </c>
      <c r="P69" s="379">
        <v>1</v>
      </c>
      <c r="Q69" s="378">
        <v>2</v>
      </c>
      <c r="R69" s="153"/>
      <c r="S69" s="163"/>
      <c r="T69" s="584"/>
      <c r="U69" s="595"/>
      <c r="V69" s="568"/>
      <c r="W69" s="631"/>
      <c r="X69" s="639"/>
      <c r="Y69" s="685"/>
      <c r="Z69" s="385"/>
      <c r="AA69" s="147"/>
      <c r="AB69" s="163"/>
      <c r="AC69" s="152"/>
      <c r="AD69" s="986"/>
      <c r="AE69" s="967"/>
      <c r="AF69" s="507"/>
      <c r="AG69" s="507"/>
      <c r="AH69" s="507"/>
      <c r="AI69" s="507"/>
      <c r="AJ69" s="507"/>
      <c r="AK69" s="721"/>
      <c r="AL69" s="507"/>
      <c r="AM69" s="507"/>
      <c r="AN69" s="507"/>
      <c r="AO69" s="507"/>
      <c r="AP69" s="507"/>
      <c r="AQ69" s="507"/>
      <c r="AR69" s="507"/>
      <c r="AS69" s="507"/>
      <c r="AT69" s="507"/>
      <c r="AU69" s="507"/>
      <c r="AV69" s="970"/>
    </row>
    <row r="70" spans="1:48" hidden="1">
      <c r="A70" s="145"/>
      <c r="B70" s="157"/>
      <c r="C70" s="156"/>
      <c r="D70" s="146"/>
      <c r="E70" s="154"/>
      <c r="F70" s="979"/>
      <c r="G70" s="147"/>
      <c r="H70" s="146"/>
      <c r="I70" s="980"/>
      <c r="J70" s="982"/>
      <c r="K70" s="970"/>
      <c r="L70" s="984"/>
      <c r="M70" s="980"/>
      <c r="N70" s="147" t="s">
        <v>431</v>
      </c>
      <c r="O70" s="154" t="s">
        <v>17</v>
      </c>
      <c r="P70" s="379">
        <v>1</v>
      </c>
      <c r="Q70" s="378"/>
      <c r="R70" s="153"/>
      <c r="S70" s="163"/>
      <c r="T70" s="584"/>
      <c r="U70" s="595"/>
      <c r="V70" s="568"/>
      <c r="W70" s="631"/>
      <c r="X70" s="639"/>
      <c r="Y70" s="685"/>
      <c r="Z70" s="385"/>
      <c r="AA70" s="147"/>
      <c r="AB70" s="163"/>
      <c r="AC70" s="152"/>
      <c r="AD70" s="986"/>
      <c r="AE70" s="967"/>
      <c r="AF70" s="507"/>
      <c r="AG70" s="507"/>
      <c r="AH70" s="507"/>
      <c r="AI70" s="507"/>
      <c r="AJ70" s="507"/>
      <c r="AK70" s="721"/>
      <c r="AL70" s="507"/>
      <c r="AM70" s="507"/>
      <c r="AN70" s="507"/>
      <c r="AO70" s="507"/>
      <c r="AP70" s="507"/>
      <c r="AQ70" s="507"/>
      <c r="AR70" s="507"/>
      <c r="AS70" s="507"/>
      <c r="AT70" s="507"/>
      <c r="AU70" s="507"/>
      <c r="AV70" s="970"/>
    </row>
    <row r="71" spans="1:48" hidden="1">
      <c r="A71" s="129"/>
      <c r="B71" s="137"/>
      <c r="C71" s="141"/>
      <c r="D71" s="131"/>
      <c r="E71" s="140"/>
      <c r="F71" s="992"/>
      <c r="G71" s="131"/>
      <c r="H71" s="130"/>
      <c r="I71" s="985"/>
      <c r="J71" s="993"/>
      <c r="K71" s="971"/>
      <c r="L71" s="994"/>
      <c r="M71" s="985"/>
      <c r="N71" s="131" t="s">
        <v>8</v>
      </c>
      <c r="O71" s="138" t="s">
        <v>11</v>
      </c>
      <c r="P71" s="397">
        <v>1</v>
      </c>
      <c r="Q71" s="424"/>
      <c r="R71" s="137"/>
      <c r="S71" s="227"/>
      <c r="T71" s="585"/>
      <c r="U71" s="596"/>
      <c r="V71" s="569"/>
      <c r="W71" s="632"/>
      <c r="X71" s="652"/>
      <c r="Y71" s="686"/>
      <c r="Z71" s="394"/>
      <c r="AA71" s="131"/>
      <c r="AB71" s="227"/>
      <c r="AC71" s="136"/>
      <c r="AD71" s="987"/>
      <c r="AE71" s="968"/>
      <c r="AF71" s="508"/>
      <c r="AG71" s="508"/>
      <c r="AH71" s="508"/>
      <c r="AI71" s="508"/>
      <c r="AJ71" s="508"/>
      <c r="AK71" s="723"/>
      <c r="AL71" s="508"/>
      <c r="AM71" s="508"/>
      <c r="AN71" s="508"/>
      <c r="AO71" s="508"/>
      <c r="AP71" s="508"/>
      <c r="AQ71" s="508"/>
      <c r="AR71" s="508"/>
      <c r="AS71" s="508"/>
      <c r="AT71" s="508"/>
      <c r="AU71" s="508"/>
      <c r="AV71" s="971"/>
    </row>
    <row r="72" spans="1:48" hidden="1">
      <c r="A72" s="185" t="s">
        <v>694</v>
      </c>
      <c r="B72" s="176" t="s">
        <v>25</v>
      </c>
      <c r="C72" s="184" t="s">
        <v>783</v>
      </c>
      <c r="D72" s="183"/>
      <c r="E72" s="170"/>
      <c r="F72" s="978"/>
      <c r="G72" s="219" t="s">
        <v>25</v>
      </c>
      <c r="H72" s="154" t="s">
        <v>729</v>
      </c>
      <c r="I72" s="996">
        <v>5267</v>
      </c>
      <c r="J72" s="981" t="s">
        <v>46</v>
      </c>
      <c r="K72" s="969" t="s">
        <v>782</v>
      </c>
      <c r="L72" s="997" t="s">
        <v>46</v>
      </c>
      <c r="M72" s="996"/>
      <c r="N72" s="183" t="s">
        <v>25</v>
      </c>
      <c r="O72" s="270" t="s">
        <v>781</v>
      </c>
      <c r="P72" s="393">
        <v>1</v>
      </c>
      <c r="Q72" s="392">
        <v>17.68</v>
      </c>
      <c r="R72" s="218" t="s">
        <v>25</v>
      </c>
      <c r="S72" s="147" t="s">
        <v>24</v>
      </c>
      <c r="T72" s="506"/>
      <c r="U72" s="512"/>
      <c r="V72" s="567"/>
      <c r="W72" s="633"/>
      <c r="X72" s="638"/>
      <c r="Y72" s="696"/>
      <c r="Z72" s="385"/>
      <c r="AA72" s="183"/>
      <c r="AB72" s="270"/>
      <c r="AC72" s="168"/>
      <c r="AD72" s="995"/>
      <c r="AE72" s="966"/>
      <c r="AF72" s="506"/>
      <c r="AG72" s="506"/>
      <c r="AH72" s="506"/>
      <c r="AI72" s="506"/>
      <c r="AJ72" s="506"/>
      <c r="AK72" s="722"/>
      <c r="AL72" s="506"/>
      <c r="AM72" s="506"/>
      <c r="AN72" s="506"/>
      <c r="AO72" s="506"/>
      <c r="AP72" s="506"/>
      <c r="AQ72" s="506"/>
      <c r="AR72" s="506"/>
      <c r="AS72" s="506"/>
      <c r="AT72" s="506"/>
      <c r="AU72" s="506"/>
      <c r="AV72" s="969"/>
    </row>
    <row r="73" spans="1:48" ht="27.6" hidden="1">
      <c r="A73" s="145"/>
      <c r="B73" s="153" t="s">
        <v>16</v>
      </c>
      <c r="C73" s="164" t="s">
        <v>780</v>
      </c>
      <c r="D73" s="147"/>
      <c r="E73" s="163"/>
      <c r="F73" s="979"/>
      <c r="G73" s="147" t="s">
        <v>16</v>
      </c>
      <c r="H73" s="147" t="s">
        <v>726</v>
      </c>
      <c r="I73" s="980"/>
      <c r="J73" s="982"/>
      <c r="K73" s="970"/>
      <c r="L73" s="984"/>
      <c r="M73" s="980"/>
      <c r="N73" s="147" t="s">
        <v>16</v>
      </c>
      <c r="O73" s="163" t="s">
        <v>62</v>
      </c>
      <c r="P73" s="379">
        <v>1</v>
      </c>
      <c r="Q73" s="378">
        <v>139.65</v>
      </c>
      <c r="R73" s="153"/>
      <c r="S73" s="147"/>
      <c r="T73" s="507"/>
      <c r="U73" s="513"/>
      <c r="V73" s="161"/>
      <c r="W73" s="630"/>
      <c r="X73" s="639"/>
      <c r="Y73" s="683"/>
      <c r="Z73" s="385"/>
      <c r="AA73" s="147"/>
      <c r="AB73" s="154"/>
      <c r="AC73" s="145"/>
      <c r="AD73" s="986"/>
      <c r="AE73" s="967"/>
      <c r="AF73" s="507"/>
      <c r="AG73" s="507"/>
      <c r="AH73" s="507"/>
      <c r="AI73" s="507"/>
      <c r="AJ73" s="507"/>
      <c r="AK73" s="721"/>
      <c r="AL73" s="507"/>
      <c r="AM73" s="507"/>
      <c r="AN73" s="507"/>
      <c r="AO73" s="507"/>
      <c r="AP73" s="507"/>
      <c r="AQ73" s="507"/>
      <c r="AR73" s="507"/>
      <c r="AS73" s="507"/>
      <c r="AT73" s="507"/>
      <c r="AU73" s="507"/>
      <c r="AV73" s="970"/>
    </row>
    <row r="74" spans="1:48" hidden="1">
      <c r="A74" s="145"/>
      <c r="B74" s="153" t="s">
        <v>18</v>
      </c>
      <c r="C74" s="162" t="s">
        <v>38</v>
      </c>
      <c r="D74" s="147"/>
      <c r="E74" s="147"/>
      <c r="F74" s="979"/>
      <c r="G74" s="147" t="s">
        <v>18</v>
      </c>
      <c r="H74" s="147" t="s">
        <v>19</v>
      </c>
      <c r="I74" s="980"/>
      <c r="J74" s="982"/>
      <c r="K74" s="970"/>
      <c r="L74" s="984"/>
      <c r="M74" s="980"/>
      <c r="N74" s="147" t="s">
        <v>433</v>
      </c>
      <c r="O74" s="307" t="s">
        <v>21</v>
      </c>
      <c r="P74" s="379">
        <v>1</v>
      </c>
      <c r="Q74" s="378">
        <v>26.6</v>
      </c>
      <c r="R74" s="153" t="s">
        <v>16</v>
      </c>
      <c r="S74" s="147" t="s">
        <v>15</v>
      </c>
      <c r="T74" s="507">
        <v>38</v>
      </c>
      <c r="U74" s="513">
        <v>1</v>
      </c>
      <c r="V74" s="161" t="s">
        <v>994</v>
      </c>
      <c r="W74" s="634" t="s">
        <v>978</v>
      </c>
      <c r="X74" s="634">
        <v>100</v>
      </c>
      <c r="Y74" s="684" t="s">
        <v>978</v>
      </c>
      <c r="Z74" s="385">
        <f>SUM(W74:Y74)</f>
        <v>100</v>
      </c>
      <c r="AA74" s="147"/>
      <c r="AB74" s="163"/>
      <c r="AC74" s="145"/>
      <c r="AD74" s="986"/>
      <c r="AE74" s="967"/>
      <c r="AF74" s="507"/>
      <c r="AG74" s="507"/>
      <c r="AH74" s="507"/>
      <c r="AI74" s="507"/>
      <c r="AJ74" s="507"/>
      <c r="AK74" s="721"/>
      <c r="AL74" s="507"/>
      <c r="AM74" s="507"/>
      <c r="AN74" s="507"/>
      <c r="AO74" s="507"/>
      <c r="AP74" s="507"/>
      <c r="AQ74" s="507"/>
      <c r="AR74" s="507"/>
      <c r="AS74" s="507"/>
      <c r="AT74" s="507"/>
      <c r="AU74" s="507"/>
      <c r="AV74" s="970"/>
    </row>
    <row r="75" spans="1:48" ht="55.2" hidden="1">
      <c r="A75" s="145"/>
      <c r="B75" s="157" t="s">
        <v>12</v>
      </c>
      <c r="C75" s="156" t="s">
        <v>725</v>
      </c>
      <c r="D75" s="147"/>
      <c r="E75" s="154"/>
      <c r="F75" s="979"/>
      <c r="G75" s="147"/>
      <c r="H75" s="146"/>
      <c r="I75" s="980"/>
      <c r="J75" s="982"/>
      <c r="K75" s="970"/>
      <c r="L75" s="984"/>
      <c r="M75" s="980"/>
      <c r="N75" s="147" t="s">
        <v>431</v>
      </c>
      <c r="O75" s="163" t="s">
        <v>59</v>
      </c>
      <c r="P75" s="379">
        <v>1</v>
      </c>
      <c r="Q75" s="378">
        <v>70</v>
      </c>
      <c r="R75" s="218"/>
      <c r="S75" s="163"/>
      <c r="T75" s="507"/>
      <c r="U75" s="599">
        <v>2</v>
      </c>
      <c r="V75" s="574" t="s">
        <v>995</v>
      </c>
      <c r="W75" s="635">
        <v>2</v>
      </c>
      <c r="X75" s="639" t="s">
        <v>978</v>
      </c>
      <c r="Y75" s="683" t="s">
        <v>978</v>
      </c>
      <c r="Z75" s="385">
        <f t="shared" ref="Z75:Z112" si="2">SUM(X75:Y75)</f>
        <v>0</v>
      </c>
      <c r="AA75" s="147"/>
      <c r="AB75" s="163"/>
      <c r="AC75" s="152"/>
      <c r="AD75" s="986"/>
      <c r="AE75" s="967"/>
      <c r="AF75" s="507"/>
      <c r="AG75" s="507"/>
      <c r="AH75" s="507"/>
      <c r="AI75" s="507"/>
      <c r="AJ75" s="507"/>
      <c r="AK75" s="721">
        <v>6000</v>
      </c>
      <c r="AL75" s="507"/>
      <c r="AM75" s="507"/>
      <c r="AN75" s="507"/>
      <c r="AO75" s="507"/>
      <c r="AP75" s="507"/>
      <c r="AQ75" s="507"/>
      <c r="AR75" s="507"/>
      <c r="AS75" s="507"/>
      <c r="AT75" s="507"/>
      <c r="AU75" s="507"/>
      <c r="AV75" s="970"/>
    </row>
    <row r="76" spans="1:48" hidden="1">
      <c r="A76" s="145"/>
      <c r="B76" s="157" t="s">
        <v>429</v>
      </c>
      <c r="C76" s="190" t="s">
        <v>779</v>
      </c>
      <c r="D76" s="147"/>
      <c r="E76" s="154"/>
      <c r="F76" s="979"/>
      <c r="G76" s="147"/>
      <c r="H76" s="146"/>
      <c r="I76" s="980"/>
      <c r="J76" s="982"/>
      <c r="K76" s="970"/>
      <c r="L76" s="984"/>
      <c r="M76" s="980"/>
      <c r="N76" s="147" t="s">
        <v>8</v>
      </c>
      <c r="O76" s="154" t="s">
        <v>17</v>
      </c>
      <c r="P76" s="379">
        <v>1</v>
      </c>
      <c r="Q76" s="378"/>
      <c r="R76" s="218"/>
      <c r="S76" s="163"/>
      <c r="T76" s="507"/>
      <c r="U76" s="513">
        <v>3</v>
      </c>
      <c r="V76" s="574" t="s">
        <v>947</v>
      </c>
      <c r="W76" s="636">
        <v>101</v>
      </c>
      <c r="X76" s="639" t="s">
        <v>978</v>
      </c>
      <c r="Y76" s="685" t="s">
        <v>978</v>
      </c>
      <c r="Z76" s="385">
        <f t="shared" si="2"/>
        <v>0</v>
      </c>
      <c r="AA76" s="147"/>
      <c r="AB76" s="163"/>
      <c r="AC76" s="152"/>
      <c r="AD76" s="986"/>
      <c r="AE76" s="967"/>
      <c r="AF76" s="507"/>
      <c r="AG76" s="507"/>
      <c r="AH76" s="507"/>
      <c r="AI76" s="507"/>
      <c r="AJ76" s="507"/>
      <c r="AK76" s="721">
        <v>3000</v>
      </c>
      <c r="AL76" s="507"/>
      <c r="AM76" s="507"/>
      <c r="AN76" s="507"/>
      <c r="AO76" s="507"/>
      <c r="AP76" s="507"/>
      <c r="AQ76" s="507"/>
      <c r="AR76" s="507"/>
      <c r="AS76" s="507"/>
      <c r="AT76" s="507"/>
      <c r="AU76" s="507"/>
      <c r="AV76" s="970"/>
    </row>
    <row r="77" spans="1:48" ht="27.6" hidden="1">
      <c r="A77" s="145"/>
      <c r="B77" s="157"/>
      <c r="C77" s="190"/>
      <c r="D77" s="147"/>
      <c r="E77" s="154"/>
      <c r="F77" s="979"/>
      <c r="G77" s="147"/>
      <c r="H77" s="146"/>
      <c r="I77" s="980"/>
      <c r="J77" s="982"/>
      <c r="K77" s="970"/>
      <c r="L77" s="984"/>
      <c r="M77" s="980"/>
      <c r="N77" s="147" t="s">
        <v>54</v>
      </c>
      <c r="O77" s="154" t="s">
        <v>62</v>
      </c>
      <c r="P77" s="379">
        <v>1</v>
      </c>
      <c r="Q77" s="390">
        <v>118.89</v>
      </c>
      <c r="R77" s="218"/>
      <c r="S77" s="163"/>
      <c r="T77" s="507"/>
      <c r="U77" s="599">
        <v>4</v>
      </c>
      <c r="V77" s="574" t="s">
        <v>996</v>
      </c>
      <c r="W77" s="636" t="s">
        <v>978</v>
      </c>
      <c r="X77" s="639" t="s">
        <v>978</v>
      </c>
      <c r="Y77" s="685">
        <v>25</v>
      </c>
      <c r="Z77" s="385">
        <f t="shared" si="2"/>
        <v>25</v>
      </c>
      <c r="AA77" s="147"/>
      <c r="AB77" s="163"/>
      <c r="AC77" s="152"/>
      <c r="AD77" s="986"/>
      <c r="AE77" s="967"/>
      <c r="AF77" s="507"/>
      <c r="AG77" s="507"/>
      <c r="AH77" s="507"/>
      <c r="AI77" s="507"/>
      <c r="AJ77" s="507"/>
      <c r="AK77" s="721">
        <v>82500</v>
      </c>
      <c r="AL77" s="507"/>
      <c r="AM77" s="507"/>
      <c r="AN77" s="507"/>
      <c r="AO77" s="507"/>
      <c r="AP77" s="507"/>
      <c r="AQ77" s="507"/>
      <c r="AR77" s="507"/>
      <c r="AS77" s="507"/>
      <c r="AT77" s="507"/>
      <c r="AU77" s="507"/>
      <c r="AV77" s="970"/>
    </row>
    <row r="78" spans="1:48" hidden="1">
      <c r="A78" s="145"/>
      <c r="B78" s="157"/>
      <c r="C78" s="190"/>
      <c r="D78" s="147"/>
      <c r="E78" s="154"/>
      <c r="F78" s="979"/>
      <c r="G78" s="147"/>
      <c r="H78" s="146"/>
      <c r="I78" s="980"/>
      <c r="J78" s="982"/>
      <c r="K78" s="970"/>
      <c r="L78" s="984"/>
      <c r="M78" s="980"/>
      <c r="N78" s="147" t="s">
        <v>53</v>
      </c>
      <c r="O78" s="154" t="s">
        <v>21</v>
      </c>
      <c r="P78" s="379">
        <v>1</v>
      </c>
      <c r="Q78" s="390">
        <v>16.98</v>
      </c>
      <c r="R78" s="218"/>
      <c r="S78" s="163"/>
      <c r="T78" s="507"/>
      <c r="U78" s="513">
        <v>5</v>
      </c>
      <c r="V78" s="574" t="s">
        <v>997</v>
      </c>
      <c r="W78" s="636" t="s">
        <v>978</v>
      </c>
      <c r="X78" s="639" t="s">
        <v>978</v>
      </c>
      <c r="Y78" s="685">
        <v>5</v>
      </c>
      <c r="Z78" s="385">
        <f t="shared" si="2"/>
        <v>5</v>
      </c>
      <c r="AA78" s="147"/>
      <c r="AB78" s="163"/>
      <c r="AC78" s="152"/>
      <c r="AD78" s="986"/>
      <c r="AE78" s="967"/>
      <c r="AF78" s="507"/>
      <c r="AG78" s="507"/>
      <c r="AH78" s="507"/>
      <c r="AI78" s="507"/>
      <c r="AJ78" s="507"/>
      <c r="AK78" s="721">
        <v>40000</v>
      </c>
      <c r="AL78" s="507"/>
      <c r="AM78" s="507"/>
      <c r="AN78" s="507"/>
      <c r="AO78" s="507"/>
      <c r="AP78" s="507"/>
      <c r="AQ78" s="507"/>
      <c r="AR78" s="507"/>
      <c r="AS78" s="507"/>
      <c r="AT78" s="507"/>
      <c r="AU78" s="507"/>
      <c r="AV78" s="970"/>
    </row>
    <row r="79" spans="1:48" hidden="1">
      <c r="A79" s="145"/>
      <c r="B79" s="157"/>
      <c r="C79" s="190"/>
      <c r="D79" s="147"/>
      <c r="E79" s="154"/>
      <c r="F79" s="979"/>
      <c r="G79" s="147"/>
      <c r="H79" s="146"/>
      <c r="I79" s="980"/>
      <c r="J79" s="982"/>
      <c r="K79" s="970"/>
      <c r="L79" s="984"/>
      <c r="M79" s="980"/>
      <c r="N79" s="147" t="s">
        <v>446</v>
      </c>
      <c r="O79" s="154" t="s">
        <v>59</v>
      </c>
      <c r="P79" s="379">
        <v>1</v>
      </c>
      <c r="Q79" s="390">
        <v>17.600000000000001</v>
      </c>
      <c r="R79" s="218"/>
      <c r="S79" s="163"/>
      <c r="T79" s="507"/>
      <c r="U79" s="599">
        <v>6</v>
      </c>
      <c r="V79" s="574" t="s">
        <v>993</v>
      </c>
      <c r="W79" s="636" t="s">
        <v>978</v>
      </c>
      <c r="X79" s="639">
        <v>7</v>
      </c>
      <c r="Y79" s="685" t="s">
        <v>978</v>
      </c>
      <c r="Z79" s="385">
        <f t="shared" si="2"/>
        <v>7</v>
      </c>
      <c r="AA79" s="147"/>
      <c r="AB79" s="163"/>
      <c r="AC79" s="152"/>
      <c r="AD79" s="986"/>
      <c r="AE79" s="967"/>
      <c r="AF79" s="507"/>
      <c r="AG79" s="507"/>
      <c r="AH79" s="507"/>
      <c r="AI79" s="507"/>
      <c r="AJ79" s="507"/>
      <c r="AK79" s="721">
        <v>5000</v>
      </c>
      <c r="AL79" s="507"/>
      <c r="AM79" s="507"/>
      <c r="AN79" s="507"/>
      <c r="AO79" s="507"/>
      <c r="AP79" s="507"/>
      <c r="AQ79" s="507"/>
      <c r="AR79" s="507"/>
      <c r="AS79" s="507"/>
      <c r="AT79" s="507"/>
      <c r="AU79" s="507"/>
      <c r="AV79" s="970"/>
    </row>
    <row r="80" spans="1:48" hidden="1">
      <c r="A80" s="145"/>
      <c r="B80" s="157"/>
      <c r="C80" s="190"/>
      <c r="D80" s="147"/>
      <c r="E80" s="154"/>
      <c r="F80" s="979"/>
      <c r="G80" s="147"/>
      <c r="H80" s="146"/>
      <c r="I80" s="980"/>
      <c r="J80" s="982"/>
      <c r="K80" s="970"/>
      <c r="L80" s="984"/>
      <c r="M80" s="980"/>
      <c r="N80" s="147" t="s">
        <v>154</v>
      </c>
      <c r="O80" s="154" t="s">
        <v>319</v>
      </c>
      <c r="P80" s="379">
        <v>1</v>
      </c>
      <c r="Q80" s="390">
        <v>28</v>
      </c>
      <c r="R80" s="218"/>
      <c r="S80" s="163"/>
      <c r="T80" s="507"/>
      <c r="U80" s="513">
        <v>7</v>
      </c>
      <c r="V80" s="574" t="s">
        <v>998</v>
      </c>
      <c r="W80" s="636" t="s">
        <v>978</v>
      </c>
      <c r="X80" s="639">
        <v>4</v>
      </c>
      <c r="Y80" s="685" t="s">
        <v>978</v>
      </c>
      <c r="Z80" s="385">
        <f t="shared" si="2"/>
        <v>4</v>
      </c>
      <c r="AA80" s="147"/>
      <c r="AB80" s="163"/>
      <c r="AC80" s="152"/>
      <c r="AD80" s="986"/>
      <c r="AE80" s="967"/>
      <c r="AF80" s="507"/>
      <c r="AG80" s="507"/>
      <c r="AH80" s="507"/>
      <c r="AI80" s="507"/>
      <c r="AJ80" s="507"/>
      <c r="AK80" s="721">
        <v>99000</v>
      </c>
      <c r="AL80" s="507"/>
      <c r="AM80" s="507"/>
      <c r="AN80" s="507"/>
      <c r="AO80" s="507"/>
      <c r="AP80" s="507"/>
      <c r="AQ80" s="507"/>
      <c r="AR80" s="507"/>
      <c r="AS80" s="507"/>
      <c r="AT80" s="507"/>
      <c r="AU80" s="507"/>
      <c r="AV80" s="970"/>
    </row>
    <row r="81" spans="1:48" hidden="1">
      <c r="A81" s="145"/>
      <c r="B81" s="157"/>
      <c r="C81" s="156"/>
      <c r="D81" s="147"/>
      <c r="E81" s="154"/>
      <c r="F81" s="979"/>
      <c r="G81" s="147"/>
      <c r="H81" s="146"/>
      <c r="I81" s="980"/>
      <c r="J81" s="982"/>
      <c r="K81" s="970"/>
      <c r="L81" s="984"/>
      <c r="M81" s="980"/>
      <c r="N81" s="147" t="s">
        <v>457</v>
      </c>
      <c r="O81" s="154" t="s">
        <v>17</v>
      </c>
      <c r="P81" s="379">
        <v>1</v>
      </c>
      <c r="Q81" s="378"/>
      <c r="R81" s="218"/>
      <c r="S81" s="163"/>
      <c r="T81" s="507"/>
      <c r="U81" s="599">
        <v>8</v>
      </c>
      <c r="V81" s="574" t="s">
        <v>968</v>
      </c>
      <c r="W81" s="636" t="s">
        <v>978</v>
      </c>
      <c r="X81" s="639">
        <v>15</v>
      </c>
      <c r="Y81" s="685" t="s">
        <v>978</v>
      </c>
      <c r="Z81" s="385">
        <f t="shared" si="2"/>
        <v>15</v>
      </c>
      <c r="AA81" s="147"/>
      <c r="AB81" s="163"/>
      <c r="AC81" s="152"/>
      <c r="AD81" s="986"/>
      <c r="AE81" s="967"/>
      <c r="AF81" s="507"/>
      <c r="AG81" s="507"/>
      <c r="AH81" s="507"/>
      <c r="AI81" s="507"/>
      <c r="AJ81" s="507"/>
      <c r="AK81" s="721">
        <v>6650</v>
      </c>
      <c r="AL81" s="507"/>
      <c r="AM81" s="507"/>
      <c r="AN81" s="507"/>
      <c r="AO81" s="507"/>
      <c r="AP81" s="507"/>
      <c r="AQ81" s="507"/>
      <c r="AR81" s="507"/>
      <c r="AS81" s="507"/>
      <c r="AT81" s="507"/>
      <c r="AU81" s="507"/>
      <c r="AV81" s="970"/>
    </row>
    <row r="82" spans="1:48" hidden="1">
      <c r="A82" s="145"/>
      <c r="B82" s="157"/>
      <c r="C82" s="156"/>
      <c r="D82" s="147"/>
      <c r="E82" s="154"/>
      <c r="F82" s="979"/>
      <c r="G82" s="147"/>
      <c r="H82" s="146"/>
      <c r="I82" s="980"/>
      <c r="J82" s="982"/>
      <c r="K82" s="970"/>
      <c r="L82" s="984"/>
      <c r="M82" s="980"/>
      <c r="N82" s="147" t="s">
        <v>455</v>
      </c>
      <c r="O82" s="154" t="s">
        <v>11</v>
      </c>
      <c r="P82" s="379">
        <v>1</v>
      </c>
      <c r="Q82" s="378"/>
      <c r="R82" s="218"/>
      <c r="S82" s="163"/>
      <c r="T82" s="507"/>
      <c r="U82" s="513">
        <v>9</v>
      </c>
      <c r="V82" s="574" t="s">
        <v>961</v>
      </c>
      <c r="W82" s="636">
        <v>8</v>
      </c>
      <c r="X82" s="639" t="s">
        <v>978</v>
      </c>
      <c r="Y82" s="685" t="s">
        <v>978</v>
      </c>
      <c r="Z82" s="385">
        <f t="shared" si="2"/>
        <v>0</v>
      </c>
      <c r="AA82" s="147"/>
      <c r="AB82" s="163"/>
      <c r="AC82" s="152"/>
      <c r="AD82" s="986"/>
      <c r="AE82" s="967"/>
      <c r="AF82" s="507"/>
      <c r="AG82" s="507"/>
      <c r="AH82" s="507"/>
      <c r="AI82" s="507"/>
      <c r="AJ82" s="507"/>
      <c r="AK82" s="721">
        <v>2645</v>
      </c>
      <c r="AL82" s="507"/>
      <c r="AM82" s="507"/>
      <c r="AN82" s="507"/>
      <c r="AO82" s="507"/>
      <c r="AP82" s="507"/>
      <c r="AQ82" s="507"/>
      <c r="AR82" s="507"/>
      <c r="AS82" s="507"/>
      <c r="AT82" s="507"/>
      <c r="AU82" s="507"/>
      <c r="AV82" s="970"/>
    </row>
    <row r="83" spans="1:48" hidden="1">
      <c r="A83" s="145"/>
      <c r="B83" s="157"/>
      <c r="C83" s="156"/>
      <c r="D83" s="147"/>
      <c r="E83" s="154"/>
      <c r="F83" s="979"/>
      <c r="G83" s="147"/>
      <c r="H83" s="146"/>
      <c r="I83" s="980"/>
      <c r="J83" s="982"/>
      <c r="K83" s="970"/>
      <c r="L83" s="984"/>
      <c r="M83" s="980"/>
      <c r="N83" s="147" t="s">
        <v>454</v>
      </c>
      <c r="O83" s="154" t="s">
        <v>189</v>
      </c>
      <c r="P83" s="379"/>
      <c r="Q83" s="378">
        <v>69.599999999999994</v>
      </c>
      <c r="R83" s="218"/>
      <c r="S83" s="163"/>
      <c r="T83" s="507"/>
      <c r="U83" s="599">
        <v>10</v>
      </c>
      <c r="V83" s="574" t="s">
        <v>999</v>
      </c>
      <c r="W83" s="636">
        <v>5</v>
      </c>
      <c r="X83" s="639" t="s">
        <v>978</v>
      </c>
      <c r="Y83" s="685" t="s">
        <v>978</v>
      </c>
      <c r="Z83" s="385">
        <f t="shared" si="2"/>
        <v>0</v>
      </c>
      <c r="AA83" s="147"/>
      <c r="AB83" s="163"/>
      <c r="AC83" s="152"/>
      <c r="AD83" s="986"/>
      <c r="AE83" s="967"/>
      <c r="AF83" s="507"/>
      <c r="AG83" s="507"/>
      <c r="AH83" s="507"/>
      <c r="AI83" s="507"/>
      <c r="AJ83" s="507"/>
      <c r="AK83" s="721">
        <v>5000</v>
      </c>
      <c r="AL83" s="507"/>
      <c r="AM83" s="507"/>
      <c r="AN83" s="507"/>
      <c r="AO83" s="507"/>
      <c r="AP83" s="507"/>
      <c r="AQ83" s="507"/>
      <c r="AR83" s="507"/>
      <c r="AS83" s="507"/>
      <c r="AT83" s="507"/>
      <c r="AU83" s="507"/>
      <c r="AV83" s="970"/>
    </row>
    <row r="84" spans="1:48" hidden="1">
      <c r="A84" s="145"/>
      <c r="B84" s="157"/>
      <c r="C84" s="156"/>
      <c r="D84" s="147"/>
      <c r="E84" s="154"/>
      <c r="F84" s="979"/>
      <c r="G84" s="147"/>
      <c r="H84" s="146"/>
      <c r="I84" s="980"/>
      <c r="J84" s="982"/>
      <c r="K84" s="970"/>
      <c r="L84" s="984"/>
      <c r="M84" s="980"/>
      <c r="N84" s="147" t="s">
        <v>452</v>
      </c>
      <c r="O84" s="154" t="s">
        <v>121</v>
      </c>
      <c r="P84" s="379"/>
      <c r="Q84" s="378">
        <v>28.7</v>
      </c>
      <c r="R84" s="218"/>
      <c r="S84" s="163"/>
      <c r="T84" s="507"/>
      <c r="U84" s="513">
        <v>11</v>
      </c>
      <c r="V84" s="574" t="s">
        <v>992</v>
      </c>
      <c r="W84" s="636" t="s">
        <v>978</v>
      </c>
      <c r="X84" s="639" t="s">
        <v>978</v>
      </c>
      <c r="Y84" s="685">
        <v>4</v>
      </c>
      <c r="Z84" s="385">
        <f t="shared" si="2"/>
        <v>4</v>
      </c>
      <c r="AA84" s="147"/>
      <c r="AB84" s="163"/>
      <c r="AC84" s="152"/>
      <c r="AD84" s="986"/>
      <c r="AE84" s="967"/>
      <c r="AF84" s="507"/>
      <c r="AG84" s="507"/>
      <c r="AH84" s="507"/>
      <c r="AI84" s="507"/>
      <c r="AJ84" s="507"/>
      <c r="AK84" s="721">
        <v>41250</v>
      </c>
      <c r="AL84" s="507"/>
      <c r="AM84" s="507"/>
      <c r="AN84" s="507"/>
      <c r="AO84" s="507"/>
      <c r="AP84" s="507"/>
      <c r="AQ84" s="507"/>
      <c r="AR84" s="507"/>
      <c r="AS84" s="507"/>
      <c r="AT84" s="507"/>
      <c r="AU84" s="507"/>
      <c r="AV84" s="970"/>
    </row>
    <row r="85" spans="1:48" hidden="1">
      <c r="A85" s="145"/>
      <c r="B85" s="157"/>
      <c r="C85" s="156"/>
      <c r="D85" s="147"/>
      <c r="E85" s="154"/>
      <c r="F85" s="979"/>
      <c r="G85" s="147"/>
      <c r="H85" s="146"/>
      <c r="I85" s="980"/>
      <c r="J85" s="982"/>
      <c r="K85" s="970"/>
      <c r="L85" s="984"/>
      <c r="M85" s="980"/>
      <c r="N85" s="147" t="s">
        <v>474</v>
      </c>
      <c r="O85" s="154" t="s">
        <v>184</v>
      </c>
      <c r="P85" s="379">
        <v>1</v>
      </c>
      <c r="Q85" s="378">
        <v>15.33</v>
      </c>
      <c r="R85" s="218"/>
      <c r="S85" s="163"/>
      <c r="T85" s="507"/>
      <c r="U85" s="599">
        <v>12</v>
      </c>
      <c r="V85" s="574" t="s">
        <v>958</v>
      </c>
      <c r="W85" s="636">
        <v>30</v>
      </c>
      <c r="X85" s="639" t="s">
        <v>978</v>
      </c>
      <c r="Y85" s="685" t="s">
        <v>978</v>
      </c>
      <c r="Z85" s="385">
        <f t="shared" si="2"/>
        <v>0</v>
      </c>
      <c r="AA85" s="147"/>
      <c r="AB85" s="163"/>
      <c r="AC85" s="152"/>
      <c r="AD85" s="986"/>
      <c r="AE85" s="967"/>
      <c r="AF85" s="507"/>
      <c r="AG85" s="507"/>
      <c r="AH85" s="507"/>
      <c r="AI85" s="507"/>
      <c r="AJ85" s="507"/>
      <c r="AK85" s="721">
        <v>15000</v>
      </c>
      <c r="AL85" s="507"/>
      <c r="AM85" s="507"/>
      <c r="AN85" s="507"/>
      <c r="AO85" s="507"/>
      <c r="AP85" s="507"/>
      <c r="AQ85" s="507"/>
      <c r="AR85" s="507"/>
      <c r="AS85" s="507"/>
      <c r="AT85" s="507"/>
      <c r="AU85" s="507"/>
      <c r="AV85" s="970"/>
    </row>
    <row r="86" spans="1:48" hidden="1">
      <c r="A86" s="145"/>
      <c r="B86" s="157"/>
      <c r="C86" s="156"/>
      <c r="D86" s="147"/>
      <c r="E86" s="154"/>
      <c r="F86" s="979"/>
      <c r="G86" s="147"/>
      <c r="H86" s="146"/>
      <c r="I86" s="980"/>
      <c r="J86" s="982"/>
      <c r="K86" s="970"/>
      <c r="L86" s="984"/>
      <c r="M86" s="980"/>
      <c r="N86" s="147"/>
      <c r="O86" s="154"/>
      <c r="P86" s="152"/>
      <c r="Q86" s="151"/>
      <c r="R86" s="218"/>
      <c r="S86" s="163"/>
      <c r="T86" s="507"/>
      <c r="U86" s="513">
        <v>13</v>
      </c>
      <c r="V86" s="574" t="s">
        <v>946</v>
      </c>
      <c r="W86" s="636" t="s">
        <v>978</v>
      </c>
      <c r="X86" s="639">
        <v>8</v>
      </c>
      <c r="Y86" s="685" t="s">
        <v>978</v>
      </c>
      <c r="Z86" s="385">
        <f t="shared" si="2"/>
        <v>8</v>
      </c>
      <c r="AA86" s="147"/>
      <c r="AB86" s="163"/>
      <c r="AC86" s="152"/>
      <c r="AD86" s="986"/>
      <c r="AE86" s="967"/>
      <c r="AF86" s="507"/>
      <c r="AG86" s="507"/>
      <c r="AH86" s="507"/>
      <c r="AI86" s="507"/>
      <c r="AJ86" s="507"/>
      <c r="AK86" s="721">
        <v>82500</v>
      </c>
      <c r="AL86" s="507"/>
      <c r="AM86" s="507"/>
      <c r="AN86" s="507"/>
      <c r="AO86" s="507"/>
      <c r="AP86" s="507"/>
      <c r="AQ86" s="507"/>
      <c r="AR86" s="507"/>
      <c r="AS86" s="507"/>
      <c r="AT86" s="507"/>
      <c r="AU86" s="507"/>
      <c r="AV86" s="970"/>
    </row>
    <row r="87" spans="1:48" ht="27.6" hidden="1">
      <c r="A87" s="145"/>
      <c r="B87" s="157"/>
      <c r="C87" s="156"/>
      <c r="D87" s="147"/>
      <c r="E87" s="154"/>
      <c r="F87" s="979"/>
      <c r="G87" s="147"/>
      <c r="H87" s="146"/>
      <c r="I87" s="980"/>
      <c r="J87" s="982"/>
      <c r="K87" s="970"/>
      <c r="L87" s="984"/>
      <c r="M87" s="980"/>
      <c r="N87" s="147"/>
      <c r="O87" s="154"/>
      <c r="P87" s="152"/>
      <c r="Q87" s="151"/>
      <c r="R87" s="218"/>
      <c r="S87" s="163"/>
      <c r="T87" s="507"/>
      <c r="U87" s="599">
        <v>14</v>
      </c>
      <c r="V87" s="574" t="s">
        <v>1000</v>
      </c>
      <c r="W87" s="636" t="s">
        <v>978</v>
      </c>
      <c r="X87" s="639">
        <v>7</v>
      </c>
      <c r="Y87" s="685" t="s">
        <v>978</v>
      </c>
      <c r="Z87" s="385">
        <f t="shared" si="2"/>
        <v>7</v>
      </c>
      <c r="AA87" s="147"/>
      <c r="AB87" s="163"/>
      <c r="AC87" s="152"/>
      <c r="AD87" s="986"/>
      <c r="AE87" s="967"/>
      <c r="AF87" s="507"/>
      <c r="AG87" s="507"/>
      <c r="AH87" s="507"/>
      <c r="AI87" s="507"/>
      <c r="AJ87" s="507"/>
      <c r="AK87" s="721">
        <v>6500</v>
      </c>
      <c r="AL87" s="507"/>
      <c r="AM87" s="507"/>
      <c r="AN87" s="507"/>
      <c r="AO87" s="507"/>
      <c r="AP87" s="507"/>
      <c r="AQ87" s="507"/>
      <c r="AR87" s="507"/>
      <c r="AS87" s="507"/>
      <c r="AT87" s="507"/>
      <c r="AU87" s="507"/>
      <c r="AV87" s="970"/>
    </row>
    <row r="88" spans="1:48" hidden="1">
      <c r="A88" s="145"/>
      <c r="B88" s="157"/>
      <c r="C88" s="156"/>
      <c r="D88" s="147"/>
      <c r="E88" s="154"/>
      <c r="F88" s="979"/>
      <c r="G88" s="147"/>
      <c r="H88" s="146"/>
      <c r="I88" s="980"/>
      <c r="J88" s="982"/>
      <c r="K88" s="970"/>
      <c r="L88" s="984"/>
      <c r="M88" s="980"/>
      <c r="N88" s="147"/>
      <c r="O88" s="154"/>
      <c r="P88" s="152"/>
      <c r="Q88" s="151"/>
      <c r="R88" s="218"/>
      <c r="S88" s="163"/>
      <c r="T88" s="507"/>
      <c r="U88" s="513">
        <v>15</v>
      </c>
      <c r="V88" s="574" t="s">
        <v>1001</v>
      </c>
      <c r="W88" s="636" t="s">
        <v>978</v>
      </c>
      <c r="X88" s="639">
        <v>2</v>
      </c>
      <c r="Y88" s="685" t="s">
        <v>978</v>
      </c>
      <c r="Z88" s="385">
        <f t="shared" si="2"/>
        <v>2</v>
      </c>
      <c r="AA88" s="147"/>
      <c r="AB88" s="163"/>
      <c r="AC88" s="152"/>
      <c r="AD88" s="986"/>
      <c r="AE88" s="967"/>
      <c r="AF88" s="507"/>
      <c r="AG88" s="507"/>
      <c r="AH88" s="507"/>
      <c r="AI88" s="507"/>
      <c r="AJ88" s="507"/>
      <c r="AK88" s="721">
        <v>12500</v>
      </c>
      <c r="AL88" s="507"/>
      <c r="AM88" s="507"/>
      <c r="AN88" s="507"/>
      <c r="AO88" s="507"/>
      <c r="AP88" s="507"/>
      <c r="AQ88" s="507"/>
      <c r="AR88" s="507"/>
      <c r="AS88" s="507"/>
      <c r="AT88" s="507"/>
      <c r="AU88" s="507"/>
      <c r="AV88" s="970"/>
    </row>
    <row r="89" spans="1:48" hidden="1">
      <c r="A89" s="145"/>
      <c r="B89" s="157"/>
      <c r="C89" s="156"/>
      <c r="D89" s="147"/>
      <c r="E89" s="154"/>
      <c r="F89" s="979"/>
      <c r="G89" s="147"/>
      <c r="H89" s="146"/>
      <c r="I89" s="980"/>
      <c r="J89" s="982"/>
      <c r="K89" s="970"/>
      <c r="L89" s="984"/>
      <c r="M89" s="980"/>
      <c r="N89" s="147"/>
      <c r="O89" s="154"/>
      <c r="P89" s="152"/>
      <c r="Q89" s="151"/>
      <c r="R89" s="218"/>
      <c r="S89" s="163"/>
      <c r="T89" s="507"/>
      <c r="U89" s="599">
        <v>16</v>
      </c>
      <c r="V89" s="574" t="s">
        <v>951</v>
      </c>
      <c r="W89" s="636">
        <v>22</v>
      </c>
      <c r="X89" s="639" t="s">
        <v>978</v>
      </c>
      <c r="Y89" s="685" t="s">
        <v>978</v>
      </c>
      <c r="Z89" s="385">
        <f t="shared" si="2"/>
        <v>0</v>
      </c>
      <c r="AA89" s="147"/>
      <c r="AB89" s="163"/>
      <c r="AC89" s="152"/>
      <c r="AD89" s="986"/>
      <c r="AE89" s="967"/>
      <c r="AF89" s="507"/>
      <c r="AG89" s="507"/>
      <c r="AH89" s="507"/>
      <c r="AI89" s="507"/>
      <c r="AJ89" s="507"/>
      <c r="AK89" s="721">
        <v>6000</v>
      </c>
      <c r="AL89" s="507"/>
      <c r="AM89" s="507"/>
      <c r="AN89" s="507"/>
      <c r="AO89" s="507"/>
      <c r="AP89" s="507"/>
      <c r="AQ89" s="507"/>
      <c r="AR89" s="507"/>
      <c r="AS89" s="507"/>
      <c r="AT89" s="507"/>
      <c r="AU89" s="507"/>
      <c r="AV89" s="970"/>
    </row>
    <row r="90" spans="1:48" hidden="1">
      <c r="A90" s="145"/>
      <c r="B90" s="157"/>
      <c r="C90" s="156"/>
      <c r="D90" s="147"/>
      <c r="E90" s="154"/>
      <c r="F90" s="979"/>
      <c r="G90" s="147"/>
      <c r="H90" s="146"/>
      <c r="I90" s="980"/>
      <c r="J90" s="982"/>
      <c r="K90" s="970"/>
      <c r="L90" s="984"/>
      <c r="M90" s="980"/>
      <c r="N90" s="147"/>
      <c r="O90" s="154"/>
      <c r="P90" s="152"/>
      <c r="Q90" s="151"/>
      <c r="R90" s="218"/>
      <c r="S90" s="163"/>
      <c r="T90" s="507"/>
      <c r="U90" s="513">
        <v>17</v>
      </c>
      <c r="V90" s="574" t="s">
        <v>1002</v>
      </c>
      <c r="W90" s="636" t="s">
        <v>978</v>
      </c>
      <c r="X90" s="639">
        <v>15</v>
      </c>
      <c r="Y90" s="685" t="s">
        <v>978</v>
      </c>
      <c r="Z90" s="385">
        <f t="shared" si="2"/>
        <v>15</v>
      </c>
      <c r="AA90" s="147"/>
      <c r="AB90" s="163"/>
      <c r="AC90" s="152"/>
      <c r="AD90" s="986"/>
      <c r="AE90" s="967"/>
      <c r="AF90" s="507"/>
      <c r="AG90" s="507"/>
      <c r="AH90" s="507"/>
      <c r="AI90" s="507"/>
      <c r="AJ90" s="507"/>
      <c r="AK90" s="721">
        <v>5000</v>
      </c>
      <c r="AL90" s="507"/>
      <c r="AM90" s="507"/>
      <c r="AN90" s="507"/>
      <c r="AO90" s="507"/>
      <c r="AP90" s="507"/>
      <c r="AQ90" s="507"/>
      <c r="AR90" s="507"/>
      <c r="AS90" s="507"/>
      <c r="AT90" s="507"/>
      <c r="AU90" s="507"/>
      <c r="AV90" s="970"/>
    </row>
    <row r="91" spans="1:48" hidden="1">
      <c r="A91" s="145"/>
      <c r="B91" s="157"/>
      <c r="C91" s="156"/>
      <c r="D91" s="147"/>
      <c r="E91" s="154"/>
      <c r="F91" s="979"/>
      <c r="G91" s="147"/>
      <c r="H91" s="146"/>
      <c r="I91" s="980"/>
      <c r="J91" s="982"/>
      <c r="K91" s="970"/>
      <c r="L91" s="984"/>
      <c r="M91" s="980"/>
      <c r="N91" s="147"/>
      <c r="O91" s="154"/>
      <c r="P91" s="152"/>
      <c r="Q91" s="151"/>
      <c r="R91" s="218"/>
      <c r="S91" s="163"/>
      <c r="T91" s="507"/>
      <c r="U91" s="599">
        <v>18</v>
      </c>
      <c r="V91" s="574" t="s">
        <v>999</v>
      </c>
      <c r="W91" s="636" t="s">
        <v>978</v>
      </c>
      <c r="X91" s="639">
        <v>15</v>
      </c>
      <c r="Y91" s="685" t="s">
        <v>978</v>
      </c>
      <c r="Z91" s="385">
        <f t="shared" si="2"/>
        <v>15</v>
      </c>
      <c r="AA91" s="147"/>
      <c r="AB91" s="163"/>
      <c r="AC91" s="152"/>
      <c r="AD91" s="986"/>
      <c r="AE91" s="967"/>
      <c r="AF91" s="507"/>
      <c r="AG91" s="507"/>
      <c r="AH91" s="507"/>
      <c r="AI91" s="507"/>
      <c r="AJ91" s="507"/>
      <c r="AK91" s="721">
        <v>3300</v>
      </c>
      <c r="AL91" s="507"/>
      <c r="AM91" s="507"/>
      <c r="AN91" s="507"/>
      <c r="AO91" s="507"/>
      <c r="AP91" s="507"/>
      <c r="AQ91" s="507"/>
      <c r="AR91" s="507"/>
      <c r="AS91" s="507"/>
      <c r="AT91" s="507"/>
      <c r="AU91" s="507"/>
      <c r="AV91" s="970"/>
    </row>
    <row r="92" spans="1:48" hidden="1">
      <c r="A92" s="145"/>
      <c r="B92" s="157"/>
      <c r="C92" s="156"/>
      <c r="D92" s="147"/>
      <c r="E92" s="154"/>
      <c r="F92" s="979"/>
      <c r="G92" s="147"/>
      <c r="H92" s="146"/>
      <c r="I92" s="980"/>
      <c r="J92" s="982"/>
      <c r="K92" s="970"/>
      <c r="L92" s="984"/>
      <c r="M92" s="980"/>
      <c r="N92" s="147"/>
      <c r="O92" s="154"/>
      <c r="P92" s="152"/>
      <c r="Q92" s="151"/>
      <c r="R92" s="218"/>
      <c r="S92" s="163"/>
      <c r="T92" s="507"/>
      <c r="U92" s="513">
        <v>19</v>
      </c>
      <c r="V92" s="574" t="s">
        <v>971</v>
      </c>
      <c r="W92" s="636" t="s">
        <v>978</v>
      </c>
      <c r="X92" s="639" t="s">
        <v>978</v>
      </c>
      <c r="Y92" s="685">
        <v>5</v>
      </c>
      <c r="Z92" s="385">
        <f t="shared" si="2"/>
        <v>5</v>
      </c>
      <c r="AA92" s="147"/>
      <c r="AB92" s="163"/>
      <c r="AC92" s="152"/>
      <c r="AD92" s="986"/>
      <c r="AE92" s="967"/>
      <c r="AF92" s="507"/>
      <c r="AG92" s="507"/>
      <c r="AH92" s="507"/>
      <c r="AI92" s="507"/>
      <c r="AJ92" s="507"/>
      <c r="AK92" s="721">
        <v>49500</v>
      </c>
      <c r="AL92" s="507"/>
      <c r="AM92" s="507"/>
      <c r="AN92" s="507"/>
      <c r="AO92" s="507"/>
      <c r="AP92" s="507"/>
      <c r="AQ92" s="507"/>
      <c r="AR92" s="507"/>
      <c r="AS92" s="507"/>
      <c r="AT92" s="507"/>
      <c r="AU92" s="507"/>
      <c r="AV92" s="970"/>
    </row>
    <row r="93" spans="1:48" hidden="1">
      <c r="A93" s="145"/>
      <c r="B93" s="157"/>
      <c r="C93" s="156"/>
      <c r="D93" s="147"/>
      <c r="E93" s="154"/>
      <c r="F93" s="979"/>
      <c r="G93" s="147"/>
      <c r="H93" s="146"/>
      <c r="I93" s="980"/>
      <c r="J93" s="982"/>
      <c r="K93" s="970"/>
      <c r="L93" s="984"/>
      <c r="M93" s="980"/>
      <c r="N93" s="147"/>
      <c r="O93" s="154"/>
      <c r="P93" s="152"/>
      <c r="Q93" s="151"/>
      <c r="R93" s="218"/>
      <c r="S93" s="163"/>
      <c r="T93" s="507"/>
      <c r="U93" s="599">
        <v>20</v>
      </c>
      <c r="V93" s="574" t="s">
        <v>1003</v>
      </c>
      <c r="W93" s="636" t="s">
        <v>978</v>
      </c>
      <c r="X93" s="639">
        <v>7</v>
      </c>
      <c r="Y93" s="685" t="s">
        <v>978</v>
      </c>
      <c r="Z93" s="385">
        <f t="shared" si="2"/>
        <v>7</v>
      </c>
      <c r="AA93" s="147"/>
      <c r="AB93" s="163"/>
      <c r="AC93" s="152"/>
      <c r="AD93" s="986"/>
      <c r="AE93" s="967"/>
      <c r="AF93" s="507"/>
      <c r="AG93" s="507"/>
      <c r="AH93" s="507"/>
      <c r="AI93" s="507"/>
      <c r="AJ93" s="507"/>
      <c r="AK93" s="721">
        <v>6650</v>
      </c>
      <c r="AL93" s="507"/>
      <c r="AM93" s="507"/>
      <c r="AN93" s="507"/>
      <c r="AO93" s="507"/>
      <c r="AP93" s="507"/>
      <c r="AQ93" s="507"/>
      <c r="AR93" s="507"/>
      <c r="AS93" s="507"/>
      <c r="AT93" s="507"/>
      <c r="AU93" s="507"/>
      <c r="AV93" s="970"/>
    </row>
    <row r="94" spans="1:48" hidden="1">
      <c r="A94" s="145"/>
      <c r="B94" s="157"/>
      <c r="C94" s="156"/>
      <c r="D94" s="147"/>
      <c r="E94" s="154"/>
      <c r="F94" s="979"/>
      <c r="G94" s="147"/>
      <c r="H94" s="146"/>
      <c r="I94" s="980"/>
      <c r="J94" s="982"/>
      <c r="K94" s="970"/>
      <c r="L94" s="984"/>
      <c r="M94" s="980"/>
      <c r="N94" s="147"/>
      <c r="O94" s="154"/>
      <c r="P94" s="152"/>
      <c r="Q94" s="151"/>
      <c r="R94" s="218"/>
      <c r="S94" s="163"/>
      <c r="T94" s="507"/>
      <c r="U94" s="513">
        <v>21</v>
      </c>
      <c r="V94" s="574" t="s">
        <v>953</v>
      </c>
      <c r="W94" s="636">
        <v>6</v>
      </c>
      <c r="X94" s="639" t="s">
        <v>978</v>
      </c>
      <c r="Y94" s="685"/>
      <c r="Z94" s="385">
        <f t="shared" si="2"/>
        <v>0</v>
      </c>
      <c r="AA94" s="147"/>
      <c r="AB94" s="163"/>
      <c r="AC94" s="152"/>
      <c r="AD94" s="986"/>
      <c r="AE94" s="967"/>
      <c r="AF94" s="507"/>
      <c r="AG94" s="507"/>
      <c r="AH94" s="507"/>
      <c r="AI94" s="507"/>
      <c r="AJ94" s="507"/>
      <c r="AK94" s="721">
        <v>350000</v>
      </c>
      <c r="AL94" s="507"/>
      <c r="AM94" s="507"/>
      <c r="AN94" s="507"/>
      <c r="AO94" s="507"/>
      <c r="AP94" s="507"/>
      <c r="AQ94" s="507"/>
      <c r="AR94" s="507"/>
      <c r="AS94" s="507"/>
      <c r="AT94" s="507"/>
      <c r="AU94" s="507"/>
      <c r="AV94" s="970"/>
    </row>
    <row r="95" spans="1:48" hidden="1">
      <c r="A95" s="145"/>
      <c r="B95" s="157"/>
      <c r="C95" s="156"/>
      <c r="D95" s="147"/>
      <c r="E95" s="154"/>
      <c r="F95" s="979"/>
      <c r="G95" s="147"/>
      <c r="H95" s="146"/>
      <c r="I95" s="980"/>
      <c r="J95" s="982"/>
      <c r="K95" s="970"/>
      <c r="L95" s="984"/>
      <c r="M95" s="980"/>
      <c r="N95" s="147"/>
      <c r="O95" s="154"/>
      <c r="P95" s="503"/>
      <c r="Q95" s="504"/>
      <c r="R95" s="218"/>
      <c r="S95" s="163"/>
      <c r="T95" s="507"/>
      <c r="U95" s="513"/>
      <c r="V95" s="574" t="s">
        <v>953</v>
      </c>
      <c r="W95" s="636"/>
      <c r="X95" s="639" t="s">
        <v>978</v>
      </c>
      <c r="Y95" s="685">
        <v>17</v>
      </c>
      <c r="Z95" s="385"/>
      <c r="AA95" s="147"/>
      <c r="AB95" s="163"/>
      <c r="AC95" s="503"/>
      <c r="AD95" s="986"/>
      <c r="AE95" s="967"/>
      <c r="AF95" s="507"/>
      <c r="AG95" s="507"/>
      <c r="AH95" s="507"/>
      <c r="AI95" s="507"/>
      <c r="AJ95" s="507"/>
      <c r="AK95" s="721">
        <v>115500</v>
      </c>
      <c r="AL95" s="507"/>
      <c r="AM95" s="507"/>
      <c r="AN95" s="507"/>
      <c r="AO95" s="507"/>
      <c r="AP95" s="507"/>
      <c r="AQ95" s="507"/>
      <c r="AR95" s="507"/>
      <c r="AS95" s="507"/>
      <c r="AT95" s="507"/>
      <c r="AU95" s="507"/>
      <c r="AV95" s="970"/>
    </row>
    <row r="96" spans="1:48" hidden="1">
      <c r="A96" s="145"/>
      <c r="B96" s="157"/>
      <c r="C96" s="156"/>
      <c r="D96" s="147"/>
      <c r="E96" s="154"/>
      <c r="F96" s="979"/>
      <c r="G96" s="147"/>
      <c r="H96" s="146"/>
      <c r="I96" s="980"/>
      <c r="J96" s="982"/>
      <c r="K96" s="970"/>
      <c r="L96" s="984"/>
      <c r="M96" s="980"/>
      <c r="N96" s="147"/>
      <c r="O96" s="154"/>
      <c r="P96" s="152"/>
      <c r="Q96" s="151"/>
      <c r="R96" s="218"/>
      <c r="S96" s="163"/>
      <c r="T96" s="507"/>
      <c r="U96" s="599">
        <v>22</v>
      </c>
      <c r="V96" s="574" t="s">
        <v>1004</v>
      </c>
      <c r="W96" s="636" t="s">
        <v>978</v>
      </c>
      <c r="X96" s="639">
        <v>5</v>
      </c>
      <c r="Y96" s="685" t="s">
        <v>978</v>
      </c>
      <c r="Z96" s="385">
        <f t="shared" si="2"/>
        <v>5</v>
      </c>
      <c r="AA96" s="147"/>
      <c r="AB96" s="163"/>
      <c r="AC96" s="152"/>
      <c r="AD96" s="986"/>
      <c r="AE96" s="967"/>
      <c r="AF96" s="507"/>
      <c r="AG96" s="507"/>
      <c r="AH96" s="507"/>
      <c r="AI96" s="507"/>
      <c r="AJ96" s="507"/>
      <c r="AK96" s="721">
        <v>82500</v>
      </c>
      <c r="AL96" s="507"/>
      <c r="AM96" s="507"/>
      <c r="AN96" s="507"/>
      <c r="AO96" s="507"/>
      <c r="AP96" s="507"/>
      <c r="AQ96" s="507"/>
      <c r="AR96" s="507"/>
      <c r="AS96" s="507"/>
      <c r="AT96" s="507"/>
      <c r="AU96" s="507"/>
      <c r="AV96" s="970"/>
    </row>
    <row r="97" spans="1:48" hidden="1">
      <c r="A97" s="145"/>
      <c r="B97" s="157"/>
      <c r="C97" s="156"/>
      <c r="D97" s="147"/>
      <c r="E97" s="154"/>
      <c r="F97" s="979"/>
      <c r="G97" s="147"/>
      <c r="H97" s="146"/>
      <c r="I97" s="980"/>
      <c r="J97" s="982"/>
      <c r="K97" s="970"/>
      <c r="L97" s="984"/>
      <c r="M97" s="980"/>
      <c r="N97" s="147"/>
      <c r="O97" s="154"/>
      <c r="P97" s="152"/>
      <c r="Q97" s="151"/>
      <c r="R97" s="218"/>
      <c r="S97" s="163"/>
      <c r="T97" s="507"/>
      <c r="U97" s="513">
        <v>23</v>
      </c>
      <c r="V97" s="574" t="s">
        <v>1005</v>
      </c>
      <c r="W97" s="636" t="s">
        <v>978</v>
      </c>
      <c r="X97" s="639">
        <v>2</v>
      </c>
      <c r="Y97" s="685" t="s">
        <v>978</v>
      </c>
      <c r="Z97" s="385">
        <f t="shared" si="2"/>
        <v>2</v>
      </c>
      <c r="AA97" s="147"/>
      <c r="AB97" s="163"/>
      <c r="AC97" s="152"/>
      <c r="AD97" s="986"/>
      <c r="AE97" s="967"/>
      <c r="AF97" s="507"/>
      <c r="AG97" s="507"/>
      <c r="AH97" s="507"/>
      <c r="AI97" s="507"/>
      <c r="AJ97" s="507"/>
      <c r="AK97" s="721">
        <v>16650</v>
      </c>
      <c r="AL97" s="507"/>
      <c r="AM97" s="507"/>
      <c r="AN97" s="507"/>
      <c r="AO97" s="507"/>
      <c r="AP97" s="507"/>
      <c r="AQ97" s="507"/>
      <c r="AR97" s="507"/>
      <c r="AS97" s="507"/>
      <c r="AT97" s="507"/>
      <c r="AU97" s="507"/>
      <c r="AV97" s="970"/>
    </row>
    <row r="98" spans="1:48" hidden="1">
      <c r="A98" s="145"/>
      <c r="B98" s="157"/>
      <c r="C98" s="156"/>
      <c r="D98" s="147"/>
      <c r="E98" s="154"/>
      <c r="F98" s="979"/>
      <c r="G98" s="147"/>
      <c r="H98" s="146"/>
      <c r="I98" s="980"/>
      <c r="J98" s="982"/>
      <c r="K98" s="970"/>
      <c r="L98" s="984"/>
      <c r="M98" s="980"/>
      <c r="N98" s="147"/>
      <c r="O98" s="154"/>
      <c r="P98" s="152"/>
      <c r="Q98" s="151"/>
      <c r="R98" s="218"/>
      <c r="S98" s="163"/>
      <c r="T98" s="507"/>
      <c r="U98" s="599">
        <v>24</v>
      </c>
      <c r="V98" s="574" t="s">
        <v>1006</v>
      </c>
      <c r="W98" s="636" t="s">
        <v>978</v>
      </c>
      <c r="X98" s="639">
        <v>51</v>
      </c>
      <c r="Y98" s="685" t="s">
        <v>978</v>
      </c>
      <c r="Z98" s="385">
        <f t="shared" si="2"/>
        <v>51</v>
      </c>
      <c r="AA98" s="147"/>
      <c r="AB98" s="163"/>
      <c r="AC98" s="152"/>
      <c r="AD98" s="986"/>
      <c r="AE98" s="967"/>
      <c r="AF98" s="507"/>
      <c r="AG98" s="507"/>
      <c r="AH98" s="507"/>
      <c r="AI98" s="507"/>
      <c r="AJ98" s="507"/>
      <c r="AK98" s="721">
        <v>3850</v>
      </c>
      <c r="AL98" s="507"/>
      <c r="AM98" s="507"/>
      <c r="AN98" s="507"/>
      <c r="AO98" s="507"/>
      <c r="AP98" s="507"/>
      <c r="AQ98" s="507"/>
      <c r="AR98" s="507"/>
      <c r="AS98" s="507"/>
      <c r="AT98" s="507"/>
      <c r="AU98" s="507"/>
      <c r="AV98" s="970"/>
    </row>
    <row r="99" spans="1:48" hidden="1">
      <c r="A99" s="145"/>
      <c r="B99" s="157"/>
      <c r="C99" s="156"/>
      <c r="D99" s="147"/>
      <c r="E99" s="154"/>
      <c r="F99" s="979"/>
      <c r="G99" s="147"/>
      <c r="H99" s="146"/>
      <c r="I99" s="980"/>
      <c r="J99" s="982"/>
      <c r="K99" s="970"/>
      <c r="L99" s="984"/>
      <c r="M99" s="980"/>
      <c r="N99" s="147"/>
      <c r="O99" s="154"/>
      <c r="P99" s="152"/>
      <c r="Q99" s="151"/>
      <c r="R99" s="218"/>
      <c r="S99" s="163"/>
      <c r="T99" s="507"/>
      <c r="U99" s="513">
        <v>25</v>
      </c>
      <c r="V99" s="574" t="s">
        <v>1007</v>
      </c>
      <c r="W99" s="636" t="s">
        <v>978</v>
      </c>
      <c r="X99" s="639">
        <v>100</v>
      </c>
      <c r="Y99" s="685" t="s">
        <v>978</v>
      </c>
      <c r="Z99" s="385">
        <f t="shared" si="2"/>
        <v>100</v>
      </c>
      <c r="AA99" s="147"/>
      <c r="AB99" s="163"/>
      <c r="AC99" s="152"/>
      <c r="AD99" s="986"/>
      <c r="AE99" s="967"/>
      <c r="AF99" s="507"/>
      <c r="AG99" s="507"/>
      <c r="AH99" s="507"/>
      <c r="AI99" s="507"/>
      <c r="AJ99" s="507"/>
      <c r="AK99" s="721">
        <v>2000</v>
      </c>
      <c r="AL99" s="507"/>
      <c r="AM99" s="507"/>
      <c r="AN99" s="507"/>
      <c r="AO99" s="507"/>
      <c r="AP99" s="507"/>
      <c r="AQ99" s="507"/>
      <c r="AR99" s="507"/>
      <c r="AS99" s="507"/>
      <c r="AT99" s="507"/>
      <c r="AU99" s="507"/>
      <c r="AV99" s="970"/>
    </row>
    <row r="100" spans="1:48" hidden="1">
      <c r="A100" s="145"/>
      <c r="B100" s="157"/>
      <c r="C100" s="156"/>
      <c r="D100" s="147"/>
      <c r="E100" s="154"/>
      <c r="F100" s="979"/>
      <c r="G100" s="147"/>
      <c r="H100" s="146"/>
      <c r="I100" s="980"/>
      <c r="J100" s="982"/>
      <c r="K100" s="970"/>
      <c r="L100" s="984"/>
      <c r="M100" s="980"/>
      <c r="N100" s="147"/>
      <c r="O100" s="154"/>
      <c r="P100" s="152"/>
      <c r="Q100" s="151"/>
      <c r="R100" s="218"/>
      <c r="S100" s="163"/>
      <c r="T100" s="507"/>
      <c r="U100" s="599">
        <v>26</v>
      </c>
      <c r="V100" s="574" t="s">
        <v>974</v>
      </c>
      <c r="W100" s="636" t="s">
        <v>978</v>
      </c>
      <c r="X100" s="639">
        <v>8</v>
      </c>
      <c r="Y100" s="685" t="s">
        <v>978</v>
      </c>
      <c r="Z100" s="385">
        <f t="shared" si="2"/>
        <v>8</v>
      </c>
      <c r="AA100" s="147"/>
      <c r="AB100" s="163"/>
      <c r="AC100" s="152"/>
      <c r="AD100" s="986"/>
      <c r="AE100" s="967"/>
      <c r="AF100" s="507"/>
      <c r="AG100" s="507"/>
      <c r="AH100" s="507"/>
      <c r="AI100" s="507"/>
      <c r="AJ100" s="507"/>
      <c r="AK100" s="721">
        <v>6650</v>
      </c>
      <c r="AL100" s="507"/>
      <c r="AM100" s="507"/>
      <c r="AN100" s="507"/>
      <c r="AO100" s="507"/>
      <c r="AP100" s="507"/>
      <c r="AQ100" s="507"/>
      <c r="AR100" s="507"/>
      <c r="AS100" s="507"/>
      <c r="AT100" s="507"/>
      <c r="AU100" s="507"/>
      <c r="AV100" s="970"/>
    </row>
    <row r="101" spans="1:48" hidden="1">
      <c r="A101" s="145"/>
      <c r="B101" s="157"/>
      <c r="C101" s="156"/>
      <c r="D101" s="147"/>
      <c r="E101" s="154"/>
      <c r="F101" s="979"/>
      <c r="G101" s="147"/>
      <c r="H101" s="146"/>
      <c r="I101" s="980"/>
      <c r="J101" s="982"/>
      <c r="K101" s="970"/>
      <c r="L101" s="984"/>
      <c r="M101" s="980"/>
      <c r="N101" s="147"/>
      <c r="O101" s="154"/>
      <c r="P101" s="152"/>
      <c r="Q101" s="151"/>
      <c r="R101" s="218"/>
      <c r="S101" s="163"/>
      <c r="T101" s="507"/>
      <c r="U101" s="513">
        <v>27</v>
      </c>
      <c r="V101" s="574" t="s">
        <v>965</v>
      </c>
      <c r="W101" s="636" t="s">
        <v>978</v>
      </c>
      <c r="X101" s="639">
        <v>15</v>
      </c>
      <c r="Y101" s="685" t="s">
        <v>978</v>
      </c>
      <c r="Z101" s="385">
        <f t="shared" si="2"/>
        <v>15</v>
      </c>
      <c r="AA101" s="147"/>
      <c r="AB101" s="163"/>
      <c r="AC101" s="152"/>
      <c r="AD101" s="986"/>
      <c r="AE101" s="967"/>
      <c r="AF101" s="507"/>
      <c r="AG101" s="507"/>
      <c r="AH101" s="507"/>
      <c r="AI101" s="507"/>
      <c r="AJ101" s="507"/>
      <c r="AK101" s="721">
        <v>4000</v>
      </c>
      <c r="AL101" s="507"/>
      <c r="AM101" s="507"/>
      <c r="AN101" s="507"/>
      <c r="AO101" s="507"/>
      <c r="AP101" s="507"/>
      <c r="AQ101" s="507"/>
      <c r="AR101" s="507"/>
      <c r="AS101" s="507"/>
      <c r="AT101" s="507"/>
      <c r="AU101" s="507"/>
      <c r="AV101" s="970"/>
    </row>
    <row r="102" spans="1:48" hidden="1">
      <c r="A102" s="145"/>
      <c r="B102" s="157"/>
      <c r="C102" s="156"/>
      <c r="D102" s="147"/>
      <c r="E102" s="154"/>
      <c r="F102" s="979"/>
      <c r="G102" s="147"/>
      <c r="H102" s="146"/>
      <c r="I102" s="980"/>
      <c r="J102" s="982"/>
      <c r="K102" s="970"/>
      <c r="L102" s="984"/>
      <c r="M102" s="980"/>
      <c r="N102" s="147"/>
      <c r="O102" s="154"/>
      <c r="P102" s="152"/>
      <c r="Q102" s="151"/>
      <c r="R102" s="218"/>
      <c r="S102" s="163"/>
      <c r="T102" s="507"/>
      <c r="U102" s="599">
        <v>28</v>
      </c>
      <c r="V102" s="574" t="s">
        <v>1008</v>
      </c>
      <c r="W102" s="636" t="s">
        <v>978</v>
      </c>
      <c r="X102" s="639" t="s">
        <v>978</v>
      </c>
      <c r="Y102" s="685">
        <v>5</v>
      </c>
      <c r="Z102" s="385">
        <f t="shared" si="2"/>
        <v>5</v>
      </c>
      <c r="AA102" s="147"/>
      <c r="AB102" s="163"/>
      <c r="AC102" s="152"/>
      <c r="AD102" s="986"/>
      <c r="AE102" s="967"/>
      <c r="AF102" s="507"/>
      <c r="AG102" s="507"/>
      <c r="AH102" s="507"/>
      <c r="AI102" s="507"/>
      <c r="AJ102" s="507"/>
      <c r="AK102" s="721">
        <v>1605</v>
      </c>
      <c r="AL102" s="507"/>
      <c r="AM102" s="507"/>
      <c r="AN102" s="507"/>
      <c r="AO102" s="507"/>
      <c r="AP102" s="507"/>
      <c r="AQ102" s="507"/>
      <c r="AR102" s="507"/>
      <c r="AS102" s="507"/>
      <c r="AT102" s="507"/>
      <c r="AU102" s="507"/>
      <c r="AV102" s="970"/>
    </row>
    <row r="103" spans="1:48" hidden="1">
      <c r="A103" s="145"/>
      <c r="B103" s="157"/>
      <c r="C103" s="156"/>
      <c r="D103" s="147"/>
      <c r="E103" s="154"/>
      <c r="F103" s="979"/>
      <c r="G103" s="147"/>
      <c r="H103" s="146"/>
      <c r="I103" s="980"/>
      <c r="J103" s="982"/>
      <c r="K103" s="970"/>
      <c r="L103" s="984"/>
      <c r="M103" s="980"/>
      <c r="N103" s="147"/>
      <c r="O103" s="154"/>
      <c r="P103" s="152"/>
      <c r="Q103" s="151"/>
      <c r="R103" s="218"/>
      <c r="S103" s="163"/>
      <c r="T103" s="507"/>
      <c r="U103" s="513">
        <v>29</v>
      </c>
      <c r="V103" s="574" t="s">
        <v>1009</v>
      </c>
      <c r="W103" s="636" t="s">
        <v>978</v>
      </c>
      <c r="X103" s="639" t="s">
        <v>978</v>
      </c>
      <c r="Y103" s="685">
        <v>4</v>
      </c>
      <c r="Z103" s="385">
        <f t="shared" si="2"/>
        <v>4</v>
      </c>
      <c r="AA103" s="147"/>
      <c r="AB103" s="163"/>
      <c r="AC103" s="152"/>
      <c r="AD103" s="986"/>
      <c r="AE103" s="967"/>
      <c r="AF103" s="507"/>
      <c r="AG103" s="507"/>
      <c r="AH103" s="507"/>
      <c r="AI103" s="507"/>
      <c r="AJ103" s="507"/>
      <c r="AK103" s="721">
        <v>33250</v>
      </c>
      <c r="AL103" s="507"/>
      <c r="AM103" s="507"/>
      <c r="AN103" s="507"/>
      <c r="AO103" s="507"/>
      <c r="AP103" s="507"/>
      <c r="AQ103" s="507"/>
      <c r="AR103" s="507"/>
      <c r="AS103" s="507"/>
      <c r="AT103" s="507"/>
      <c r="AU103" s="507"/>
      <c r="AV103" s="970"/>
    </row>
    <row r="104" spans="1:48" hidden="1">
      <c r="A104" s="145"/>
      <c r="B104" s="157"/>
      <c r="C104" s="156"/>
      <c r="D104" s="147"/>
      <c r="E104" s="154"/>
      <c r="F104" s="979"/>
      <c r="G104" s="147"/>
      <c r="H104" s="146"/>
      <c r="I104" s="980"/>
      <c r="J104" s="982"/>
      <c r="K104" s="970"/>
      <c r="L104" s="984"/>
      <c r="M104" s="980"/>
      <c r="N104" s="147"/>
      <c r="O104" s="154"/>
      <c r="P104" s="152"/>
      <c r="Q104" s="151"/>
      <c r="R104" s="218"/>
      <c r="S104" s="163"/>
      <c r="T104" s="507"/>
      <c r="U104" s="599">
        <v>30</v>
      </c>
      <c r="V104" s="161" t="s">
        <v>1010</v>
      </c>
      <c r="W104" s="636" t="s">
        <v>950</v>
      </c>
      <c r="X104" s="639">
        <v>3</v>
      </c>
      <c r="Y104" s="685" t="s">
        <v>950</v>
      </c>
      <c r="Z104" s="385">
        <f t="shared" si="2"/>
        <v>3</v>
      </c>
      <c r="AA104" s="147"/>
      <c r="AB104" s="163"/>
      <c r="AC104" s="152"/>
      <c r="AD104" s="986"/>
      <c r="AE104" s="967"/>
      <c r="AF104" s="507"/>
      <c r="AG104" s="507"/>
      <c r="AH104" s="507"/>
      <c r="AI104" s="507"/>
      <c r="AJ104" s="507"/>
      <c r="AK104" s="721">
        <v>49500</v>
      </c>
      <c r="AL104" s="507"/>
      <c r="AM104" s="507"/>
      <c r="AN104" s="507"/>
      <c r="AO104" s="507"/>
      <c r="AP104" s="507"/>
      <c r="AQ104" s="507"/>
      <c r="AR104" s="507"/>
      <c r="AS104" s="507"/>
      <c r="AT104" s="507"/>
      <c r="AU104" s="507"/>
      <c r="AV104" s="970"/>
    </row>
    <row r="105" spans="1:48" hidden="1">
      <c r="A105" s="145"/>
      <c r="B105" s="157"/>
      <c r="C105" s="156"/>
      <c r="D105" s="147"/>
      <c r="E105" s="154"/>
      <c r="F105" s="979"/>
      <c r="G105" s="147"/>
      <c r="H105" s="146"/>
      <c r="I105" s="980"/>
      <c r="J105" s="982"/>
      <c r="K105" s="970"/>
      <c r="L105" s="984"/>
      <c r="M105" s="980"/>
      <c r="N105" s="147"/>
      <c r="O105" s="154"/>
      <c r="P105" s="152"/>
      <c r="Q105" s="151"/>
      <c r="R105" s="218"/>
      <c r="S105" s="163"/>
      <c r="T105" s="507"/>
      <c r="U105" s="513">
        <v>31</v>
      </c>
      <c r="V105" s="161" t="s">
        <v>1011</v>
      </c>
      <c r="W105" s="636" t="s">
        <v>950</v>
      </c>
      <c r="X105" s="639">
        <v>2</v>
      </c>
      <c r="Y105" s="685" t="s">
        <v>950</v>
      </c>
      <c r="Z105" s="385">
        <f t="shared" si="2"/>
        <v>2</v>
      </c>
      <c r="AA105" s="147"/>
      <c r="AB105" s="163"/>
      <c r="AC105" s="152"/>
      <c r="AD105" s="986"/>
      <c r="AE105" s="967"/>
      <c r="AF105" s="507"/>
      <c r="AG105" s="507"/>
      <c r="AH105" s="507"/>
      <c r="AI105" s="507"/>
      <c r="AJ105" s="507"/>
      <c r="AK105" s="721">
        <v>150</v>
      </c>
      <c r="AL105" s="507"/>
      <c r="AM105" s="507"/>
      <c r="AN105" s="507"/>
      <c r="AO105" s="507"/>
      <c r="AP105" s="507"/>
      <c r="AQ105" s="507"/>
      <c r="AR105" s="507"/>
      <c r="AS105" s="507"/>
      <c r="AT105" s="507"/>
      <c r="AU105" s="507"/>
      <c r="AV105" s="970"/>
    </row>
    <row r="106" spans="1:48" hidden="1">
      <c r="A106" s="145"/>
      <c r="B106" s="157"/>
      <c r="C106" s="156"/>
      <c r="D106" s="147"/>
      <c r="E106" s="154"/>
      <c r="F106" s="979"/>
      <c r="G106" s="147"/>
      <c r="H106" s="146"/>
      <c r="I106" s="980"/>
      <c r="J106" s="982"/>
      <c r="K106" s="970"/>
      <c r="L106" s="984"/>
      <c r="M106" s="980"/>
      <c r="N106" s="147"/>
      <c r="O106" s="154"/>
      <c r="P106" s="152"/>
      <c r="Q106" s="151"/>
      <c r="R106" s="218"/>
      <c r="S106" s="163"/>
      <c r="T106" s="507"/>
      <c r="U106" s="599">
        <v>32</v>
      </c>
      <c r="V106" s="161" t="s">
        <v>1012</v>
      </c>
      <c r="W106" s="636" t="s">
        <v>950</v>
      </c>
      <c r="X106" s="639">
        <v>70</v>
      </c>
      <c r="Y106" s="685" t="s">
        <v>950</v>
      </c>
      <c r="Z106" s="385">
        <f t="shared" si="2"/>
        <v>70</v>
      </c>
      <c r="AA106" s="147"/>
      <c r="AB106" s="163"/>
      <c r="AC106" s="152"/>
      <c r="AD106" s="986"/>
      <c r="AE106" s="967"/>
      <c r="AF106" s="507"/>
      <c r="AG106" s="507"/>
      <c r="AH106" s="507"/>
      <c r="AI106" s="507"/>
      <c r="AJ106" s="507"/>
      <c r="AK106" s="721">
        <v>6650</v>
      </c>
      <c r="AL106" s="507"/>
      <c r="AM106" s="507"/>
      <c r="AN106" s="507"/>
      <c r="AO106" s="507"/>
      <c r="AP106" s="507"/>
      <c r="AQ106" s="507"/>
      <c r="AR106" s="507"/>
      <c r="AS106" s="507"/>
      <c r="AT106" s="507"/>
      <c r="AU106" s="507"/>
      <c r="AV106" s="970"/>
    </row>
    <row r="107" spans="1:48" hidden="1">
      <c r="A107" s="145"/>
      <c r="B107" s="157"/>
      <c r="C107" s="156"/>
      <c r="D107" s="147"/>
      <c r="E107" s="154"/>
      <c r="F107" s="979"/>
      <c r="G107" s="147"/>
      <c r="H107" s="146"/>
      <c r="I107" s="980"/>
      <c r="J107" s="982"/>
      <c r="K107" s="970"/>
      <c r="L107" s="984"/>
      <c r="M107" s="980"/>
      <c r="N107" s="147"/>
      <c r="O107" s="154"/>
      <c r="P107" s="152"/>
      <c r="Q107" s="151"/>
      <c r="R107" s="218"/>
      <c r="S107" s="163"/>
      <c r="T107" s="507"/>
      <c r="U107" s="513">
        <v>33</v>
      </c>
      <c r="V107" s="161" t="s">
        <v>1013</v>
      </c>
      <c r="W107" s="636" t="s">
        <v>950</v>
      </c>
      <c r="X107" s="639">
        <v>2</v>
      </c>
      <c r="Y107" s="685" t="s">
        <v>950</v>
      </c>
      <c r="Z107" s="385">
        <f t="shared" si="2"/>
        <v>2</v>
      </c>
      <c r="AA107" s="147"/>
      <c r="AB107" s="163"/>
      <c r="AC107" s="152"/>
      <c r="AD107" s="986"/>
      <c r="AE107" s="967"/>
      <c r="AF107" s="507"/>
      <c r="AG107" s="507"/>
      <c r="AH107" s="507"/>
      <c r="AI107" s="507"/>
      <c r="AJ107" s="507"/>
      <c r="AK107" s="721"/>
      <c r="AL107" s="507"/>
      <c r="AM107" s="507"/>
      <c r="AN107" s="507"/>
      <c r="AO107" s="507"/>
      <c r="AP107" s="507"/>
      <c r="AQ107" s="507"/>
      <c r="AR107" s="507"/>
      <c r="AS107" s="507"/>
      <c r="AT107" s="507"/>
      <c r="AU107" s="507"/>
      <c r="AV107" s="970"/>
    </row>
    <row r="108" spans="1:48" hidden="1">
      <c r="A108" s="145"/>
      <c r="B108" s="157"/>
      <c r="C108" s="156"/>
      <c r="D108" s="147"/>
      <c r="E108" s="154"/>
      <c r="F108" s="979"/>
      <c r="G108" s="147"/>
      <c r="H108" s="146"/>
      <c r="I108" s="980"/>
      <c r="J108" s="982"/>
      <c r="K108" s="970"/>
      <c r="L108" s="984"/>
      <c r="M108" s="980"/>
      <c r="N108" s="147"/>
      <c r="O108" s="154"/>
      <c r="P108" s="152"/>
      <c r="Q108" s="151"/>
      <c r="R108" s="218"/>
      <c r="S108" s="163"/>
      <c r="T108" s="507"/>
      <c r="U108" s="599">
        <v>34</v>
      </c>
      <c r="V108" s="161" t="s">
        <v>1014</v>
      </c>
      <c r="W108" s="636">
        <v>10</v>
      </c>
      <c r="X108" s="639" t="s">
        <v>950</v>
      </c>
      <c r="Y108" s="685" t="s">
        <v>950</v>
      </c>
      <c r="Z108" s="385">
        <f t="shared" si="2"/>
        <v>0</v>
      </c>
      <c r="AA108" s="147"/>
      <c r="AB108" s="163"/>
      <c r="AC108" s="152"/>
      <c r="AD108" s="986"/>
      <c r="AE108" s="967"/>
      <c r="AF108" s="507"/>
      <c r="AG108" s="507"/>
      <c r="AH108" s="507"/>
      <c r="AI108" s="507"/>
      <c r="AJ108" s="507"/>
      <c r="AK108" s="721">
        <v>25000</v>
      </c>
      <c r="AL108" s="507"/>
      <c r="AM108" s="507"/>
      <c r="AN108" s="507"/>
      <c r="AO108" s="507"/>
      <c r="AP108" s="507"/>
      <c r="AQ108" s="507"/>
      <c r="AR108" s="507"/>
      <c r="AS108" s="507"/>
      <c r="AT108" s="507"/>
      <c r="AU108" s="507"/>
      <c r="AV108" s="970"/>
    </row>
    <row r="109" spans="1:48" hidden="1">
      <c r="A109" s="145"/>
      <c r="B109" s="157"/>
      <c r="C109" s="156"/>
      <c r="D109" s="147"/>
      <c r="E109" s="154"/>
      <c r="F109" s="979"/>
      <c r="G109" s="147"/>
      <c r="H109" s="146"/>
      <c r="I109" s="980"/>
      <c r="J109" s="982"/>
      <c r="K109" s="970"/>
      <c r="L109" s="984"/>
      <c r="M109" s="980"/>
      <c r="N109" s="147"/>
      <c r="O109" s="154"/>
      <c r="P109" s="152"/>
      <c r="Q109" s="151"/>
      <c r="R109" s="218"/>
      <c r="S109" s="163"/>
      <c r="T109" s="507"/>
      <c r="U109" s="513">
        <v>35</v>
      </c>
      <c r="V109" s="161" t="s">
        <v>952</v>
      </c>
      <c r="W109" s="636">
        <v>25</v>
      </c>
      <c r="X109" s="639" t="s">
        <v>950</v>
      </c>
      <c r="Y109" s="685" t="s">
        <v>950</v>
      </c>
      <c r="Z109" s="385">
        <f t="shared" si="2"/>
        <v>0</v>
      </c>
      <c r="AA109" s="147"/>
      <c r="AB109" s="163"/>
      <c r="AC109" s="152"/>
      <c r="AD109" s="986"/>
      <c r="AE109" s="967"/>
      <c r="AF109" s="507"/>
      <c r="AG109" s="507"/>
      <c r="AH109" s="507"/>
      <c r="AI109" s="507"/>
      <c r="AJ109" s="507"/>
      <c r="AK109" s="721">
        <v>15000</v>
      </c>
      <c r="AL109" s="507"/>
      <c r="AM109" s="507"/>
      <c r="AN109" s="507"/>
      <c r="AO109" s="507"/>
      <c r="AP109" s="507"/>
      <c r="AQ109" s="507"/>
      <c r="AR109" s="507"/>
      <c r="AS109" s="507"/>
      <c r="AT109" s="507"/>
      <c r="AU109" s="507"/>
      <c r="AV109" s="970"/>
    </row>
    <row r="110" spans="1:48" hidden="1">
      <c r="A110" s="145"/>
      <c r="B110" s="157"/>
      <c r="C110" s="156"/>
      <c r="D110" s="147"/>
      <c r="E110" s="154"/>
      <c r="F110" s="979"/>
      <c r="G110" s="147"/>
      <c r="H110" s="146"/>
      <c r="I110" s="980"/>
      <c r="J110" s="982"/>
      <c r="K110" s="970"/>
      <c r="L110" s="984"/>
      <c r="M110" s="980"/>
      <c r="N110" s="147"/>
      <c r="O110" s="154"/>
      <c r="P110" s="152"/>
      <c r="Q110" s="151"/>
      <c r="R110" s="218"/>
      <c r="S110" s="163"/>
      <c r="T110" s="507"/>
      <c r="U110" s="599">
        <v>36</v>
      </c>
      <c r="V110" s="161" t="s">
        <v>1015</v>
      </c>
      <c r="W110" s="636" t="s">
        <v>950</v>
      </c>
      <c r="X110" s="639" t="s">
        <v>950</v>
      </c>
      <c r="Y110" s="685">
        <v>102</v>
      </c>
      <c r="Z110" s="385">
        <f t="shared" si="2"/>
        <v>102</v>
      </c>
      <c r="AA110" s="147"/>
      <c r="AB110" s="163"/>
      <c r="AC110" s="152"/>
      <c r="AD110" s="986"/>
      <c r="AE110" s="967"/>
      <c r="AF110" s="507"/>
      <c r="AG110" s="507"/>
      <c r="AH110" s="507"/>
      <c r="AI110" s="507"/>
      <c r="AJ110" s="507"/>
      <c r="AK110" s="721">
        <v>5000</v>
      </c>
      <c r="AL110" s="507"/>
      <c r="AM110" s="507"/>
      <c r="AN110" s="507"/>
      <c r="AO110" s="507"/>
      <c r="AP110" s="507"/>
      <c r="AQ110" s="507"/>
      <c r="AR110" s="507"/>
      <c r="AS110" s="507"/>
      <c r="AT110" s="507"/>
      <c r="AU110" s="507"/>
      <c r="AV110" s="970"/>
    </row>
    <row r="111" spans="1:48" hidden="1">
      <c r="A111" s="145"/>
      <c r="B111" s="157"/>
      <c r="C111" s="156"/>
      <c r="D111" s="147"/>
      <c r="E111" s="154"/>
      <c r="F111" s="979"/>
      <c r="G111" s="147"/>
      <c r="H111" s="146"/>
      <c r="I111" s="980"/>
      <c r="J111" s="982"/>
      <c r="K111" s="970"/>
      <c r="L111" s="984"/>
      <c r="M111" s="980"/>
      <c r="N111" s="147"/>
      <c r="O111" s="154"/>
      <c r="P111" s="152"/>
      <c r="Q111" s="151"/>
      <c r="R111" s="218"/>
      <c r="S111" s="163"/>
      <c r="T111" s="507"/>
      <c r="U111" s="513">
        <v>37</v>
      </c>
      <c r="V111" s="161" t="s">
        <v>964</v>
      </c>
      <c r="W111" s="636" t="s">
        <v>950</v>
      </c>
      <c r="X111" s="639">
        <v>41</v>
      </c>
      <c r="Y111" s="685" t="s">
        <v>950</v>
      </c>
      <c r="Z111" s="385">
        <f t="shared" si="2"/>
        <v>41</v>
      </c>
      <c r="AA111" s="147"/>
      <c r="AB111" s="163"/>
      <c r="AC111" s="152"/>
      <c r="AD111" s="986"/>
      <c r="AE111" s="967"/>
      <c r="AF111" s="507"/>
      <c r="AG111" s="507"/>
      <c r="AH111" s="507"/>
      <c r="AI111" s="507"/>
      <c r="AJ111" s="507"/>
      <c r="AK111" s="721">
        <v>1540</v>
      </c>
      <c r="AL111" s="507"/>
      <c r="AM111" s="507"/>
      <c r="AN111" s="507"/>
      <c r="AO111" s="507"/>
      <c r="AP111" s="507"/>
      <c r="AQ111" s="507"/>
      <c r="AR111" s="507"/>
      <c r="AS111" s="507"/>
      <c r="AT111" s="507"/>
      <c r="AU111" s="507"/>
      <c r="AV111" s="970"/>
    </row>
    <row r="112" spans="1:48" hidden="1">
      <c r="A112" s="145"/>
      <c r="B112" s="157"/>
      <c r="C112" s="156"/>
      <c r="D112" s="147"/>
      <c r="E112" s="154"/>
      <c r="F112" s="979"/>
      <c r="G112" s="147"/>
      <c r="H112" s="146"/>
      <c r="I112" s="980"/>
      <c r="J112" s="982"/>
      <c r="K112" s="970"/>
      <c r="L112" s="984"/>
      <c r="M112" s="980"/>
      <c r="N112" s="147"/>
      <c r="O112" s="154"/>
      <c r="P112" s="152"/>
      <c r="Q112" s="151"/>
      <c r="R112" s="218"/>
      <c r="S112" s="163"/>
      <c r="T112" s="507"/>
      <c r="U112" s="599">
        <v>38</v>
      </c>
      <c r="V112" s="161" t="s">
        <v>967</v>
      </c>
      <c r="W112" s="636" t="s">
        <v>950</v>
      </c>
      <c r="X112" s="639">
        <v>5</v>
      </c>
      <c r="Y112" s="685"/>
      <c r="Z112" s="385">
        <f t="shared" si="2"/>
        <v>5</v>
      </c>
      <c r="AA112" s="147"/>
      <c r="AB112" s="163"/>
      <c r="AC112" s="152"/>
      <c r="AD112" s="986"/>
      <c r="AE112" s="967"/>
      <c r="AF112" s="507"/>
      <c r="AG112" s="507"/>
      <c r="AH112" s="507"/>
      <c r="AI112" s="507"/>
      <c r="AJ112" s="507"/>
      <c r="AK112" s="721">
        <v>13250</v>
      </c>
      <c r="AL112" s="507"/>
      <c r="AM112" s="507"/>
      <c r="AN112" s="507"/>
      <c r="AO112" s="507"/>
      <c r="AP112" s="507"/>
      <c r="AQ112" s="507"/>
      <c r="AR112" s="507"/>
      <c r="AS112" s="507"/>
      <c r="AT112" s="507"/>
      <c r="AU112" s="507"/>
      <c r="AV112" s="970"/>
    </row>
    <row r="113" spans="1:48" hidden="1">
      <c r="A113" s="145"/>
      <c r="B113" s="157"/>
      <c r="C113" s="156"/>
      <c r="D113" s="147"/>
      <c r="E113" s="154"/>
      <c r="F113" s="979"/>
      <c r="G113" s="147"/>
      <c r="H113" s="146"/>
      <c r="I113" s="980"/>
      <c r="J113" s="982"/>
      <c r="K113" s="970"/>
      <c r="L113" s="984"/>
      <c r="M113" s="980"/>
      <c r="N113" s="147"/>
      <c r="O113" s="154"/>
      <c r="P113" s="503"/>
      <c r="Q113" s="504"/>
      <c r="R113" s="218"/>
      <c r="S113" s="163"/>
      <c r="T113" s="507"/>
      <c r="U113" s="599"/>
      <c r="V113" s="161" t="s">
        <v>967</v>
      </c>
      <c r="W113" s="636" t="s">
        <v>950</v>
      </c>
      <c r="X113" s="639"/>
      <c r="Y113" s="685">
        <v>10</v>
      </c>
      <c r="Z113" s="385"/>
      <c r="AA113" s="147"/>
      <c r="AB113" s="163"/>
      <c r="AC113" s="503"/>
      <c r="AD113" s="986"/>
      <c r="AE113" s="967"/>
      <c r="AF113" s="507"/>
      <c r="AG113" s="507"/>
      <c r="AH113" s="507"/>
      <c r="AI113" s="507"/>
      <c r="AJ113" s="507"/>
      <c r="AK113" s="721">
        <v>6600</v>
      </c>
      <c r="AL113" s="507"/>
      <c r="AM113" s="507"/>
      <c r="AN113" s="507"/>
      <c r="AO113" s="507"/>
      <c r="AP113" s="507"/>
      <c r="AQ113" s="507"/>
      <c r="AR113" s="507"/>
      <c r="AS113" s="507"/>
      <c r="AT113" s="507"/>
      <c r="AU113" s="507"/>
      <c r="AV113" s="970"/>
    </row>
    <row r="114" spans="1:48" hidden="1">
      <c r="A114" s="129"/>
      <c r="B114" s="137"/>
      <c r="C114" s="141"/>
      <c r="D114" s="131"/>
      <c r="E114" s="140"/>
      <c r="F114" s="992"/>
      <c r="G114" s="131"/>
      <c r="H114" s="130"/>
      <c r="I114" s="985"/>
      <c r="J114" s="993"/>
      <c r="K114" s="971"/>
      <c r="L114" s="994"/>
      <c r="M114" s="985"/>
      <c r="N114" s="131"/>
      <c r="O114" s="138"/>
      <c r="P114" s="136"/>
      <c r="Q114" s="135"/>
      <c r="R114" s="137"/>
      <c r="S114" s="131"/>
      <c r="T114" s="508"/>
      <c r="U114" s="600"/>
      <c r="V114" s="573"/>
      <c r="W114" s="637"/>
      <c r="X114" s="652"/>
      <c r="Y114" s="686"/>
      <c r="Z114" s="394"/>
      <c r="AA114" s="131"/>
      <c r="AB114" s="227"/>
      <c r="AC114" s="136"/>
      <c r="AD114" s="987"/>
      <c r="AE114" s="968"/>
      <c r="AF114" s="508"/>
      <c r="AG114" s="508"/>
      <c r="AH114" s="508"/>
      <c r="AI114" s="508"/>
      <c r="AJ114" s="508"/>
      <c r="AK114" s="723"/>
      <c r="AL114" s="508"/>
      <c r="AM114" s="508"/>
      <c r="AN114" s="508"/>
      <c r="AO114" s="508"/>
      <c r="AP114" s="508"/>
      <c r="AQ114" s="508"/>
      <c r="AR114" s="508"/>
      <c r="AS114" s="508"/>
      <c r="AT114" s="508"/>
      <c r="AU114" s="508"/>
      <c r="AV114" s="971"/>
    </row>
    <row r="115" spans="1:48" hidden="1">
      <c r="A115" s="185" t="s">
        <v>687</v>
      </c>
      <c r="B115" s="176" t="s">
        <v>25</v>
      </c>
      <c r="C115" s="184" t="s">
        <v>778</v>
      </c>
      <c r="D115" s="170"/>
      <c r="E115" s="278"/>
      <c r="F115" s="998"/>
      <c r="G115" s="182" t="s">
        <v>25</v>
      </c>
      <c r="H115" s="181" t="s">
        <v>729</v>
      </c>
      <c r="I115" s="996">
        <v>600</v>
      </c>
      <c r="J115" s="174"/>
      <c r="K115" s="969" t="s">
        <v>777</v>
      </c>
      <c r="L115" s="983" t="s">
        <v>46</v>
      </c>
      <c r="M115" s="996"/>
      <c r="N115" s="183" t="s">
        <v>25</v>
      </c>
      <c r="O115" s="177" t="s">
        <v>26</v>
      </c>
      <c r="P115" s="393">
        <v>1</v>
      </c>
      <c r="Q115" s="392">
        <v>101.31</v>
      </c>
      <c r="R115" s="176" t="s">
        <v>25</v>
      </c>
      <c r="S115" s="170" t="s">
        <v>24</v>
      </c>
      <c r="T115" s="506"/>
      <c r="U115" s="597">
        <v>1</v>
      </c>
      <c r="V115" s="575" t="s">
        <v>883</v>
      </c>
      <c r="W115" s="633"/>
      <c r="X115" s="638"/>
      <c r="Y115" s="687">
        <v>100</v>
      </c>
      <c r="Z115" s="391">
        <f>SUM(Y115)</f>
        <v>100</v>
      </c>
      <c r="AA115" s="183"/>
      <c r="AB115" s="270"/>
      <c r="AC115" s="168"/>
      <c r="AD115" s="995"/>
      <c r="AE115" s="966"/>
      <c r="AF115" s="506"/>
      <c r="AG115" s="506"/>
      <c r="AH115" s="506"/>
      <c r="AI115" s="506"/>
      <c r="AJ115" s="506"/>
      <c r="AK115" s="722">
        <v>20000</v>
      </c>
      <c r="AL115" s="506"/>
      <c r="AM115" s="506"/>
      <c r="AN115" s="506"/>
      <c r="AO115" s="506"/>
      <c r="AP115" s="506"/>
      <c r="AQ115" s="506"/>
      <c r="AR115" s="506"/>
      <c r="AS115" s="506"/>
      <c r="AT115" s="506"/>
      <c r="AU115" s="506"/>
      <c r="AV115" s="969"/>
    </row>
    <row r="116" spans="1:48" hidden="1">
      <c r="A116" s="145"/>
      <c r="B116" s="153" t="s">
        <v>16</v>
      </c>
      <c r="C116" s="164" t="s">
        <v>776</v>
      </c>
      <c r="D116" s="147"/>
      <c r="E116" s="271"/>
      <c r="F116" s="979"/>
      <c r="G116" s="147" t="s">
        <v>16</v>
      </c>
      <c r="H116" s="147" t="s">
        <v>726</v>
      </c>
      <c r="I116" s="980"/>
      <c r="J116" s="151"/>
      <c r="K116" s="970"/>
      <c r="L116" s="984"/>
      <c r="M116" s="980"/>
      <c r="N116" s="147" t="s">
        <v>435</v>
      </c>
      <c r="O116" s="203" t="s">
        <v>775</v>
      </c>
      <c r="P116" s="379">
        <v>1</v>
      </c>
      <c r="Q116" s="378">
        <v>27.06</v>
      </c>
      <c r="R116" s="153"/>
      <c r="S116" s="147"/>
      <c r="T116" s="507"/>
      <c r="U116" s="598">
        <v>2</v>
      </c>
      <c r="V116" s="576" t="s">
        <v>1022</v>
      </c>
      <c r="W116" s="631"/>
      <c r="X116" s="639"/>
      <c r="Y116" s="688">
        <v>5</v>
      </c>
      <c r="Z116" s="385">
        <f>SUM(Y116)</f>
        <v>5</v>
      </c>
      <c r="AA116" s="147"/>
      <c r="AB116" s="154"/>
      <c r="AC116" s="145"/>
      <c r="AD116" s="986"/>
      <c r="AE116" s="967"/>
      <c r="AF116" s="507"/>
      <c r="AG116" s="507"/>
      <c r="AH116" s="507"/>
      <c r="AI116" s="507"/>
      <c r="AJ116" s="507"/>
      <c r="AK116" s="721">
        <v>8000</v>
      </c>
      <c r="AL116" s="507"/>
      <c r="AM116" s="507"/>
      <c r="AN116" s="507"/>
      <c r="AO116" s="507"/>
      <c r="AP116" s="507"/>
      <c r="AQ116" s="507"/>
      <c r="AR116" s="507"/>
      <c r="AS116" s="507"/>
      <c r="AT116" s="507"/>
      <c r="AU116" s="507"/>
      <c r="AV116" s="970"/>
    </row>
    <row r="117" spans="1:48" ht="27.6" hidden="1">
      <c r="A117" s="145"/>
      <c r="B117" s="153" t="s">
        <v>18</v>
      </c>
      <c r="C117" s="162" t="s">
        <v>633</v>
      </c>
      <c r="D117" s="147"/>
      <c r="E117" s="271"/>
      <c r="F117" s="979"/>
      <c r="G117" s="147" t="s">
        <v>18</v>
      </c>
      <c r="H117" s="147" t="s">
        <v>19</v>
      </c>
      <c r="I117" s="980"/>
      <c r="J117" s="151"/>
      <c r="K117" s="970"/>
      <c r="L117" s="984"/>
      <c r="M117" s="980"/>
      <c r="N117" s="147" t="s">
        <v>18</v>
      </c>
      <c r="O117" s="154" t="s">
        <v>191</v>
      </c>
      <c r="P117" s="379">
        <v>1</v>
      </c>
      <c r="Q117" s="378">
        <v>23.78</v>
      </c>
      <c r="R117" s="110"/>
      <c r="S117" s="388"/>
      <c r="T117" s="586"/>
      <c r="U117" s="598">
        <v>3</v>
      </c>
      <c r="V117" s="576" t="s">
        <v>56</v>
      </c>
      <c r="W117" s="621"/>
      <c r="X117" s="661"/>
      <c r="Y117" s="688">
        <v>15</v>
      </c>
      <c r="Z117" s="386">
        <f>SUM(Y117)</f>
        <v>15</v>
      </c>
      <c r="AA117" s="147"/>
      <c r="AB117" s="163"/>
      <c r="AC117" s="145"/>
      <c r="AD117" s="986"/>
      <c r="AE117" s="967"/>
      <c r="AF117" s="507"/>
      <c r="AG117" s="507"/>
      <c r="AH117" s="507"/>
      <c r="AI117" s="507"/>
      <c r="AJ117" s="507"/>
      <c r="AK117" s="721">
        <v>10000</v>
      </c>
      <c r="AL117" s="507"/>
      <c r="AM117" s="507"/>
      <c r="AN117" s="507"/>
      <c r="AO117" s="507"/>
      <c r="AP117" s="507"/>
      <c r="AQ117" s="507"/>
      <c r="AR117" s="507"/>
      <c r="AS117" s="507"/>
      <c r="AT117" s="507"/>
      <c r="AU117" s="507"/>
      <c r="AV117" s="970"/>
    </row>
    <row r="118" spans="1:48" ht="72.75" hidden="1" customHeight="1">
      <c r="A118" s="145"/>
      <c r="B118" s="157" t="s">
        <v>12</v>
      </c>
      <c r="C118" s="156" t="s">
        <v>725</v>
      </c>
      <c r="D118" s="147"/>
      <c r="E118" s="271"/>
      <c r="F118" s="979"/>
      <c r="G118" s="147"/>
      <c r="H118" s="146"/>
      <c r="I118" s="980"/>
      <c r="J118" s="151"/>
      <c r="K118" s="970"/>
      <c r="L118" s="984"/>
      <c r="M118" s="980"/>
      <c r="N118" s="147" t="s">
        <v>12</v>
      </c>
      <c r="O118" s="155" t="s">
        <v>52</v>
      </c>
      <c r="P118" s="379">
        <v>1</v>
      </c>
      <c r="Q118" s="378">
        <v>27.98</v>
      </c>
      <c r="R118" s="153" t="s">
        <v>16</v>
      </c>
      <c r="S118" s="147" t="s">
        <v>15</v>
      </c>
      <c r="T118" s="507">
        <v>34</v>
      </c>
      <c r="U118" s="602">
        <v>1</v>
      </c>
      <c r="V118" s="161" t="s">
        <v>948</v>
      </c>
      <c r="W118" s="636">
        <v>21</v>
      </c>
      <c r="X118" s="639" t="s">
        <v>978</v>
      </c>
      <c r="Y118" s="680" t="s">
        <v>978</v>
      </c>
      <c r="Z118" s="385">
        <f t="shared" ref="Z118:Z154" si="3">SUM(W118:Y118)</f>
        <v>21</v>
      </c>
      <c r="AA118" s="147"/>
      <c r="AB118" s="163"/>
      <c r="AC118" s="152"/>
      <c r="AD118" s="986"/>
      <c r="AE118" s="967"/>
      <c r="AF118" s="507"/>
      <c r="AG118" s="507"/>
      <c r="AH118" s="507"/>
      <c r="AI118" s="507"/>
      <c r="AJ118" s="507"/>
      <c r="AK118" s="721">
        <v>15000</v>
      </c>
      <c r="AL118" s="507"/>
      <c r="AM118" s="507"/>
      <c r="AN118" s="507"/>
      <c r="AO118" s="507"/>
      <c r="AP118" s="507"/>
      <c r="AQ118" s="507"/>
      <c r="AR118" s="507"/>
      <c r="AS118" s="507"/>
      <c r="AT118" s="507"/>
      <c r="AU118" s="507"/>
      <c r="AV118" s="970"/>
    </row>
    <row r="119" spans="1:48" hidden="1">
      <c r="A119" s="145"/>
      <c r="B119" s="157" t="s">
        <v>8</v>
      </c>
      <c r="C119" s="190" t="s">
        <v>682</v>
      </c>
      <c r="D119" s="147"/>
      <c r="E119" s="271"/>
      <c r="F119" s="979"/>
      <c r="G119" s="147"/>
      <c r="H119" s="146"/>
      <c r="I119" s="980"/>
      <c r="J119" s="151"/>
      <c r="K119" s="970"/>
      <c r="L119" s="984"/>
      <c r="M119" s="980"/>
      <c r="N119" s="147" t="s">
        <v>8</v>
      </c>
      <c r="O119" s="154" t="s">
        <v>774</v>
      </c>
      <c r="P119" s="379">
        <v>1</v>
      </c>
      <c r="Q119" s="378">
        <v>23.5</v>
      </c>
      <c r="R119" s="218"/>
      <c r="S119" s="163"/>
      <c r="T119" s="507"/>
      <c r="U119" s="599">
        <v>2</v>
      </c>
      <c r="V119" s="161" t="s">
        <v>951</v>
      </c>
      <c r="W119" s="636">
        <v>80</v>
      </c>
      <c r="X119" s="639" t="s">
        <v>978</v>
      </c>
      <c r="Y119" s="685" t="s">
        <v>978</v>
      </c>
      <c r="Z119" s="385">
        <f t="shared" si="3"/>
        <v>80</v>
      </c>
      <c r="AA119" s="147"/>
      <c r="AB119" s="163"/>
      <c r="AC119" s="152"/>
      <c r="AD119" s="986"/>
      <c r="AE119" s="967"/>
      <c r="AF119" s="507"/>
      <c r="AG119" s="507"/>
      <c r="AH119" s="507"/>
      <c r="AI119" s="507"/>
      <c r="AJ119" s="507"/>
      <c r="AK119" s="721">
        <v>6000</v>
      </c>
      <c r="AL119" s="507"/>
      <c r="AM119" s="507"/>
      <c r="AN119" s="507"/>
      <c r="AO119" s="507"/>
      <c r="AP119" s="507"/>
      <c r="AQ119" s="507"/>
      <c r="AR119" s="507"/>
      <c r="AS119" s="507"/>
      <c r="AT119" s="507"/>
      <c r="AU119" s="507"/>
      <c r="AV119" s="970"/>
    </row>
    <row r="120" spans="1:48" hidden="1">
      <c r="A120" s="145"/>
      <c r="B120" s="157"/>
      <c r="C120" s="156"/>
      <c r="D120" s="147"/>
      <c r="E120" s="271"/>
      <c r="F120" s="979"/>
      <c r="G120" s="147"/>
      <c r="H120" s="146"/>
      <c r="I120" s="980"/>
      <c r="J120" s="151"/>
      <c r="K120" s="970"/>
      <c r="L120" s="984"/>
      <c r="M120" s="980"/>
      <c r="N120" s="147" t="s">
        <v>54</v>
      </c>
      <c r="O120" s="154" t="s">
        <v>17</v>
      </c>
      <c r="P120" s="379">
        <v>1</v>
      </c>
      <c r="Q120" s="378"/>
      <c r="R120" s="218"/>
      <c r="S120" s="163"/>
      <c r="T120" s="507"/>
      <c r="U120" s="599">
        <v>3</v>
      </c>
      <c r="V120" s="161" t="s">
        <v>952</v>
      </c>
      <c r="W120" s="636">
        <v>5</v>
      </c>
      <c r="X120" s="639" t="s">
        <v>978</v>
      </c>
      <c r="Y120" s="685" t="s">
        <v>978</v>
      </c>
      <c r="Z120" s="385">
        <f t="shared" si="3"/>
        <v>5</v>
      </c>
      <c r="AA120" s="147"/>
      <c r="AB120" s="163"/>
      <c r="AC120" s="152"/>
      <c r="AD120" s="986"/>
      <c r="AE120" s="967"/>
      <c r="AF120" s="507"/>
      <c r="AG120" s="507"/>
      <c r="AH120" s="507"/>
      <c r="AI120" s="507"/>
      <c r="AJ120" s="507"/>
      <c r="AK120" s="721">
        <v>15000</v>
      </c>
      <c r="AL120" s="507"/>
      <c r="AM120" s="507"/>
      <c r="AN120" s="507"/>
      <c r="AO120" s="507"/>
      <c r="AP120" s="507"/>
      <c r="AQ120" s="507"/>
      <c r="AR120" s="507"/>
      <c r="AS120" s="507"/>
      <c r="AT120" s="507"/>
      <c r="AU120" s="507"/>
      <c r="AV120" s="970"/>
    </row>
    <row r="121" spans="1:48" hidden="1">
      <c r="A121" s="145"/>
      <c r="B121" s="157"/>
      <c r="C121" s="156"/>
      <c r="D121" s="147"/>
      <c r="E121" s="271"/>
      <c r="F121" s="979"/>
      <c r="G121" s="147"/>
      <c r="H121" s="146"/>
      <c r="I121" s="980"/>
      <c r="J121" s="151"/>
      <c r="K121" s="970"/>
      <c r="L121" s="984"/>
      <c r="M121" s="980"/>
      <c r="N121" s="147" t="s">
        <v>53</v>
      </c>
      <c r="O121" s="154" t="s">
        <v>11</v>
      </c>
      <c r="P121" s="379">
        <v>1</v>
      </c>
      <c r="Q121" s="378"/>
      <c r="R121" s="218"/>
      <c r="S121" s="163"/>
      <c r="T121" s="507"/>
      <c r="U121" s="599">
        <v>4</v>
      </c>
      <c r="V121" s="161" t="s">
        <v>953</v>
      </c>
      <c r="W121" s="636">
        <v>6</v>
      </c>
      <c r="X121" s="639"/>
      <c r="Y121" s="685" t="s">
        <v>978</v>
      </c>
      <c r="Z121" s="385">
        <f t="shared" si="3"/>
        <v>6</v>
      </c>
      <c r="AA121" s="147"/>
      <c r="AB121" s="163"/>
      <c r="AC121" s="152"/>
      <c r="AD121" s="986"/>
      <c r="AE121" s="967"/>
      <c r="AF121" s="507"/>
      <c r="AG121" s="507"/>
      <c r="AH121" s="507"/>
      <c r="AI121" s="507"/>
      <c r="AJ121" s="507"/>
      <c r="AK121" s="721">
        <v>350000</v>
      </c>
      <c r="AL121" s="507"/>
      <c r="AM121" s="507"/>
      <c r="AN121" s="507"/>
      <c r="AO121" s="507"/>
      <c r="AP121" s="507"/>
      <c r="AQ121" s="507"/>
      <c r="AR121" s="507"/>
      <c r="AS121" s="507"/>
      <c r="AT121" s="507"/>
      <c r="AU121" s="507"/>
      <c r="AV121" s="970"/>
    </row>
    <row r="122" spans="1:48" hidden="1">
      <c r="A122" s="145"/>
      <c r="B122" s="157"/>
      <c r="C122" s="156"/>
      <c r="D122" s="147"/>
      <c r="E122" s="271"/>
      <c r="F122" s="979"/>
      <c r="G122" s="147"/>
      <c r="H122" s="146"/>
      <c r="I122" s="980"/>
      <c r="J122" s="504"/>
      <c r="K122" s="970"/>
      <c r="L122" s="984"/>
      <c r="M122" s="980"/>
      <c r="N122" s="147"/>
      <c r="O122" s="154"/>
      <c r="P122" s="379"/>
      <c r="Q122" s="378"/>
      <c r="R122" s="218"/>
      <c r="S122" s="163"/>
      <c r="T122" s="507"/>
      <c r="U122" s="599"/>
      <c r="V122" s="161" t="s">
        <v>953</v>
      </c>
      <c r="W122" s="636"/>
      <c r="X122" s="639">
        <v>30</v>
      </c>
      <c r="Y122" s="685" t="s">
        <v>978</v>
      </c>
      <c r="Z122" s="385"/>
      <c r="AA122" s="147"/>
      <c r="AB122" s="163"/>
      <c r="AC122" s="503"/>
      <c r="AD122" s="986"/>
      <c r="AE122" s="967"/>
      <c r="AF122" s="507"/>
      <c r="AG122" s="507"/>
      <c r="AH122" s="507"/>
      <c r="AI122" s="507"/>
      <c r="AJ122" s="507"/>
      <c r="AK122" s="721">
        <v>231000</v>
      </c>
      <c r="AL122" s="507"/>
      <c r="AM122" s="507"/>
      <c r="AN122" s="507"/>
      <c r="AO122" s="507"/>
      <c r="AP122" s="507"/>
      <c r="AQ122" s="507"/>
      <c r="AR122" s="507"/>
      <c r="AS122" s="507"/>
      <c r="AT122" s="507"/>
      <c r="AU122" s="507"/>
      <c r="AV122" s="970"/>
    </row>
    <row r="123" spans="1:48" hidden="1">
      <c r="A123" s="145"/>
      <c r="B123" s="157"/>
      <c r="C123" s="156"/>
      <c r="D123" s="147"/>
      <c r="E123" s="271"/>
      <c r="F123" s="979"/>
      <c r="G123" s="147"/>
      <c r="H123" s="146"/>
      <c r="I123" s="980"/>
      <c r="J123" s="151"/>
      <c r="K123" s="970"/>
      <c r="L123" s="984"/>
      <c r="M123" s="980"/>
      <c r="N123" s="147" t="s">
        <v>51</v>
      </c>
      <c r="O123" s="154" t="s">
        <v>189</v>
      </c>
      <c r="P123" s="379"/>
      <c r="Q123" s="378">
        <v>26</v>
      </c>
      <c r="R123" s="218"/>
      <c r="S123" s="163"/>
      <c r="T123" s="507"/>
      <c r="U123" s="599">
        <v>5</v>
      </c>
      <c r="V123" s="161" t="s">
        <v>954</v>
      </c>
      <c r="W123" s="636">
        <v>25</v>
      </c>
      <c r="X123" s="639" t="s">
        <v>978</v>
      </c>
      <c r="Y123" s="685" t="s">
        <v>978</v>
      </c>
      <c r="Z123" s="385">
        <f t="shared" si="3"/>
        <v>25</v>
      </c>
      <c r="AA123" s="147"/>
      <c r="AB123" s="163"/>
      <c r="AC123" s="152"/>
      <c r="AD123" s="986"/>
      <c r="AE123" s="967"/>
      <c r="AF123" s="507"/>
      <c r="AG123" s="507"/>
      <c r="AH123" s="507"/>
      <c r="AI123" s="507"/>
      <c r="AJ123" s="507"/>
      <c r="AK123" s="721">
        <v>25000</v>
      </c>
      <c r="AL123" s="507"/>
      <c r="AM123" s="507"/>
      <c r="AN123" s="507"/>
      <c r="AO123" s="507"/>
      <c r="AP123" s="507"/>
      <c r="AQ123" s="507"/>
      <c r="AR123" s="507"/>
      <c r="AS123" s="507"/>
      <c r="AT123" s="507"/>
      <c r="AU123" s="507"/>
      <c r="AV123" s="970"/>
    </row>
    <row r="124" spans="1:48" hidden="1">
      <c r="A124" s="145"/>
      <c r="B124" s="153"/>
      <c r="C124" s="220"/>
      <c r="D124" s="147"/>
      <c r="E124" s="271"/>
      <c r="F124" s="979"/>
      <c r="G124" s="147"/>
      <c r="H124" s="146"/>
      <c r="I124" s="980"/>
      <c r="J124" s="151"/>
      <c r="K124" s="970"/>
      <c r="L124" s="984"/>
      <c r="M124" s="980"/>
      <c r="N124" s="147" t="s">
        <v>154</v>
      </c>
      <c r="O124" s="154" t="s">
        <v>121</v>
      </c>
      <c r="P124" s="379"/>
      <c r="Q124" s="378">
        <v>9.9</v>
      </c>
      <c r="R124" s="218"/>
      <c r="S124" s="163"/>
      <c r="T124" s="507"/>
      <c r="U124" s="599">
        <v>6</v>
      </c>
      <c r="V124" s="161" t="s">
        <v>955</v>
      </c>
      <c r="W124" s="636" t="s">
        <v>978</v>
      </c>
      <c r="X124" s="639">
        <v>7</v>
      </c>
      <c r="Y124" s="685" t="s">
        <v>978</v>
      </c>
      <c r="Z124" s="385">
        <f t="shared" si="3"/>
        <v>7</v>
      </c>
      <c r="AA124" s="147"/>
      <c r="AB124" s="163"/>
      <c r="AC124" s="152"/>
      <c r="AD124" s="986"/>
      <c r="AE124" s="967"/>
      <c r="AF124" s="507"/>
      <c r="AG124" s="507"/>
      <c r="AH124" s="507"/>
      <c r="AI124" s="507"/>
      <c r="AJ124" s="507"/>
      <c r="AK124" s="721">
        <v>2000</v>
      </c>
      <c r="AL124" s="507"/>
      <c r="AM124" s="507"/>
      <c r="AN124" s="507"/>
      <c r="AO124" s="507"/>
      <c r="AP124" s="507"/>
      <c r="AQ124" s="507"/>
      <c r="AR124" s="507"/>
      <c r="AS124" s="507"/>
      <c r="AT124" s="507"/>
      <c r="AU124" s="507"/>
      <c r="AV124" s="970"/>
    </row>
    <row r="125" spans="1:48" hidden="1">
      <c r="A125" s="145"/>
      <c r="B125" s="153"/>
      <c r="C125" s="220"/>
      <c r="D125" s="147"/>
      <c r="E125" s="271"/>
      <c r="F125" s="226"/>
      <c r="G125" s="147"/>
      <c r="H125" s="146"/>
      <c r="I125" s="461"/>
      <c r="J125" s="151"/>
      <c r="K125" s="142"/>
      <c r="L125" s="281"/>
      <c r="M125" s="231"/>
      <c r="N125" s="147"/>
      <c r="O125" s="154"/>
      <c r="P125" s="152"/>
      <c r="Q125" s="151"/>
      <c r="R125" s="153"/>
      <c r="S125" s="147"/>
      <c r="T125" s="507"/>
      <c r="U125" s="599">
        <v>7</v>
      </c>
      <c r="V125" s="161" t="s">
        <v>956</v>
      </c>
      <c r="W125" s="636">
        <v>3</v>
      </c>
      <c r="X125" s="639" t="s">
        <v>978</v>
      </c>
      <c r="Y125" s="685" t="s">
        <v>978</v>
      </c>
      <c r="Z125" s="385">
        <f t="shared" si="3"/>
        <v>3</v>
      </c>
      <c r="AA125" s="147"/>
      <c r="AB125" s="163"/>
      <c r="AC125" s="152"/>
      <c r="AD125" s="144"/>
      <c r="AE125" s="143"/>
      <c r="AF125" s="507"/>
      <c r="AG125" s="507"/>
      <c r="AH125" s="507"/>
      <c r="AI125" s="507"/>
      <c r="AJ125" s="507"/>
      <c r="AK125" s="721">
        <v>20000</v>
      </c>
      <c r="AL125" s="507"/>
      <c r="AM125" s="507"/>
      <c r="AN125" s="507"/>
      <c r="AO125" s="507"/>
      <c r="AP125" s="507"/>
      <c r="AQ125" s="507"/>
      <c r="AR125" s="507"/>
      <c r="AS125" s="507"/>
      <c r="AT125" s="507"/>
      <c r="AU125" s="507"/>
      <c r="AV125" s="142"/>
    </row>
    <row r="126" spans="1:48" hidden="1">
      <c r="A126" s="145"/>
      <c r="B126" s="153"/>
      <c r="C126" s="220"/>
      <c r="D126" s="147"/>
      <c r="E126" s="271"/>
      <c r="F126" s="226"/>
      <c r="G126" s="147"/>
      <c r="H126" s="146"/>
      <c r="I126" s="461"/>
      <c r="J126" s="151"/>
      <c r="K126" s="142"/>
      <c r="L126" s="281"/>
      <c r="M126" s="231"/>
      <c r="N126" s="147"/>
      <c r="O126" s="154"/>
      <c r="P126" s="152"/>
      <c r="Q126" s="151"/>
      <c r="R126" s="153"/>
      <c r="S126" s="147"/>
      <c r="T126" s="507"/>
      <c r="U126" s="599">
        <v>8</v>
      </c>
      <c r="V126" s="161" t="s">
        <v>957</v>
      </c>
      <c r="W126" s="636" t="s">
        <v>978</v>
      </c>
      <c r="X126" s="639">
        <v>10</v>
      </c>
      <c r="Y126" s="685" t="s">
        <v>978</v>
      </c>
      <c r="Z126" s="385">
        <f t="shared" si="3"/>
        <v>10</v>
      </c>
      <c r="AA126" s="147"/>
      <c r="AB126" s="163"/>
      <c r="AC126" s="152"/>
      <c r="AD126" s="144"/>
      <c r="AE126" s="143"/>
      <c r="AF126" s="507"/>
      <c r="AG126" s="507"/>
      <c r="AH126" s="507"/>
      <c r="AI126" s="507"/>
      <c r="AJ126" s="507"/>
      <c r="AK126" s="721">
        <v>6650</v>
      </c>
      <c r="AL126" s="507"/>
      <c r="AM126" s="507"/>
      <c r="AN126" s="507"/>
      <c r="AO126" s="507"/>
      <c r="AP126" s="507"/>
      <c r="AQ126" s="507"/>
      <c r="AR126" s="507"/>
      <c r="AS126" s="507"/>
      <c r="AT126" s="507"/>
      <c r="AU126" s="507"/>
      <c r="AV126" s="142"/>
    </row>
    <row r="127" spans="1:48" hidden="1">
      <c r="A127" s="145"/>
      <c r="B127" s="153"/>
      <c r="C127" s="220"/>
      <c r="D127" s="147"/>
      <c r="E127" s="271"/>
      <c r="F127" s="226"/>
      <c r="G127" s="147"/>
      <c r="H127" s="146"/>
      <c r="I127" s="461"/>
      <c r="J127" s="151"/>
      <c r="K127" s="142"/>
      <c r="L127" s="281"/>
      <c r="M127" s="231"/>
      <c r="N127" s="147"/>
      <c r="O127" s="154"/>
      <c r="P127" s="152"/>
      <c r="Q127" s="151"/>
      <c r="R127" s="153"/>
      <c r="S127" s="147"/>
      <c r="T127" s="507"/>
      <c r="U127" s="599">
        <v>9</v>
      </c>
      <c r="V127" s="161" t="s">
        <v>958</v>
      </c>
      <c r="W127" s="636">
        <v>90</v>
      </c>
      <c r="X127" s="639" t="s">
        <v>978</v>
      </c>
      <c r="Y127" s="685"/>
      <c r="Z127" s="385">
        <f t="shared" si="3"/>
        <v>90</v>
      </c>
      <c r="AA127" s="147"/>
      <c r="AB127" s="163"/>
      <c r="AC127" s="152"/>
      <c r="AD127" s="144"/>
      <c r="AE127" s="143"/>
      <c r="AF127" s="507"/>
      <c r="AG127" s="507"/>
      <c r="AH127" s="507"/>
      <c r="AI127" s="507"/>
      <c r="AJ127" s="507"/>
      <c r="AK127" s="721">
        <v>15000</v>
      </c>
      <c r="AL127" s="507"/>
      <c r="AM127" s="507"/>
      <c r="AN127" s="507"/>
      <c r="AO127" s="507"/>
      <c r="AP127" s="507"/>
      <c r="AQ127" s="507"/>
      <c r="AR127" s="507"/>
      <c r="AS127" s="507"/>
      <c r="AT127" s="507"/>
      <c r="AU127" s="507"/>
      <c r="AV127" s="142"/>
    </row>
    <row r="128" spans="1:48" hidden="1">
      <c r="A128" s="145"/>
      <c r="B128" s="153"/>
      <c r="C128" s="220"/>
      <c r="D128" s="147"/>
      <c r="E128" s="271"/>
      <c r="F128" s="502"/>
      <c r="G128" s="147"/>
      <c r="H128" s="146"/>
      <c r="I128" s="511"/>
      <c r="J128" s="504"/>
      <c r="K128" s="505"/>
      <c r="L128" s="509"/>
      <c r="M128" s="511"/>
      <c r="N128" s="147"/>
      <c r="O128" s="154"/>
      <c r="P128" s="503"/>
      <c r="Q128" s="504"/>
      <c r="R128" s="153"/>
      <c r="S128" s="147"/>
      <c r="T128" s="507"/>
      <c r="U128" s="599"/>
      <c r="V128" s="161" t="s">
        <v>958</v>
      </c>
      <c r="W128" s="636"/>
      <c r="X128" s="639" t="s">
        <v>978</v>
      </c>
      <c r="Y128" s="685">
        <v>110</v>
      </c>
      <c r="Z128" s="385"/>
      <c r="AA128" s="147"/>
      <c r="AB128" s="163"/>
      <c r="AC128" s="503"/>
      <c r="AD128" s="513"/>
      <c r="AE128" s="507"/>
      <c r="AF128" s="507"/>
      <c r="AG128" s="507"/>
      <c r="AH128" s="507"/>
      <c r="AI128" s="507"/>
      <c r="AJ128" s="507"/>
      <c r="AK128" s="721">
        <v>5000</v>
      </c>
      <c r="AL128" s="507"/>
      <c r="AM128" s="507"/>
      <c r="AN128" s="507"/>
      <c r="AO128" s="507"/>
      <c r="AP128" s="507"/>
      <c r="AQ128" s="507"/>
      <c r="AR128" s="507"/>
      <c r="AS128" s="507"/>
      <c r="AT128" s="507"/>
      <c r="AU128" s="507"/>
      <c r="AV128" s="505"/>
    </row>
    <row r="129" spans="1:48" hidden="1">
      <c r="A129" s="145"/>
      <c r="B129" s="153"/>
      <c r="C129" s="220"/>
      <c r="D129" s="147"/>
      <c r="E129" s="271"/>
      <c r="F129" s="226"/>
      <c r="G129" s="147"/>
      <c r="H129" s="146"/>
      <c r="I129" s="461"/>
      <c r="J129" s="151"/>
      <c r="K129" s="142"/>
      <c r="L129" s="281"/>
      <c r="M129" s="231"/>
      <c r="N129" s="147"/>
      <c r="O129" s="154"/>
      <c r="P129" s="152"/>
      <c r="Q129" s="151"/>
      <c r="R129" s="153"/>
      <c r="S129" s="147"/>
      <c r="T129" s="507"/>
      <c r="U129" s="599">
        <v>10</v>
      </c>
      <c r="V129" s="161" t="s">
        <v>959</v>
      </c>
      <c r="W129" s="636" t="s">
        <v>978</v>
      </c>
      <c r="X129" s="639">
        <v>400</v>
      </c>
      <c r="Y129" s="685" t="s">
        <v>978</v>
      </c>
      <c r="Z129" s="385">
        <f t="shared" si="3"/>
        <v>400</v>
      </c>
      <c r="AA129" s="147"/>
      <c r="AB129" s="163"/>
      <c r="AC129" s="152"/>
      <c r="AD129" s="144"/>
      <c r="AE129" s="143"/>
      <c r="AF129" s="507"/>
      <c r="AG129" s="507"/>
      <c r="AH129" s="507"/>
      <c r="AI129" s="507"/>
      <c r="AJ129" s="507"/>
      <c r="AK129" s="721">
        <v>500</v>
      </c>
      <c r="AL129" s="507"/>
      <c r="AM129" s="507"/>
      <c r="AN129" s="507"/>
      <c r="AO129" s="507"/>
      <c r="AP129" s="507"/>
      <c r="AQ129" s="507"/>
      <c r="AR129" s="507"/>
      <c r="AS129" s="507"/>
      <c r="AT129" s="507"/>
      <c r="AU129" s="507"/>
      <c r="AV129" s="142"/>
    </row>
    <row r="130" spans="1:48" hidden="1">
      <c r="A130" s="145"/>
      <c r="B130" s="153"/>
      <c r="C130" s="220"/>
      <c r="D130" s="147"/>
      <c r="E130" s="271"/>
      <c r="F130" s="226"/>
      <c r="G130" s="147"/>
      <c r="H130" s="146"/>
      <c r="I130" s="461"/>
      <c r="J130" s="151"/>
      <c r="K130" s="142"/>
      <c r="L130" s="281"/>
      <c r="M130" s="231"/>
      <c r="N130" s="147"/>
      <c r="O130" s="154"/>
      <c r="P130" s="152"/>
      <c r="Q130" s="151"/>
      <c r="R130" s="153"/>
      <c r="S130" s="147"/>
      <c r="T130" s="507"/>
      <c r="U130" s="599">
        <v>11</v>
      </c>
      <c r="V130" s="161" t="s">
        <v>960</v>
      </c>
      <c r="W130" s="636" t="s">
        <v>978</v>
      </c>
      <c r="X130" s="639">
        <v>500</v>
      </c>
      <c r="Y130" s="685" t="s">
        <v>978</v>
      </c>
      <c r="Z130" s="385">
        <f t="shared" si="3"/>
        <v>500</v>
      </c>
      <c r="AA130" s="147"/>
      <c r="AB130" s="163"/>
      <c r="AC130" s="152"/>
      <c r="AD130" s="144"/>
      <c r="AE130" s="143"/>
      <c r="AF130" s="507"/>
      <c r="AG130" s="507"/>
      <c r="AH130" s="507"/>
      <c r="AI130" s="507"/>
      <c r="AJ130" s="507"/>
      <c r="AK130" s="721">
        <v>2000</v>
      </c>
      <c r="AL130" s="507"/>
      <c r="AM130" s="507"/>
      <c r="AN130" s="507"/>
      <c r="AO130" s="507"/>
      <c r="AP130" s="507"/>
      <c r="AQ130" s="507"/>
      <c r="AR130" s="507"/>
      <c r="AS130" s="507"/>
      <c r="AT130" s="507"/>
      <c r="AU130" s="507"/>
      <c r="AV130" s="142"/>
    </row>
    <row r="131" spans="1:48" hidden="1">
      <c r="A131" s="145"/>
      <c r="B131" s="153"/>
      <c r="C131" s="220"/>
      <c r="D131" s="147"/>
      <c r="E131" s="271"/>
      <c r="F131" s="226"/>
      <c r="G131" s="147"/>
      <c r="H131" s="146"/>
      <c r="I131" s="461"/>
      <c r="J131" s="151"/>
      <c r="K131" s="142"/>
      <c r="L131" s="281"/>
      <c r="M131" s="231"/>
      <c r="N131" s="147"/>
      <c r="O131" s="154"/>
      <c r="P131" s="152"/>
      <c r="Q131" s="151"/>
      <c r="R131" s="153"/>
      <c r="S131" s="147"/>
      <c r="T131" s="507"/>
      <c r="U131" s="599">
        <v>12</v>
      </c>
      <c r="V131" s="161" t="s">
        <v>961</v>
      </c>
      <c r="W131" s="636" t="s">
        <v>978</v>
      </c>
      <c r="X131" s="639">
        <v>475</v>
      </c>
      <c r="Y131" s="685" t="s">
        <v>978</v>
      </c>
      <c r="Z131" s="385">
        <f t="shared" si="3"/>
        <v>475</v>
      </c>
      <c r="AA131" s="147"/>
      <c r="AB131" s="163"/>
      <c r="AC131" s="152"/>
      <c r="AD131" s="144"/>
      <c r="AE131" s="143"/>
      <c r="AF131" s="507"/>
      <c r="AG131" s="507"/>
      <c r="AH131" s="507"/>
      <c r="AI131" s="507"/>
      <c r="AJ131" s="507"/>
      <c r="AK131" s="721">
        <v>1250</v>
      </c>
      <c r="AL131" s="507"/>
      <c r="AM131" s="507"/>
      <c r="AN131" s="507"/>
      <c r="AO131" s="507"/>
      <c r="AP131" s="507"/>
      <c r="AQ131" s="507"/>
      <c r="AR131" s="507"/>
      <c r="AS131" s="507"/>
      <c r="AT131" s="507"/>
      <c r="AU131" s="507"/>
      <c r="AV131" s="142"/>
    </row>
    <row r="132" spans="1:48" hidden="1">
      <c r="A132" s="145"/>
      <c r="B132" s="153"/>
      <c r="C132" s="220"/>
      <c r="D132" s="147"/>
      <c r="E132" s="271"/>
      <c r="F132" s="226"/>
      <c r="G132" s="147"/>
      <c r="H132" s="146"/>
      <c r="I132" s="461"/>
      <c r="J132" s="151"/>
      <c r="K132" s="142"/>
      <c r="L132" s="281"/>
      <c r="M132" s="231"/>
      <c r="N132" s="147"/>
      <c r="O132" s="154"/>
      <c r="P132" s="152"/>
      <c r="Q132" s="151"/>
      <c r="R132" s="153"/>
      <c r="S132" s="147"/>
      <c r="T132" s="507"/>
      <c r="U132" s="599">
        <v>13</v>
      </c>
      <c r="V132" s="161" t="s">
        <v>962</v>
      </c>
      <c r="W132" s="636" t="s">
        <v>978</v>
      </c>
      <c r="X132" s="639">
        <v>126</v>
      </c>
      <c r="Y132" s="685" t="s">
        <v>978</v>
      </c>
      <c r="Z132" s="385">
        <f t="shared" si="3"/>
        <v>126</v>
      </c>
      <c r="AA132" s="147"/>
      <c r="AB132" s="163"/>
      <c r="AC132" s="152"/>
      <c r="AD132" s="144"/>
      <c r="AE132" s="143"/>
      <c r="AF132" s="507"/>
      <c r="AG132" s="507"/>
      <c r="AH132" s="507"/>
      <c r="AI132" s="507"/>
      <c r="AJ132" s="507"/>
      <c r="AK132" s="721">
        <v>2000</v>
      </c>
      <c r="AL132" s="507"/>
      <c r="AM132" s="507"/>
      <c r="AN132" s="507"/>
      <c r="AO132" s="507"/>
      <c r="AP132" s="507"/>
      <c r="AQ132" s="507"/>
      <c r="AR132" s="507"/>
      <c r="AS132" s="507"/>
      <c r="AT132" s="507"/>
      <c r="AU132" s="507"/>
      <c r="AV132" s="142"/>
    </row>
    <row r="133" spans="1:48" hidden="1">
      <c r="A133" s="145"/>
      <c r="B133" s="153"/>
      <c r="C133" s="220"/>
      <c r="D133" s="147"/>
      <c r="E133" s="271"/>
      <c r="F133" s="226"/>
      <c r="G133" s="147"/>
      <c r="H133" s="146"/>
      <c r="I133" s="461"/>
      <c r="J133" s="151"/>
      <c r="K133" s="142"/>
      <c r="L133" s="281"/>
      <c r="M133" s="231"/>
      <c r="N133" s="147"/>
      <c r="O133" s="154"/>
      <c r="P133" s="152"/>
      <c r="Q133" s="151"/>
      <c r="R133" s="153"/>
      <c r="S133" s="147"/>
      <c r="T133" s="507"/>
      <c r="U133" s="599">
        <v>14</v>
      </c>
      <c r="V133" s="161" t="s">
        <v>963</v>
      </c>
      <c r="W133" s="636" t="s">
        <v>978</v>
      </c>
      <c r="X133" s="639">
        <v>70</v>
      </c>
      <c r="Y133" s="685" t="s">
        <v>978</v>
      </c>
      <c r="Z133" s="385">
        <f t="shared" si="3"/>
        <v>70</v>
      </c>
      <c r="AA133" s="147"/>
      <c r="AB133" s="163"/>
      <c r="AC133" s="152"/>
      <c r="AD133" s="144"/>
      <c r="AE133" s="143"/>
      <c r="AF133" s="507"/>
      <c r="AG133" s="507"/>
      <c r="AH133" s="507"/>
      <c r="AI133" s="507"/>
      <c r="AJ133" s="507"/>
      <c r="AK133" s="721">
        <v>550</v>
      </c>
      <c r="AL133" s="507"/>
      <c r="AM133" s="507"/>
      <c r="AN133" s="507"/>
      <c r="AO133" s="507"/>
      <c r="AP133" s="507"/>
      <c r="AQ133" s="507"/>
      <c r="AR133" s="507"/>
      <c r="AS133" s="507"/>
      <c r="AT133" s="507"/>
      <c r="AU133" s="507"/>
      <c r="AV133" s="142"/>
    </row>
    <row r="134" spans="1:48" hidden="1">
      <c r="A134" s="145"/>
      <c r="B134" s="153"/>
      <c r="C134" s="220"/>
      <c r="D134" s="147"/>
      <c r="E134" s="271"/>
      <c r="F134" s="226"/>
      <c r="G134" s="147"/>
      <c r="H134" s="146"/>
      <c r="I134" s="461"/>
      <c r="J134" s="151"/>
      <c r="K134" s="142"/>
      <c r="L134" s="281"/>
      <c r="M134" s="231"/>
      <c r="N134" s="147"/>
      <c r="O134" s="154"/>
      <c r="P134" s="152"/>
      <c r="Q134" s="151"/>
      <c r="R134" s="153"/>
      <c r="S134" s="147"/>
      <c r="T134" s="507"/>
      <c r="U134" s="599">
        <v>15</v>
      </c>
      <c r="V134" s="161" t="s">
        <v>964</v>
      </c>
      <c r="W134" s="636" t="s">
        <v>978</v>
      </c>
      <c r="X134" s="639">
        <v>30</v>
      </c>
      <c r="Y134" s="685" t="s">
        <v>978</v>
      </c>
      <c r="Z134" s="385">
        <f t="shared" si="3"/>
        <v>30</v>
      </c>
      <c r="AA134" s="147"/>
      <c r="AB134" s="163"/>
      <c r="AC134" s="152"/>
      <c r="AD134" s="144"/>
      <c r="AE134" s="143"/>
      <c r="AF134" s="507"/>
      <c r="AG134" s="507"/>
      <c r="AH134" s="507"/>
      <c r="AI134" s="507"/>
      <c r="AJ134" s="507"/>
      <c r="AK134" s="721">
        <v>1540</v>
      </c>
      <c r="AL134" s="507"/>
      <c r="AM134" s="507"/>
      <c r="AN134" s="507"/>
      <c r="AO134" s="507"/>
      <c r="AP134" s="507"/>
      <c r="AQ134" s="507"/>
      <c r="AR134" s="507"/>
      <c r="AS134" s="507"/>
      <c r="AT134" s="507"/>
      <c r="AU134" s="507"/>
      <c r="AV134" s="142"/>
    </row>
    <row r="135" spans="1:48" hidden="1">
      <c r="A135" s="145"/>
      <c r="B135" s="153"/>
      <c r="C135" s="220"/>
      <c r="D135" s="147"/>
      <c r="E135" s="271"/>
      <c r="F135" s="226"/>
      <c r="G135" s="147"/>
      <c r="H135" s="146"/>
      <c r="I135" s="461"/>
      <c r="J135" s="151"/>
      <c r="K135" s="142"/>
      <c r="L135" s="281"/>
      <c r="M135" s="231"/>
      <c r="N135" s="147"/>
      <c r="O135" s="154"/>
      <c r="P135" s="152"/>
      <c r="Q135" s="151"/>
      <c r="R135" s="153"/>
      <c r="S135" s="147"/>
      <c r="T135" s="507"/>
      <c r="U135" s="599">
        <v>16</v>
      </c>
      <c r="V135" s="161" t="s">
        <v>965</v>
      </c>
      <c r="W135" s="636" t="s">
        <v>978</v>
      </c>
      <c r="X135" s="639">
        <v>25</v>
      </c>
      <c r="Y135" s="685" t="s">
        <v>978</v>
      </c>
      <c r="Z135" s="385">
        <f t="shared" si="3"/>
        <v>25</v>
      </c>
      <c r="AA135" s="147"/>
      <c r="AB135" s="163"/>
      <c r="AC135" s="152"/>
      <c r="AD135" s="144"/>
      <c r="AE135" s="143"/>
      <c r="AF135" s="507"/>
      <c r="AG135" s="507"/>
      <c r="AH135" s="507"/>
      <c r="AI135" s="507"/>
      <c r="AJ135" s="507"/>
      <c r="AK135" s="721">
        <v>4000</v>
      </c>
      <c r="AL135" s="507"/>
      <c r="AM135" s="507"/>
      <c r="AN135" s="507"/>
      <c r="AO135" s="507"/>
      <c r="AP135" s="507"/>
      <c r="AQ135" s="507"/>
      <c r="AR135" s="507"/>
      <c r="AS135" s="507"/>
      <c r="AT135" s="507"/>
      <c r="AU135" s="507"/>
      <c r="AV135" s="142"/>
    </row>
    <row r="136" spans="1:48" ht="27.6" hidden="1">
      <c r="A136" s="145"/>
      <c r="B136" s="153"/>
      <c r="C136" s="220"/>
      <c r="D136" s="147"/>
      <c r="E136" s="271"/>
      <c r="F136" s="226"/>
      <c r="G136" s="147"/>
      <c r="H136" s="146"/>
      <c r="I136" s="461"/>
      <c r="J136" s="151"/>
      <c r="K136" s="142"/>
      <c r="L136" s="281"/>
      <c r="M136" s="231"/>
      <c r="N136" s="147"/>
      <c r="O136" s="154"/>
      <c r="P136" s="152"/>
      <c r="Q136" s="151"/>
      <c r="R136" s="153"/>
      <c r="S136" s="147"/>
      <c r="T136" s="507"/>
      <c r="U136" s="599">
        <v>17</v>
      </c>
      <c r="V136" s="574" t="s">
        <v>966</v>
      </c>
      <c r="W136" s="636">
        <v>15</v>
      </c>
      <c r="X136" s="639" t="s">
        <v>978</v>
      </c>
      <c r="Y136" s="685" t="s">
        <v>978</v>
      </c>
      <c r="Z136" s="385">
        <f t="shared" si="3"/>
        <v>15</v>
      </c>
      <c r="AA136" s="147"/>
      <c r="AB136" s="163"/>
      <c r="AC136" s="152"/>
      <c r="AD136" s="144"/>
      <c r="AE136" s="143"/>
      <c r="AF136" s="507"/>
      <c r="AG136" s="507"/>
      <c r="AH136" s="507"/>
      <c r="AI136" s="507"/>
      <c r="AJ136" s="507"/>
      <c r="AK136" s="721">
        <v>1500</v>
      </c>
      <c r="AL136" s="507"/>
      <c r="AM136" s="507"/>
      <c r="AN136" s="507"/>
      <c r="AO136" s="507"/>
      <c r="AP136" s="507"/>
      <c r="AQ136" s="507"/>
      <c r="AR136" s="507"/>
      <c r="AS136" s="507"/>
      <c r="AT136" s="507"/>
      <c r="AU136" s="507"/>
      <c r="AV136" s="142"/>
    </row>
    <row r="137" spans="1:48" hidden="1">
      <c r="A137" s="145"/>
      <c r="B137" s="153"/>
      <c r="C137" s="220"/>
      <c r="D137" s="147"/>
      <c r="E137" s="271"/>
      <c r="F137" s="226"/>
      <c r="G137" s="147"/>
      <c r="H137" s="146"/>
      <c r="I137" s="461"/>
      <c r="J137" s="151"/>
      <c r="K137" s="142"/>
      <c r="L137" s="281"/>
      <c r="M137" s="231"/>
      <c r="N137" s="147"/>
      <c r="O137" s="154"/>
      <c r="P137" s="152"/>
      <c r="Q137" s="151"/>
      <c r="R137" s="153"/>
      <c r="S137" s="147"/>
      <c r="T137" s="507"/>
      <c r="U137" s="599">
        <v>18</v>
      </c>
      <c r="V137" s="161" t="s">
        <v>967</v>
      </c>
      <c r="W137" s="636">
        <v>5</v>
      </c>
      <c r="X137" s="639" t="s">
        <v>978</v>
      </c>
      <c r="Y137" s="685"/>
      <c r="Z137" s="385">
        <f t="shared" si="3"/>
        <v>5</v>
      </c>
      <c r="AA137" s="147"/>
      <c r="AB137" s="163"/>
      <c r="AC137" s="152"/>
      <c r="AD137" s="144"/>
      <c r="AE137" s="143"/>
      <c r="AF137" s="507"/>
      <c r="AG137" s="507"/>
      <c r="AH137" s="507"/>
      <c r="AI137" s="507"/>
      <c r="AJ137" s="507"/>
      <c r="AK137" s="721">
        <v>20100</v>
      </c>
      <c r="AL137" s="507"/>
      <c r="AM137" s="507"/>
      <c r="AN137" s="507"/>
      <c r="AO137" s="507"/>
      <c r="AP137" s="507"/>
      <c r="AQ137" s="507"/>
      <c r="AR137" s="507"/>
      <c r="AS137" s="507"/>
      <c r="AT137" s="507"/>
      <c r="AU137" s="507"/>
      <c r="AV137" s="142"/>
    </row>
    <row r="138" spans="1:48" hidden="1">
      <c r="A138" s="145"/>
      <c r="B138" s="153"/>
      <c r="C138" s="220"/>
      <c r="D138" s="147"/>
      <c r="E138" s="271"/>
      <c r="F138" s="502"/>
      <c r="G138" s="147"/>
      <c r="H138" s="146"/>
      <c r="I138" s="511"/>
      <c r="J138" s="504"/>
      <c r="K138" s="505"/>
      <c r="L138" s="509"/>
      <c r="M138" s="511"/>
      <c r="N138" s="147"/>
      <c r="O138" s="154"/>
      <c r="P138" s="503"/>
      <c r="Q138" s="504"/>
      <c r="R138" s="153"/>
      <c r="S138" s="147"/>
      <c r="T138" s="507"/>
      <c r="U138" s="599"/>
      <c r="V138" s="161" t="s">
        <v>967</v>
      </c>
      <c r="W138" s="636"/>
      <c r="X138" s="639" t="s">
        <v>978</v>
      </c>
      <c r="Y138" s="685">
        <v>30</v>
      </c>
      <c r="Z138" s="385"/>
      <c r="AA138" s="147"/>
      <c r="AB138" s="163"/>
      <c r="AC138" s="503"/>
      <c r="AD138" s="513"/>
      <c r="AE138" s="507"/>
      <c r="AF138" s="507"/>
      <c r="AG138" s="507"/>
      <c r="AH138" s="507"/>
      <c r="AI138" s="507"/>
      <c r="AJ138" s="507"/>
      <c r="AK138" s="721">
        <v>6600</v>
      </c>
      <c r="AL138" s="507"/>
      <c r="AM138" s="507"/>
      <c r="AN138" s="507"/>
      <c r="AO138" s="507"/>
      <c r="AP138" s="507"/>
      <c r="AQ138" s="507"/>
      <c r="AR138" s="507"/>
      <c r="AS138" s="507"/>
      <c r="AT138" s="507"/>
      <c r="AU138" s="507"/>
      <c r="AV138" s="505"/>
    </row>
    <row r="139" spans="1:48" hidden="1">
      <c r="A139" s="145"/>
      <c r="B139" s="153"/>
      <c r="C139" s="220"/>
      <c r="D139" s="147"/>
      <c r="E139" s="271"/>
      <c r="F139" s="226"/>
      <c r="G139" s="147"/>
      <c r="H139" s="146"/>
      <c r="I139" s="461"/>
      <c r="J139" s="151"/>
      <c r="K139" s="142"/>
      <c r="L139" s="281"/>
      <c r="M139" s="231"/>
      <c r="N139" s="147"/>
      <c r="O139" s="154"/>
      <c r="P139" s="152"/>
      <c r="Q139" s="151"/>
      <c r="R139" s="153"/>
      <c r="S139" s="147"/>
      <c r="T139" s="507"/>
      <c r="U139" s="599">
        <v>19</v>
      </c>
      <c r="V139" s="161" t="s">
        <v>947</v>
      </c>
      <c r="W139" s="636">
        <v>35</v>
      </c>
      <c r="X139" s="639" t="s">
        <v>978</v>
      </c>
      <c r="Y139" s="685" t="s">
        <v>978</v>
      </c>
      <c r="Z139" s="385">
        <f t="shared" si="3"/>
        <v>35</v>
      </c>
      <c r="AA139" s="147"/>
      <c r="AB139" s="163"/>
      <c r="AC139" s="152"/>
      <c r="AD139" s="144"/>
      <c r="AE139" s="143"/>
      <c r="AF139" s="507"/>
      <c r="AG139" s="507"/>
      <c r="AH139" s="507"/>
      <c r="AI139" s="507"/>
      <c r="AJ139" s="507"/>
      <c r="AK139" s="721">
        <v>3000</v>
      </c>
      <c r="AL139" s="507"/>
      <c r="AM139" s="507"/>
      <c r="AN139" s="507"/>
      <c r="AO139" s="507"/>
      <c r="AP139" s="507"/>
      <c r="AQ139" s="507"/>
      <c r="AR139" s="507"/>
      <c r="AS139" s="507"/>
      <c r="AT139" s="507"/>
      <c r="AU139" s="507"/>
      <c r="AV139" s="142"/>
    </row>
    <row r="140" spans="1:48" hidden="1">
      <c r="A140" s="145"/>
      <c r="B140" s="153"/>
      <c r="C140" s="220"/>
      <c r="D140" s="147"/>
      <c r="E140" s="271"/>
      <c r="F140" s="226"/>
      <c r="G140" s="147"/>
      <c r="H140" s="146"/>
      <c r="I140" s="461"/>
      <c r="J140" s="151"/>
      <c r="K140" s="142"/>
      <c r="L140" s="281"/>
      <c r="M140" s="231"/>
      <c r="N140" s="147"/>
      <c r="O140" s="154"/>
      <c r="P140" s="152"/>
      <c r="Q140" s="151"/>
      <c r="R140" s="153"/>
      <c r="S140" s="147"/>
      <c r="T140" s="507"/>
      <c r="U140" s="599">
        <v>20</v>
      </c>
      <c r="V140" s="161" t="s">
        <v>968</v>
      </c>
      <c r="W140" s="636" t="s">
        <v>978</v>
      </c>
      <c r="X140" s="639">
        <v>10</v>
      </c>
      <c r="Y140" s="685" t="s">
        <v>978</v>
      </c>
      <c r="Z140" s="385">
        <f t="shared" si="3"/>
        <v>10</v>
      </c>
      <c r="AA140" s="147"/>
      <c r="AB140" s="163"/>
      <c r="AC140" s="152"/>
      <c r="AD140" s="144"/>
      <c r="AE140" s="143"/>
      <c r="AF140" s="507"/>
      <c r="AG140" s="507"/>
      <c r="AH140" s="507"/>
      <c r="AI140" s="507"/>
      <c r="AJ140" s="507"/>
      <c r="AK140" s="721">
        <v>6650</v>
      </c>
      <c r="AL140" s="507"/>
      <c r="AM140" s="507"/>
      <c r="AN140" s="507"/>
      <c r="AO140" s="507"/>
      <c r="AP140" s="507"/>
      <c r="AQ140" s="507"/>
      <c r="AR140" s="507"/>
      <c r="AS140" s="507"/>
      <c r="AT140" s="507"/>
      <c r="AU140" s="507"/>
      <c r="AV140" s="142"/>
    </row>
    <row r="141" spans="1:48" hidden="1">
      <c r="A141" s="145"/>
      <c r="B141" s="153"/>
      <c r="C141" s="220"/>
      <c r="D141" s="147"/>
      <c r="E141" s="271"/>
      <c r="F141" s="226"/>
      <c r="G141" s="147"/>
      <c r="H141" s="146"/>
      <c r="I141" s="461"/>
      <c r="J141" s="151"/>
      <c r="K141" s="142"/>
      <c r="L141" s="281"/>
      <c r="M141" s="231"/>
      <c r="N141" s="147"/>
      <c r="O141" s="154"/>
      <c r="P141" s="152"/>
      <c r="Q141" s="151"/>
      <c r="R141" s="153"/>
      <c r="S141" s="147"/>
      <c r="T141" s="507"/>
      <c r="U141" s="599">
        <v>21</v>
      </c>
      <c r="V141" s="161" t="s">
        <v>969</v>
      </c>
      <c r="W141" s="636" t="s">
        <v>978</v>
      </c>
      <c r="X141" s="639">
        <v>20</v>
      </c>
      <c r="Y141" s="685" t="s">
        <v>978</v>
      </c>
      <c r="Z141" s="385">
        <f t="shared" si="3"/>
        <v>20</v>
      </c>
      <c r="AA141" s="147"/>
      <c r="AB141" s="163"/>
      <c r="AC141" s="152"/>
      <c r="AD141" s="144"/>
      <c r="AE141" s="143"/>
      <c r="AF141" s="507"/>
      <c r="AG141" s="507"/>
      <c r="AH141" s="507"/>
      <c r="AI141" s="507"/>
      <c r="AJ141" s="507"/>
      <c r="AK141" s="721">
        <v>330</v>
      </c>
      <c r="AL141" s="507"/>
      <c r="AM141" s="507"/>
      <c r="AN141" s="507"/>
      <c r="AO141" s="507"/>
      <c r="AP141" s="507"/>
      <c r="AQ141" s="507"/>
      <c r="AR141" s="507"/>
      <c r="AS141" s="507"/>
      <c r="AT141" s="507"/>
      <c r="AU141" s="507"/>
      <c r="AV141" s="142"/>
    </row>
    <row r="142" spans="1:48" hidden="1">
      <c r="A142" s="145"/>
      <c r="B142" s="153"/>
      <c r="C142" s="220"/>
      <c r="D142" s="147"/>
      <c r="E142" s="271"/>
      <c r="F142" s="226"/>
      <c r="G142" s="147"/>
      <c r="H142" s="146"/>
      <c r="I142" s="461"/>
      <c r="J142" s="151"/>
      <c r="K142" s="142"/>
      <c r="L142" s="281"/>
      <c r="M142" s="231"/>
      <c r="N142" s="147"/>
      <c r="O142" s="154"/>
      <c r="P142" s="152"/>
      <c r="Q142" s="151"/>
      <c r="R142" s="153"/>
      <c r="S142" s="147"/>
      <c r="T142" s="507"/>
      <c r="U142" s="599">
        <v>22</v>
      </c>
      <c r="V142" s="161" t="s">
        <v>970</v>
      </c>
      <c r="W142" s="636" t="s">
        <v>978</v>
      </c>
      <c r="X142" s="639">
        <v>20</v>
      </c>
      <c r="Y142" s="685" t="s">
        <v>978</v>
      </c>
      <c r="Z142" s="385">
        <f t="shared" si="3"/>
        <v>20</v>
      </c>
      <c r="AA142" s="147"/>
      <c r="AB142" s="163"/>
      <c r="AC142" s="152"/>
      <c r="AD142" s="144"/>
      <c r="AE142" s="143"/>
      <c r="AF142" s="507"/>
      <c r="AG142" s="507"/>
      <c r="AH142" s="507"/>
      <c r="AI142" s="507"/>
      <c r="AJ142" s="507"/>
      <c r="AK142" s="721">
        <v>2000</v>
      </c>
      <c r="AL142" s="507"/>
      <c r="AM142" s="507"/>
      <c r="AN142" s="507"/>
      <c r="AO142" s="507"/>
      <c r="AP142" s="507"/>
      <c r="AQ142" s="507"/>
      <c r="AR142" s="507"/>
      <c r="AS142" s="507"/>
      <c r="AT142" s="507"/>
      <c r="AU142" s="507"/>
      <c r="AV142" s="142"/>
    </row>
    <row r="143" spans="1:48" hidden="1">
      <c r="A143" s="145"/>
      <c r="B143" s="153"/>
      <c r="C143" s="220"/>
      <c r="D143" s="147"/>
      <c r="E143" s="271"/>
      <c r="F143" s="226"/>
      <c r="G143" s="147"/>
      <c r="H143" s="146"/>
      <c r="I143" s="461"/>
      <c r="J143" s="151"/>
      <c r="K143" s="142"/>
      <c r="L143" s="281"/>
      <c r="M143" s="231"/>
      <c r="N143" s="147"/>
      <c r="O143" s="154"/>
      <c r="P143" s="152"/>
      <c r="Q143" s="151"/>
      <c r="R143" s="153"/>
      <c r="S143" s="147"/>
      <c r="T143" s="507"/>
      <c r="U143" s="599">
        <v>23</v>
      </c>
      <c r="V143" s="161" t="s">
        <v>971</v>
      </c>
      <c r="W143" s="636" t="s">
        <v>978</v>
      </c>
      <c r="X143" s="639" t="s">
        <v>978</v>
      </c>
      <c r="Y143" s="685">
        <v>5</v>
      </c>
      <c r="Z143" s="385">
        <f t="shared" si="3"/>
        <v>5</v>
      </c>
      <c r="AA143" s="147"/>
      <c r="AB143" s="163"/>
      <c r="AC143" s="152"/>
      <c r="AD143" s="144"/>
      <c r="AE143" s="143"/>
      <c r="AF143" s="507"/>
      <c r="AG143" s="507"/>
      <c r="AH143" s="507"/>
      <c r="AI143" s="507"/>
      <c r="AJ143" s="507"/>
      <c r="AK143" s="721">
        <v>49500</v>
      </c>
      <c r="AL143" s="507"/>
      <c r="AM143" s="507"/>
      <c r="AN143" s="507"/>
      <c r="AO143" s="507"/>
      <c r="AP143" s="507"/>
      <c r="AQ143" s="507"/>
      <c r="AR143" s="507"/>
      <c r="AS143" s="507"/>
      <c r="AT143" s="507"/>
      <c r="AU143" s="507"/>
      <c r="AV143" s="142"/>
    </row>
    <row r="144" spans="1:48" hidden="1">
      <c r="A144" s="145"/>
      <c r="B144" s="153"/>
      <c r="C144" s="220"/>
      <c r="D144" s="147"/>
      <c r="E144" s="271"/>
      <c r="F144" s="226"/>
      <c r="G144" s="147"/>
      <c r="H144" s="146"/>
      <c r="I144" s="461"/>
      <c r="J144" s="151"/>
      <c r="K144" s="142"/>
      <c r="L144" s="281"/>
      <c r="M144" s="231"/>
      <c r="N144" s="147"/>
      <c r="O144" s="154"/>
      <c r="P144" s="152"/>
      <c r="Q144" s="151"/>
      <c r="R144" s="153"/>
      <c r="S144" s="147"/>
      <c r="T144" s="507"/>
      <c r="U144" s="599">
        <v>24</v>
      </c>
      <c r="V144" s="161" t="s">
        <v>972</v>
      </c>
      <c r="W144" s="636" t="s">
        <v>978</v>
      </c>
      <c r="X144" s="639">
        <v>5</v>
      </c>
      <c r="Y144" s="685" t="s">
        <v>978</v>
      </c>
      <c r="Z144" s="385">
        <f t="shared" si="3"/>
        <v>5</v>
      </c>
      <c r="AA144" s="147"/>
      <c r="AB144" s="163"/>
      <c r="AC144" s="152"/>
      <c r="AD144" s="144"/>
      <c r="AE144" s="143"/>
      <c r="AF144" s="507"/>
      <c r="AG144" s="507"/>
      <c r="AH144" s="507"/>
      <c r="AI144" s="507"/>
      <c r="AJ144" s="507"/>
      <c r="AK144" s="721">
        <v>150</v>
      </c>
      <c r="AL144" s="507"/>
      <c r="AM144" s="507"/>
      <c r="AN144" s="507"/>
      <c r="AO144" s="507"/>
      <c r="AP144" s="507"/>
      <c r="AQ144" s="507"/>
      <c r="AR144" s="507"/>
      <c r="AS144" s="507"/>
      <c r="AT144" s="507"/>
      <c r="AU144" s="507"/>
      <c r="AV144" s="142"/>
    </row>
    <row r="145" spans="1:48" hidden="1">
      <c r="A145" s="145"/>
      <c r="B145" s="153"/>
      <c r="C145" s="220"/>
      <c r="D145" s="147"/>
      <c r="E145" s="271"/>
      <c r="F145" s="226"/>
      <c r="G145" s="147"/>
      <c r="H145" s="146"/>
      <c r="I145" s="461"/>
      <c r="J145" s="151"/>
      <c r="K145" s="142"/>
      <c r="L145" s="281"/>
      <c r="M145" s="231"/>
      <c r="N145" s="147"/>
      <c r="O145" s="154"/>
      <c r="P145" s="152"/>
      <c r="Q145" s="151"/>
      <c r="R145" s="153"/>
      <c r="S145" s="147"/>
      <c r="T145" s="507"/>
      <c r="U145" s="599">
        <v>25</v>
      </c>
      <c r="V145" s="161" t="s">
        <v>973</v>
      </c>
      <c r="W145" s="636">
        <v>15</v>
      </c>
      <c r="X145" s="639" t="s">
        <v>978</v>
      </c>
      <c r="Y145" s="685" t="s">
        <v>978</v>
      </c>
      <c r="Z145" s="385">
        <f t="shared" si="3"/>
        <v>15</v>
      </c>
      <c r="AA145" s="147"/>
      <c r="AB145" s="163"/>
      <c r="AC145" s="152"/>
      <c r="AD145" s="144"/>
      <c r="AE145" s="143"/>
      <c r="AF145" s="507"/>
      <c r="AG145" s="507"/>
      <c r="AH145" s="507"/>
      <c r="AI145" s="507"/>
      <c r="AJ145" s="507"/>
      <c r="AK145" s="721">
        <v>20000</v>
      </c>
      <c r="AL145" s="507"/>
      <c r="AM145" s="507"/>
      <c r="AN145" s="507"/>
      <c r="AO145" s="507"/>
      <c r="AP145" s="507"/>
      <c r="AQ145" s="507"/>
      <c r="AR145" s="507"/>
      <c r="AS145" s="507"/>
      <c r="AT145" s="507"/>
      <c r="AU145" s="507"/>
      <c r="AV145" s="142"/>
    </row>
    <row r="146" spans="1:48" hidden="1">
      <c r="A146" s="145"/>
      <c r="B146" s="153"/>
      <c r="C146" s="220"/>
      <c r="D146" s="147"/>
      <c r="E146" s="271"/>
      <c r="F146" s="226"/>
      <c r="G146" s="147"/>
      <c r="H146" s="146"/>
      <c r="I146" s="461"/>
      <c r="J146" s="151"/>
      <c r="K146" s="142"/>
      <c r="L146" s="281"/>
      <c r="M146" s="231"/>
      <c r="N146" s="147"/>
      <c r="O146" s="154"/>
      <c r="P146" s="152"/>
      <c r="Q146" s="151"/>
      <c r="R146" s="153"/>
      <c r="S146" s="147"/>
      <c r="T146" s="507"/>
      <c r="U146" s="599">
        <v>26</v>
      </c>
      <c r="V146" s="161" t="s">
        <v>974</v>
      </c>
      <c r="W146" s="636">
        <v>12</v>
      </c>
      <c r="X146" s="639" t="s">
        <v>978</v>
      </c>
      <c r="Y146" s="685" t="s">
        <v>978</v>
      </c>
      <c r="Z146" s="385">
        <f t="shared" si="3"/>
        <v>12</v>
      </c>
      <c r="AA146" s="147"/>
      <c r="AB146" s="163"/>
      <c r="AC146" s="152"/>
      <c r="AD146" s="144"/>
      <c r="AE146" s="143"/>
      <c r="AF146" s="507"/>
      <c r="AG146" s="507"/>
      <c r="AH146" s="507"/>
      <c r="AI146" s="507"/>
      <c r="AJ146" s="507"/>
      <c r="AK146" s="721">
        <v>10000</v>
      </c>
      <c r="AL146" s="507"/>
      <c r="AM146" s="507"/>
      <c r="AN146" s="507"/>
      <c r="AO146" s="507"/>
      <c r="AP146" s="507"/>
      <c r="AQ146" s="507"/>
      <c r="AR146" s="507"/>
      <c r="AS146" s="507"/>
      <c r="AT146" s="507"/>
      <c r="AU146" s="507"/>
      <c r="AV146" s="142"/>
    </row>
    <row r="147" spans="1:48" hidden="1">
      <c r="A147" s="145"/>
      <c r="B147" s="153"/>
      <c r="C147" s="220"/>
      <c r="D147" s="147"/>
      <c r="E147" s="271"/>
      <c r="F147" s="226"/>
      <c r="G147" s="147"/>
      <c r="H147" s="146"/>
      <c r="I147" s="461"/>
      <c r="J147" s="151"/>
      <c r="K147" s="142"/>
      <c r="L147" s="281"/>
      <c r="M147" s="231"/>
      <c r="N147" s="147"/>
      <c r="O147" s="154"/>
      <c r="P147" s="152"/>
      <c r="Q147" s="151"/>
      <c r="R147" s="153"/>
      <c r="S147" s="147"/>
      <c r="T147" s="507"/>
      <c r="U147" s="599">
        <v>27</v>
      </c>
      <c r="V147" s="161" t="s">
        <v>975</v>
      </c>
      <c r="W147" s="636" t="s">
        <v>978</v>
      </c>
      <c r="X147" s="639" t="s">
        <v>978</v>
      </c>
      <c r="Y147" s="685">
        <v>70</v>
      </c>
      <c r="Z147" s="385">
        <f t="shared" si="3"/>
        <v>70</v>
      </c>
      <c r="AA147" s="147"/>
      <c r="AB147" s="163"/>
      <c r="AC147" s="152"/>
      <c r="AD147" s="144"/>
      <c r="AE147" s="143"/>
      <c r="AF147" s="507"/>
      <c r="AG147" s="507"/>
      <c r="AH147" s="507"/>
      <c r="AI147" s="507"/>
      <c r="AJ147" s="507"/>
      <c r="AK147" s="721">
        <v>2435</v>
      </c>
      <c r="AL147" s="507"/>
      <c r="AM147" s="507"/>
      <c r="AN147" s="507"/>
      <c r="AO147" s="507"/>
      <c r="AP147" s="507"/>
      <c r="AQ147" s="507"/>
      <c r="AR147" s="507"/>
      <c r="AS147" s="507"/>
      <c r="AT147" s="507"/>
      <c r="AU147" s="507"/>
      <c r="AV147" s="142"/>
    </row>
    <row r="148" spans="1:48" hidden="1">
      <c r="A148" s="145"/>
      <c r="B148" s="153"/>
      <c r="C148" s="220"/>
      <c r="D148" s="147"/>
      <c r="E148" s="271"/>
      <c r="F148" s="226"/>
      <c r="G148" s="147"/>
      <c r="H148" s="146"/>
      <c r="I148" s="461"/>
      <c r="J148" s="151"/>
      <c r="K148" s="142"/>
      <c r="L148" s="281"/>
      <c r="M148" s="231"/>
      <c r="N148" s="147"/>
      <c r="O148" s="154"/>
      <c r="P148" s="152"/>
      <c r="Q148" s="151"/>
      <c r="R148" s="153"/>
      <c r="S148" s="147"/>
      <c r="T148" s="507"/>
      <c r="U148" s="599">
        <v>28</v>
      </c>
      <c r="V148" s="161" t="s">
        <v>976</v>
      </c>
      <c r="W148" s="636" t="s">
        <v>978</v>
      </c>
      <c r="X148" s="639">
        <v>5</v>
      </c>
      <c r="Y148" s="685" t="s">
        <v>978</v>
      </c>
      <c r="Z148" s="385">
        <f t="shared" si="3"/>
        <v>5</v>
      </c>
      <c r="AA148" s="147"/>
      <c r="AB148" s="163"/>
      <c r="AC148" s="152"/>
      <c r="AD148" s="144"/>
      <c r="AE148" s="143"/>
      <c r="AF148" s="507"/>
      <c r="AG148" s="507"/>
      <c r="AH148" s="507"/>
      <c r="AI148" s="507"/>
      <c r="AJ148" s="507"/>
      <c r="AK148" s="721">
        <v>2300</v>
      </c>
      <c r="AL148" s="507"/>
      <c r="AM148" s="507"/>
      <c r="AN148" s="507"/>
      <c r="AO148" s="507"/>
      <c r="AP148" s="507"/>
      <c r="AQ148" s="507"/>
      <c r="AR148" s="507"/>
      <c r="AS148" s="507"/>
      <c r="AT148" s="507"/>
      <c r="AU148" s="507"/>
      <c r="AV148" s="142"/>
    </row>
    <row r="149" spans="1:48" hidden="1">
      <c r="A149" s="145"/>
      <c r="B149" s="153"/>
      <c r="C149" s="220"/>
      <c r="D149" s="147"/>
      <c r="E149" s="271"/>
      <c r="F149" s="226"/>
      <c r="G149" s="147"/>
      <c r="H149" s="146"/>
      <c r="I149" s="461"/>
      <c r="J149" s="151"/>
      <c r="K149" s="142"/>
      <c r="L149" s="281"/>
      <c r="M149" s="231"/>
      <c r="N149" s="147"/>
      <c r="O149" s="154"/>
      <c r="P149" s="152"/>
      <c r="Q149" s="151"/>
      <c r="R149" s="153"/>
      <c r="S149" s="147"/>
      <c r="T149" s="507"/>
      <c r="U149" s="599">
        <v>29</v>
      </c>
      <c r="V149" s="161" t="s">
        <v>977</v>
      </c>
      <c r="W149" s="636" t="s">
        <v>978</v>
      </c>
      <c r="X149" s="639">
        <v>70</v>
      </c>
      <c r="Y149" s="685" t="s">
        <v>978</v>
      </c>
      <c r="Z149" s="385">
        <f t="shared" si="3"/>
        <v>70</v>
      </c>
      <c r="AA149" s="147"/>
      <c r="AB149" s="163"/>
      <c r="AC149" s="152"/>
      <c r="AD149" s="144"/>
      <c r="AE149" s="143"/>
      <c r="AF149" s="507"/>
      <c r="AG149" s="507"/>
      <c r="AH149" s="507"/>
      <c r="AI149" s="507"/>
      <c r="AJ149" s="507"/>
      <c r="AK149" s="721">
        <v>3250</v>
      </c>
      <c r="AL149" s="507"/>
      <c r="AM149" s="507"/>
      <c r="AN149" s="507"/>
      <c r="AO149" s="507"/>
      <c r="AP149" s="507"/>
      <c r="AQ149" s="507"/>
      <c r="AR149" s="507"/>
      <c r="AS149" s="507"/>
      <c r="AT149" s="507"/>
      <c r="AU149" s="507"/>
      <c r="AV149" s="142"/>
    </row>
    <row r="150" spans="1:48" hidden="1">
      <c r="A150" s="145"/>
      <c r="B150" s="153"/>
      <c r="C150" s="220"/>
      <c r="D150" s="147"/>
      <c r="E150" s="271"/>
      <c r="F150" s="226"/>
      <c r="G150" s="147"/>
      <c r="H150" s="146"/>
      <c r="I150" s="461"/>
      <c r="J150" s="151"/>
      <c r="K150" s="142"/>
      <c r="L150" s="281"/>
      <c r="M150" s="231"/>
      <c r="N150" s="147"/>
      <c r="O150" s="154"/>
      <c r="P150" s="152"/>
      <c r="Q150" s="151"/>
      <c r="R150" s="153"/>
      <c r="S150" s="147"/>
      <c r="T150" s="507"/>
      <c r="U150" s="599">
        <v>30</v>
      </c>
      <c r="V150" s="161" t="s">
        <v>979</v>
      </c>
      <c r="W150" s="636" t="s">
        <v>950</v>
      </c>
      <c r="X150" s="639">
        <v>5</v>
      </c>
      <c r="Y150" s="685" t="s">
        <v>950</v>
      </c>
      <c r="Z150" s="385">
        <f t="shared" si="3"/>
        <v>5</v>
      </c>
      <c r="AA150" s="147"/>
      <c r="AB150" s="163"/>
      <c r="AC150" s="152"/>
      <c r="AD150" s="144"/>
      <c r="AE150" s="143"/>
      <c r="AF150" s="507"/>
      <c r="AG150" s="507"/>
      <c r="AH150" s="507"/>
      <c r="AI150" s="507"/>
      <c r="AJ150" s="507"/>
      <c r="AK150" s="721">
        <v>35000</v>
      </c>
      <c r="AL150" s="507"/>
      <c r="AM150" s="507"/>
      <c r="AN150" s="507"/>
      <c r="AO150" s="507"/>
      <c r="AP150" s="507"/>
      <c r="AQ150" s="507"/>
      <c r="AR150" s="507"/>
      <c r="AS150" s="507"/>
      <c r="AT150" s="507"/>
      <c r="AU150" s="507"/>
      <c r="AV150" s="142"/>
    </row>
    <row r="151" spans="1:48" hidden="1">
      <c r="A151" s="145"/>
      <c r="B151" s="153"/>
      <c r="C151" s="220"/>
      <c r="D151" s="147"/>
      <c r="E151" s="271"/>
      <c r="F151" s="226"/>
      <c r="G151" s="147"/>
      <c r="H151" s="146"/>
      <c r="I151" s="461"/>
      <c r="J151" s="151"/>
      <c r="K151" s="142"/>
      <c r="L151" s="281"/>
      <c r="M151" s="231"/>
      <c r="N151" s="147"/>
      <c r="O151" s="154"/>
      <c r="P151" s="152"/>
      <c r="Q151" s="151"/>
      <c r="R151" s="153"/>
      <c r="S151" s="147"/>
      <c r="T151" s="507"/>
      <c r="U151" s="599">
        <v>31</v>
      </c>
      <c r="V151" s="161" t="s">
        <v>980</v>
      </c>
      <c r="W151" s="636" t="s">
        <v>950</v>
      </c>
      <c r="X151" s="639" t="s">
        <v>950</v>
      </c>
      <c r="Y151" s="685">
        <v>80</v>
      </c>
      <c r="Z151" s="385">
        <f t="shared" si="3"/>
        <v>80</v>
      </c>
      <c r="AA151" s="147"/>
      <c r="AB151" s="163"/>
      <c r="AC151" s="152"/>
      <c r="AD151" s="144"/>
      <c r="AE151" s="143"/>
      <c r="AF151" s="507"/>
      <c r="AG151" s="507"/>
      <c r="AH151" s="507"/>
      <c r="AI151" s="507"/>
      <c r="AJ151" s="507"/>
      <c r="AK151" s="721">
        <v>400</v>
      </c>
      <c r="AL151" s="507"/>
      <c r="AM151" s="507"/>
      <c r="AN151" s="507"/>
      <c r="AO151" s="507"/>
      <c r="AP151" s="507"/>
      <c r="AQ151" s="507"/>
      <c r="AR151" s="507"/>
      <c r="AS151" s="507"/>
      <c r="AT151" s="507"/>
      <c r="AU151" s="507"/>
      <c r="AV151" s="142"/>
    </row>
    <row r="152" spans="1:48" hidden="1">
      <c r="A152" s="145"/>
      <c r="B152" s="153"/>
      <c r="C152" s="220"/>
      <c r="D152" s="147"/>
      <c r="E152" s="271"/>
      <c r="F152" s="226"/>
      <c r="G152" s="147"/>
      <c r="H152" s="146"/>
      <c r="I152" s="461"/>
      <c r="J152" s="151"/>
      <c r="K152" s="142"/>
      <c r="L152" s="281"/>
      <c r="M152" s="231"/>
      <c r="N152" s="147"/>
      <c r="O152" s="154"/>
      <c r="P152" s="152"/>
      <c r="Q152" s="151"/>
      <c r="R152" s="153"/>
      <c r="S152" s="147"/>
      <c r="T152" s="507"/>
      <c r="U152" s="599">
        <v>32</v>
      </c>
      <c r="V152" s="161" t="s">
        <v>981</v>
      </c>
      <c r="W152" s="636" t="s">
        <v>950</v>
      </c>
      <c r="X152" s="639">
        <v>5</v>
      </c>
      <c r="Y152" s="685" t="s">
        <v>950</v>
      </c>
      <c r="Z152" s="385">
        <f t="shared" si="3"/>
        <v>5</v>
      </c>
      <c r="AA152" s="147"/>
      <c r="AB152" s="163"/>
      <c r="AC152" s="152"/>
      <c r="AD152" s="144"/>
      <c r="AE152" s="143"/>
      <c r="AF152" s="507"/>
      <c r="AG152" s="507"/>
      <c r="AH152" s="507"/>
      <c r="AI152" s="507"/>
      <c r="AJ152" s="507"/>
      <c r="AK152" s="721">
        <v>132000</v>
      </c>
      <c r="AL152" s="507"/>
      <c r="AM152" s="507"/>
      <c r="AN152" s="507"/>
      <c r="AO152" s="507"/>
      <c r="AP152" s="507"/>
      <c r="AQ152" s="507"/>
      <c r="AR152" s="507"/>
      <c r="AS152" s="507"/>
      <c r="AT152" s="507"/>
      <c r="AU152" s="507"/>
      <c r="AV152" s="142"/>
    </row>
    <row r="153" spans="1:48" hidden="1">
      <c r="A153" s="145"/>
      <c r="B153" s="153"/>
      <c r="C153" s="220"/>
      <c r="D153" s="147"/>
      <c r="E153" s="271"/>
      <c r="F153" s="226"/>
      <c r="G153" s="147"/>
      <c r="H153" s="146"/>
      <c r="I153" s="461"/>
      <c r="J153" s="151"/>
      <c r="K153" s="142"/>
      <c r="L153" s="281"/>
      <c r="M153" s="231"/>
      <c r="N153" s="147"/>
      <c r="O153" s="154"/>
      <c r="P153" s="152"/>
      <c r="Q153" s="151"/>
      <c r="R153" s="153"/>
      <c r="S153" s="147"/>
      <c r="T153" s="507"/>
      <c r="U153" s="599">
        <v>33</v>
      </c>
      <c r="V153" s="161" t="s">
        <v>982</v>
      </c>
      <c r="W153" s="636">
        <v>5</v>
      </c>
      <c r="X153" s="639" t="s">
        <v>950</v>
      </c>
      <c r="Y153" s="685" t="s">
        <v>950</v>
      </c>
      <c r="Z153" s="385">
        <f t="shared" si="3"/>
        <v>5</v>
      </c>
      <c r="AA153" s="147"/>
      <c r="AB153" s="163"/>
      <c r="AC153" s="152"/>
      <c r="AD153" s="144"/>
      <c r="AE153" s="143"/>
      <c r="AF153" s="507"/>
      <c r="AG153" s="507"/>
      <c r="AH153" s="507"/>
      <c r="AI153" s="507"/>
      <c r="AJ153" s="507"/>
      <c r="AK153" s="721">
        <v>10000</v>
      </c>
      <c r="AL153" s="507"/>
      <c r="AM153" s="507"/>
      <c r="AN153" s="507"/>
      <c r="AO153" s="507"/>
      <c r="AP153" s="507"/>
      <c r="AQ153" s="507"/>
      <c r="AR153" s="507"/>
      <c r="AS153" s="507"/>
      <c r="AT153" s="507"/>
      <c r="AU153" s="507"/>
      <c r="AV153" s="142"/>
    </row>
    <row r="154" spans="1:48" hidden="1">
      <c r="A154" s="145"/>
      <c r="B154" s="153"/>
      <c r="C154" s="220"/>
      <c r="D154" s="147"/>
      <c r="E154" s="271"/>
      <c r="F154" s="226"/>
      <c r="G154" s="147"/>
      <c r="H154" s="146"/>
      <c r="I154" s="461"/>
      <c r="J154" s="151"/>
      <c r="K154" s="142"/>
      <c r="L154" s="281"/>
      <c r="M154" s="231"/>
      <c r="N154" s="147"/>
      <c r="O154" s="154"/>
      <c r="P154" s="152"/>
      <c r="Q154" s="151"/>
      <c r="R154" s="153"/>
      <c r="S154" s="147"/>
      <c r="T154" s="507"/>
      <c r="U154" s="599">
        <v>34</v>
      </c>
      <c r="V154" s="161" t="s">
        <v>983</v>
      </c>
      <c r="W154" s="636" t="s">
        <v>950</v>
      </c>
      <c r="X154" s="639">
        <v>450</v>
      </c>
      <c r="Y154" s="685" t="s">
        <v>950</v>
      </c>
      <c r="Z154" s="385">
        <f t="shared" si="3"/>
        <v>450</v>
      </c>
      <c r="AA154" s="147"/>
      <c r="AB154" s="163"/>
      <c r="AC154" s="152"/>
      <c r="AD154" s="144"/>
      <c r="AE154" s="143"/>
      <c r="AF154" s="507"/>
      <c r="AG154" s="507"/>
      <c r="AH154" s="507"/>
      <c r="AI154" s="507"/>
      <c r="AJ154" s="507"/>
      <c r="AK154" s="721"/>
      <c r="AL154" s="507"/>
      <c r="AM154" s="507"/>
      <c r="AN154" s="507"/>
      <c r="AO154" s="507"/>
      <c r="AP154" s="507"/>
      <c r="AQ154" s="507"/>
      <c r="AR154" s="507"/>
      <c r="AS154" s="507"/>
      <c r="AT154" s="507"/>
      <c r="AU154" s="507"/>
      <c r="AV154" s="142"/>
    </row>
    <row r="155" spans="1:48" hidden="1">
      <c r="A155" s="145"/>
      <c r="B155" s="153"/>
      <c r="C155" s="220"/>
      <c r="D155" s="147"/>
      <c r="E155" s="271"/>
      <c r="F155" s="226"/>
      <c r="G155" s="147"/>
      <c r="H155" s="146"/>
      <c r="I155" s="461"/>
      <c r="J155" s="151"/>
      <c r="K155" s="142"/>
      <c r="L155" s="281"/>
      <c r="M155" s="231"/>
      <c r="N155" s="147"/>
      <c r="O155" s="154"/>
      <c r="P155" s="152"/>
      <c r="Q155" s="151"/>
      <c r="R155" s="153"/>
      <c r="S155" s="147"/>
      <c r="T155" s="507"/>
      <c r="U155" s="599"/>
      <c r="V155" s="161"/>
      <c r="W155" s="631"/>
      <c r="X155" s="639"/>
      <c r="Y155" s="685"/>
      <c r="Z155" s="385"/>
      <c r="AA155" s="147"/>
      <c r="AB155" s="163"/>
      <c r="AC155" s="152"/>
      <c r="AD155" s="144"/>
      <c r="AE155" s="143"/>
      <c r="AF155" s="507"/>
      <c r="AG155" s="507"/>
      <c r="AH155" s="507"/>
      <c r="AI155" s="507"/>
      <c r="AJ155" s="507"/>
      <c r="AK155" s="721"/>
      <c r="AL155" s="507"/>
      <c r="AM155" s="507"/>
      <c r="AN155" s="507"/>
      <c r="AO155" s="507"/>
      <c r="AP155" s="507"/>
      <c r="AQ155" s="507"/>
      <c r="AR155" s="507"/>
      <c r="AS155" s="507"/>
      <c r="AT155" s="507"/>
      <c r="AU155" s="507"/>
      <c r="AV155" s="142"/>
    </row>
    <row r="156" spans="1:48" hidden="1">
      <c r="A156" s="185" t="s">
        <v>681</v>
      </c>
      <c r="B156" s="176" t="s">
        <v>25</v>
      </c>
      <c r="C156" s="184" t="s">
        <v>773</v>
      </c>
      <c r="D156" s="207"/>
      <c r="E156" s="422"/>
      <c r="F156" s="978"/>
      <c r="G156" s="421" t="s">
        <v>25</v>
      </c>
      <c r="H156" s="420" t="s">
        <v>729</v>
      </c>
      <c r="I156" s="996">
        <v>155</v>
      </c>
      <c r="J156" s="175"/>
      <c r="K156" s="969" t="s">
        <v>772</v>
      </c>
      <c r="L156" s="969" t="s">
        <v>46</v>
      </c>
      <c r="M156" s="996"/>
      <c r="N156" s="975" t="s">
        <v>771</v>
      </c>
      <c r="O156" s="975"/>
      <c r="P156" s="175"/>
      <c r="Q156" s="175"/>
      <c r="R156" s="176" t="s">
        <v>25</v>
      </c>
      <c r="S156" s="184" t="s">
        <v>24</v>
      </c>
      <c r="T156" s="506">
        <v>2</v>
      </c>
      <c r="U156" s="597">
        <v>1</v>
      </c>
      <c r="V156" s="575" t="s">
        <v>56</v>
      </c>
      <c r="W156" s="638" t="s">
        <v>950</v>
      </c>
      <c r="X156" s="653" t="s">
        <v>950</v>
      </c>
      <c r="Y156" s="687">
        <v>50</v>
      </c>
      <c r="Z156" s="391">
        <f>SUM(Y156)</f>
        <v>50</v>
      </c>
      <c r="AA156" s="176"/>
      <c r="AB156" s="296"/>
      <c r="AC156" s="168"/>
      <c r="AD156" s="966"/>
      <c r="AE156" s="966"/>
      <c r="AF156" s="506"/>
      <c r="AG156" s="506"/>
      <c r="AH156" s="506"/>
      <c r="AI156" s="506"/>
      <c r="AJ156" s="506"/>
      <c r="AK156" s="722">
        <v>10000</v>
      </c>
      <c r="AL156" s="506"/>
      <c r="AM156" s="506"/>
      <c r="AN156" s="506"/>
      <c r="AO156" s="506"/>
      <c r="AP156" s="506"/>
      <c r="AQ156" s="506"/>
      <c r="AR156" s="506"/>
      <c r="AS156" s="506"/>
      <c r="AT156" s="506"/>
      <c r="AU156" s="506"/>
      <c r="AV156" s="969"/>
    </row>
    <row r="157" spans="1:48" hidden="1">
      <c r="A157" s="145"/>
      <c r="B157" s="153" t="s">
        <v>16</v>
      </c>
      <c r="C157" s="164" t="s">
        <v>770</v>
      </c>
      <c r="D157" s="153"/>
      <c r="E157" s="220"/>
      <c r="F157" s="979"/>
      <c r="G157" s="153" t="s">
        <v>16</v>
      </c>
      <c r="H157" s="162" t="s">
        <v>726</v>
      </c>
      <c r="I157" s="980"/>
      <c r="J157" s="152"/>
      <c r="K157" s="970"/>
      <c r="L157" s="999"/>
      <c r="M157" s="980"/>
      <c r="N157" s="153" t="s">
        <v>25</v>
      </c>
      <c r="O157" s="164" t="s">
        <v>26</v>
      </c>
      <c r="P157" s="379">
        <v>1</v>
      </c>
      <c r="Q157" s="409">
        <v>115.3</v>
      </c>
      <c r="R157" s="153"/>
      <c r="S157" s="162"/>
      <c r="T157" s="507"/>
      <c r="U157" s="598">
        <v>2</v>
      </c>
      <c r="V157" s="576" t="s">
        <v>585</v>
      </c>
      <c r="W157" s="639" t="s">
        <v>950</v>
      </c>
      <c r="X157" s="636" t="s">
        <v>950</v>
      </c>
      <c r="Y157" s="688">
        <v>50</v>
      </c>
      <c r="Z157" s="385">
        <f>SUM(Y157)</f>
        <v>50</v>
      </c>
      <c r="AA157" s="153"/>
      <c r="AB157" s="156"/>
      <c r="AC157" s="145"/>
      <c r="AD157" s="967"/>
      <c r="AE157" s="967"/>
      <c r="AF157" s="507"/>
      <c r="AG157" s="507"/>
      <c r="AH157" s="507"/>
      <c r="AI157" s="507"/>
      <c r="AJ157" s="507"/>
      <c r="AK157" s="721">
        <v>8250</v>
      </c>
      <c r="AL157" s="507"/>
      <c r="AM157" s="507"/>
      <c r="AN157" s="507"/>
      <c r="AO157" s="507"/>
      <c r="AP157" s="507"/>
      <c r="AQ157" s="507"/>
      <c r="AR157" s="507"/>
      <c r="AS157" s="507"/>
      <c r="AT157" s="507"/>
      <c r="AU157" s="507"/>
      <c r="AV157" s="970"/>
    </row>
    <row r="158" spans="1:48" hidden="1">
      <c r="A158" s="145"/>
      <c r="B158" s="153" t="s">
        <v>18</v>
      </c>
      <c r="C158" s="162" t="s">
        <v>38</v>
      </c>
      <c r="D158" s="153"/>
      <c r="E158" s="220"/>
      <c r="F158" s="979"/>
      <c r="G158" s="153" t="s">
        <v>18</v>
      </c>
      <c r="H158" s="162" t="s">
        <v>19</v>
      </c>
      <c r="I158" s="980"/>
      <c r="J158" s="152"/>
      <c r="K158" s="970"/>
      <c r="L158" s="999"/>
      <c r="M158" s="980"/>
      <c r="N158" s="153" t="s">
        <v>16</v>
      </c>
      <c r="O158" s="156" t="s">
        <v>52</v>
      </c>
      <c r="P158" s="379">
        <v>1</v>
      </c>
      <c r="Q158" s="409">
        <v>16.5</v>
      </c>
      <c r="S158" s="388"/>
      <c r="T158" s="586"/>
      <c r="U158" s="572"/>
      <c r="V158" s="572"/>
      <c r="W158" s="621"/>
      <c r="X158" s="661"/>
      <c r="Y158" s="689"/>
      <c r="Z158" s="418"/>
      <c r="AA158" s="153"/>
      <c r="AB158" s="156"/>
      <c r="AC158" s="145"/>
      <c r="AD158" s="967"/>
      <c r="AE158" s="967"/>
      <c r="AF158" s="507"/>
      <c r="AG158" s="507"/>
      <c r="AH158" s="507"/>
      <c r="AI158" s="507"/>
      <c r="AJ158" s="507"/>
      <c r="AK158" s="721"/>
      <c r="AL158" s="507"/>
      <c r="AM158" s="507"/>
      <c r="AN158" s="507"/>
      <c r="AO158" s="507"/>
      <c r="AP158" s="507"/>
      <c r="AQ158" s="507"/>
      <c r="AR158" s="507"/>
      <c r="AS158" s="507"/>
      <c r="AT158" s="507"/>
      <c r="AU158" s="507"/>
      <c r="AV158" s="970"/>
    </row>
    <row r="159" spans="1:48" ht="55.2" hidden="1">
      <c r="A159" s="145"/>
      <c r="B159" s="157" t="s">
        <v>12</v>
      </c>
      <c r="C159" s="156" t="s">
        <v>769</v>
      </c>
      <c r="D159" s="153"/>
      <c r="E159" s="220"/>
      <c r="F159" s="979"/>
      <c r="G159" s="153"/>
      <c r="H159" s="286"/>
      <c r="I159" s="980"/>
      <c r="J159" s="152"/>
      <c r="K159" s="970"/>
      <c r="L159" s="999"/>
      <c r="M159" s="980"/>
      <c r="N159" s="153" t="s">
        <v>18</v>
      </c>
      <c r="O159" s="417" t="s">
        <v>768</v>
      </c>
      <c r="P159" s="379">
        <v>1</v>
      </c>
      <c r="Q159" s="409">
        <v>9.75</v>
      </c>
      <c r="R159" s="153" t="s">
        <v>16</v>
      </c>
      <c r="S159" s="162" t="s">
        <v>15</v>
      </c>
      <c r="T159" s="507">
        <v>5</v>
      </c>
      <c r="U159" s="507">
        <v>1</v>
      </c>
      <c r="V159" s="161" t="s">
        <v>945</v>
      </c>
      <c r="W159" s="640">
        <v>1</v>
      </c>
      <c r="X159" s="640">
        <v>0</v>
      </c>
      <c r="Y159" s="697">
        <v>0</v>
      </c>
      <c r="Z159" s="382">
        <f>SUM(W159:Y159)</f>
        <v>1</v>
      </c>
      <c r="AA159" s="153"/>
      <c r="AB159" s="164"/>
      <c r="AC159" s="152"/>
      <c r="AD159" s="967"/>
      <c r="AE159" s="967"/>
      <c r="AF159" s="507"/>
      <c r="AG159" s="507"/>
      <c r="AH159" s="507"/>
      <c r="AI159" s="507"/>
      <c r="AJ159" s="507"/>
      <c r="AK159" s="721">
        <v>450000</v>
      </c>
      <c r="AL159" s="507"/>
      <c r="AM159" s="507"/>
      <c r="AN159" s="507"/>
      <c r="AO159" s="507"/>
      <c r="AP159" s="507"/>
      <c r="AQ159" s="507"/>
      <c r="AR159" s="507"/>
      <c r="AS159" s="507"/>
      <c r="AT159" s="507"/>
      <c r="AU159" s="507"/>
      <c r="AV159" s="970"/>
    </row>
    <row r="160" spans="1:48" hidden="1">
      <c r="A160" s="145"/>
      <c r="B160" s="153" t="s">
        <v>8</v>
      </c>
      <c r="C160" s="220" t="s">
        <v>767</v>
      </c>
      <c r="D160" s="153"/>
      <c r="E160" s="220"/>
      <c r="F160" s="979"/>
      <c r="G160" s="153"/>
      <c r="H160" s="286"/>
      <c r="I160" s="980"/>
      <c r="J160" s="152"/>
      <c r="K160" s="970"/>
      <c r="L160" s="999"/>
      <c r="M160" s="980"/>
      <c r="N160" s="153" t="s">
        <v>12</v>
      </c>
      <c r="O160" s="156" t="s">
        <v>21</v>
      </c>
      <c r="P160" s="379">
        <v>1</v>
      </c>
      <c r="Q160" s="409">
        <v>9.75</v>
      </c>
      <c r="R160" s="218"/>
      <c r="S160" s="164"/>
      <c r="T160" s="507"/>
      <c r="U160" s="603">
        <v>2</v>
      </c>
      <c r="V160" s="161" t="s">
        <v>946</v>
      </c>
      <c r="W160" s="641">
        <v>0</v>
      </c>
      <c r="X160" s="641">
        <v>0</v>
      </c>
      <c r="Y160" s="698">
        <v>5</v>
      </c>
      <c r="Z160" s="382">
        <f>SUM(W160:Y160)</f>
        <v>5</v>
      </c>
      <c r="AA160" s="153"/>
      <c r="AB160" s="164"/>
      <c r="AC160" s="152"/>
      <c r="AD160" s="967"/>
      <c r="AE160" s="967"/>
      <c r="AF160" s="507"/>
      <c r="AG160" s="507"/>
      <c r="AH160" s="507"/>
      <c r="AI160" s="507"/>
      <c r="AJ160" s="507"/>
      <c r="AK160" s="721">
        <v>41200</v>
      </c>
      <c r="AL160" s="507"/>
      <c r="AM160" s="507"/>
      <c r="AN160" s="507"/>
      <c r="AO160" s="507"/>
      <c r="AP160" s="507"/>
      <c r="AQ160" s="507"/>
      <c r="AR160" s="507"/>
      <c r="AS160" s="507"/>
      <c r="AT160" s="507"/>
      <c r="AU160" s="507"/>
      <c r="AV160" s="970"/>
    </row>
    <row r="161" spans="1:48" hidden="1">
      <c r="A161" s="145"/>
      <c r="B161" s="153"/>
      <c r="C161" s="220"/>
      <c r="D161" s="153"/>
      <c r="E161" s="220"/>
      <c r="F161" s="226"/>
      <c r="G161" s="153"/>
      <c r="H161" s="286"/>
      <c r="I161" s="461"/>
      <c r="J161" s="152"/>
      <c r="K161" s="142"/>
      <c r="L161" s="416"/>
      <c r="M161" s="231"/>
      <c r="N161" s="153" t="s">
        <v>8</v>
      </c>
      <c r="O161" s="156" t="s">
        <v>17</v>
      </c>
      <c r="P161" s="379">
        <v>1</v>
      </c>
      <c r="Q161" s="409"/>
      <c r="R161" s="153"/>
      <c r="S161" s="162"/>
      <c r="T161" s="507"/>
      <c r="U161" s="603">
        <v>3</v>
      </c>
      <c r="V161" s="161" t="s">
        <v>947</v>
      </c>
      <c r="W161" s="641">
        <v>15</v>
      </c>
      <c r="X161" s="641">
        <v>0</v>
      </c>
      <c r="Y161" s="698">
        <v>0</v>
      </c>
      <c r="Z161" s="382">
        <f>SUM(W161:Y161)</f>
        <v>15</v>
      </c>
      <c r="AA161" s="153"/>
      <c r="AB161" s="164"/>
      <c r="AC161" s="152"/>
      <c r="AD161" s="143"/>
      <c r="AE161" s="143"/>
      <c r="AF161" s="507"/>
      <c r="AG161" s="507"/>
      <c r="AH161" s="507"/>
      <c r="AI161" s="507"/>
      <c r="AJ161" s="507"/>
      <c r="AK161" s="721">
        <v>3000</v>
      </c>
      <c r="AL161" s="507"/>
      <c r="AM161" s="507"/>
      <c r="AN161" s="507"/>
      <c r="AO161" s="507"/>
      <c r="AP161" s="507"/>
      <c r="AQ161" s="507"/>
      <c r="AR161" s="507"/>
      <c r="AS161" s="507"/>
      <c r="AT161" s="507"/>
      <c r="AU161" s="507"/>
      <c r="AV161" s="142"/>
    </row>
    <row r="162" spans="1:48" hidden="1">
      <c r="A162" s="145"/>
      <c r="B162" s="153"/>
      <c r="C162" s="220"/>
      <c r="D162" s="153"/>
      <c r="E162" s="220"/>
      <c r="F162" s="226"/>
      <c r="G162" s="153"/>
      <c r="H162" s="286"/>
      <c r="I162" s="461"/>
      <c r="J162" s="152"/>
      <c r="K162" s="142"/>
      <c r="L162" s="416"/>
      <c r="M162" s="231"/>
      <c r="N162" s="153" t="s">
        <v>54</v>
      </c>
      <c r="O162" s="156" t="s">
        <v>11</v>
      </c>
      <c r="P162" s="379">
        <v>1</v>
      </c>
      <c r="Q162" s="409"/>
      <c r="R162" s="153"/>
      <c r="S162" s="162"/>
      <c r="T162" s="507"/>
      <c r="U162" s="603">
        <v>4</v>
      </c>
      <c r="V162" s="161" t="s">
        <v>948</v>
      </c>
      <c r="W162" s="641">
        <v>0</v>
      </c>
      <c r="X162" s="641">
        <v>0</v>
      </c>
      <c r="Y162" s="698">
        <v>7</v>
      </c>
      <c r="Z162" s="382">
        <f>SUM(W162:Y162)</f>
        <v>7</v>
      </c>
      <c r="AA162" s="153"/>
      <c r="AB162" s="164"/>
      <c r="AC162" s="152"/>
      <c r="AD162" s="143"/>
      <c r="AE162" s="143"/>
      <c r="AF162" s="507"/>
      <c r="AG162" s="507"/>
      <c r="AH162" s="507"/>
      <c r="AI162" s="507"/>
      <c r="AJ162" s="507"/>
      <c r="AK162" s="721">
        <v>5000</v>
      </c>
      <c r="AL162" s="507"/>
      <c r="AM162" s="507"/>
      <c r="AN162" s="507"/>
      <c r="AO162" s="507"/>
      <c r="AP162" s="507"/>
      <c r="AQ162" s="507"/>
      <c r="AR162" s="507"/>
      <c r="AS162" s="507"/>
      <c r="AT162" s="507"/>
      <c r="AU162" s="507"/>
      <c r="AV162" s="142"/>
    </row>
    <row r="163" spans="1:48" hidden="1">
      <c r="A163" s="145"/>
      <c r="B163" s="153"/>
      <c r="C163" s="220"/>
      <c r="D163" s="153"/>
      <c r="E163" s="220"/>
      <c r="F163" s="226"/>
      <c r="G163" s="153"/>
      <c r="H163" s="286"/>
      <c r="I163" s="461"/>
      <c r="J163" s="152"/>
      <c r="K163" s="142"/>
      <c r="L163" s="416"/>
      <c r="M163" s="231"/>
      <c r="N163" s="153" t="s">
        <v>53</v>
      </c>
      <c r="O163" s="156" t="s">
        <v>175</v>
      </c>
      <c r="P163" s="152"/>
      <c r="Q163" s="409">
        <v>12</v>
      </c>
      <c r="R163" s="153"/>
      <c r="S163" s="162"/>
      <c r="T163" s="507"/>
      <c r="U163" s="603">
        <v>5</v>
      </c>
      <c r="V163" s="161" t="s">
        <v>949</v>
      </c>
      <c r="W163" s="641">
        <v>0</v>
      </c>
      <c r="X163" s="641">
        <v>12</v>
      </c>
      <c r="Y163" s="698">
        <v>0</v>
      </c>
      <c r="Z163" s="382">
        <f>SUM(W163:Y163)</f>
        <v>12</v>
      </c>
      <c r="AA163" s="153"/>
      <c r="AB163" s="164"/>
      <c r="AC163" s="152"/>
      <c r="AD163" s="143"/>
      <c r="AE163" s="143"/>
      <c r="AF163" s="507"/>
      <c r="AG163" s="507"/>
      <c r="AH163" s="507"/>
      <c r="AI163" s="507"/>
      <c r="AJ163" s="507"/>
      <c r="AK163" s="721">
        <v>2650</v>
      </c>
      <c r="AL163" s="507"/>
      <c r="AM163" s="507"/>
      <c r="AN163" s="507"/>
      <c r="AO163" s="507"/>
      <c r="AP163" s="507"/>
      <c r="AQ163" s="507"/>
      <c r="AR163" s="507"/>
      <c r="AS163" s="507"/>
      <c r="AT163" s="507"/>
      <c r="AU163" s="507"/>
      <c r="AV163" s="142"/>
    </row>
    <row r="164" spans="1:48" hidden="1">
      <c r="A164" s="145"/>
      <c r="B164" s="153"/>
      <c r="C164" s="220"/>
      <c r="D164" s="153"/>
      <c r="E164" s="220"/>
      <c r="F164" s="226"/>
      <c r="G164" s="153"/>
      <c r="H164" s="286"/>
      <c r="I164" s="461"/>
      <c r="J164" s="152"/>
      <c r="K164" s="142"/>
      <c r="L164" s="416"/>
      <c r="M164" s="231"/>
      <c r="N164" s="153" t="s">
        <v>51</v>
      </c>
      <c r="O164" s="156" t="s">
        <v>120</v>
      </c>
      <c r="P164" s="152"/>
      <c r="Q164" s="409">
        <v>1.2</v>
      </c>
      <c r="R164" s="153"/>
      <c r="S164" s="162"/>
      <c r="T164" s="507"/>
      <c r="U164" s="603"/>
      <c r="V164" s="161"/>
      <c r="W164" s="642"/>
      <c r="X164" s="639"/>
      <c r="Y164" s="680"/>
      <c r="Z164" s="385"/>
      <c r="AA164" s="153"/>
      <c r="AB164" s="164"/>
      <c r="AC164" s="152"/>
      <c r="AD164" s="143"/>
      <c r="AE164" s="143"/>
      <c r="AF164" s="507"/>
      <c r="AG164" s="507"/>
      <c r="AH164" s="507"/>
      <c r="AI164" s="507"/>
      <c r="AJ164" s="507"/>
      <c r="AK164" s="721"/>
      <c r="AL164" s="507"/>
      <c r="AM164" s="507"/>
      <c r="AN164" s="507"/>
      <c r="AO164" s="507"/>
      <c r="AP164" s="507"/>
      <c r="AQ164" s="507"/>
      <c r="AR164" s="507"/>
      <c r="AS164" s="507"/>
      <c r="AT164" s="507"/>
      <c r="AU164" s="507"/>
      <c r="AV164" s="142"/>
    </row>
    <row r="165" spans="1:48" hidden="1">
      <c r="A165" s="129"/>
      <c r="B165" s="137"/>
      <c r="C165" s="141"/>
      <c r="D165" s="137"/>
      <c r="E165" s="141"/>
      <c r="F165" s="282"/>
      <c r="G165" s="137"/>
      <c r="H165" s="314"/>
      <c r="I165" s="462"/>
      <c r="J165" s="136"/>
      <c r="K165" s="126"/>
      <c r="L165" s="289"/>
      <c r="M165" s="280"/>
      <c r="N165" s="137" t="s">
        <v>154</v>
      </c>
      <c r="O165" s="315" t="s">
        <v>766</v>
      </c>
      <c r="P165" s="136"/>
      <c r="Q165" s="415">
        <v>9</v>
      </c>
      <c r="R165" s="137"/>
      <c r="S165" s="254"/>
      <c r="T165" s="508"/>
      <c r="U165" s="604"/>
      <c r="V165" s="573"/>
      <c r="W165" s="643"/>
      <c r="X165" s="652"/>
      <c r="Y165" s="681"/>
      <c r="Z165" s="394"/>
      <c r="AA165" s="137"/>
      <c r="AB165" s="414"/>
      <c r="AC165" s="136"/>
      <c r="AD165" s="127"/>
      <c r="AE165" s="127"/>
      <c r="AF165" s="508"/>
      <c r="AG165" s="508"/>
      <c r="AH165" s="508"/>
      <c r="AI165" s="508"/>
      <c r="AJ165" s="508"/>
      <c r="AK165" s="723"/>
      <c r="AL165" s="508"/>
      <c r="AM165" s="508"/>
      <c r="AN165" s="508"/>
      <c r="AO165" s="508"/>
      <c r="AP165" s="508"/>
      <c r="AQ165" s="508"/>
      <c r="AR165" s="508"/>
      <c r="AS165" s="508"/>
      <c r="AT165" s="508"/>
      <c r="AU165" s="508"/>
      <c r="AV165" s="126"/>
    </row>
    <row r="166" spans="1:48" hidden="1">
      <c r="A166" s="221" t="s">
        <v>674</v>
      </c>
      <c r="B166" s="218" t="s">
        <v>25</v>
      </c>
      <c r="C166" s="162" t="s">
        <v>743</v>
      </c>
      <c r="D166" s="147"/>
      <c r="E166" s="271"/>
      <c r="F166" s="1000"/>
      <c r="G166" s="219" t="s">
        <v>25</v>
      </c>
      <c r="H166" s="154" t="s">
        <v>765</v>
      </c>
      <c r="I166" s="980">
        <v>7060</v>
      </c>
      <c r="J166" s="151"/>
      <c r="K166" s="970" t="s">
        <v>764</v>
      </c>
      <c r="L166" s="984" t="s">
        <v>46</v>
      </c>
      <c r="M166" s="980"/>
      <c r="N166" s="147" t="s">
        <v>25</v>
      </c>
      <c r="O166" s="163" t="s">
        <v>17</v>
      </c>
      <c r="P166" s="379">
        <v>2</v>
      </c>
      <c r="Q166" s="378"/>
      <c r="R166" s="218" t="s">
        <v>25</v>
      </c>
      <c r="S166" s="147" t="s">
        <v>24</v>
      </c>
      <c r="T166" s="507">
        <v>3</v>
      </c>
      <c r="U166" s="597">
        <v>1</v>
      </c>
      <c r="V166" s="570" t="s">
        <v>88</v>
      </c>
      <c r="W166" s="644">
        <v>0</v>
      </c>
      <c r="X166" s="665">
        <v>0</v>
      </c>
      <c r="Y166" s="699">
        <v>44</v>
      </c>
      <c r="Z166" s="391">
        <f>SUM(W166:Y166)</f>
        <v>44</v>
      </c>
      <c r="AA166" s="217"/>
      <c r="AB166" s="154"/>
      <c r="AC166" s="145"/>
      <c r="AD166" s="986"/>
      <c r="AE166" s="967"/>
      <c r="AF166" s="507"/>
      <c r="AG166" s="507"/>
      <c r="AH166" s="507"/>
      <c r="AI166" s="507"/>
      <c r="AJ166" s="507"/>
      <c r="AK166" s="721">
        <v>20000</v>
      </c>
      <c r="AL166" s="507"/>
      <c r="AM166" s="507"/>
      <c r="AN166" s="507"/>
      <c r="AO166" s="507"/>
      <c r="AP166" s="507"/>
      <c r="AQ166" s="507"/>
      <c r="AR166" s="507"/>
      <c r="AS166" s="507"/>
      <c r="AT166" s="507"/>
      <c r="AU166" s="507"/>
      <c r="AV166" s="970"/>
    </row>
    <row r="167" spans="1:48" hidden="1">
      <c r="A167" s="145"/>
      <c r="B167" s="153" t="s">
        <v>16</v>
      </c>
      <c r="C167" s="164" t="s">
        <v>441</v>
      </c>
      <c r="D167" s="147"/>
      <c r="E167" s="271"/>
      <c r="F167" s="979"/>
      <c r="G167" s="147" t="s">
        <v>16</v>
      </c>
      <c r="H167" s="147" t="s">
        <v>726</v>
      </c>
      <c r="I167" s="980"/>
      <c r="J167" s="151"/>
      <c r="K167" s="970"/>
      <c r="L167" s="984"/>
      <c r="M167" s="980"/>
      <c r="N167" s="147" t="s">
        <v>16</v>
      </c>
      <c r="O167" s="154" t="s">
        <v>17</v>
      </c>
      <c r="P167" s="379">
        <v>2</v>
      </c>
      <c r="Q167" s="378"/>
      <c r="R167" s="153"/>
      <c r="S167" s="147"/>
      <c r="T167" s="507"/>
      <c r="U167" s="598">
        <v>2</v>
      </c>
      <c r="V167" s="571" t="s">
        <v>809</v>
      </c>
      <c r="W167" s="645">
        <v>0</v>
      </c>
      <c r="X167" s="666">
        <v>0</v>
      </c>
      <c r="Y167" s="700">
        <v>54</v>
      </c>
      <c r="Z167" s="385">
        <f>SUM(W167:Y167)</f>
        <v>54</v>
      </c>
      <c r="AA167" s="147"/>
      <c r="AB167" s="154"/>
      <c r="AC167" s="145"/>
      <c r="AD167" s="986"/>
      <c r="AE167" s="967"/>
      <c r="AF167" s="507"/>
      <c r="AG167" s="507"/>
      <c r="AH167" s="507"/>
      <c r="AI167" s="507"/>
      <c r="AJ167" s="507"/>
      <c r="AK167" s="721"/>
      <c r="AL167" s="507"/>
      <c r="AM167" s="507"/>
      <c r="AN167" s="507"/>
      <c r="AO167" s="507"/>
      <c r="AP167" s="507"/>
      <c r="AQ167" s="507"/>
      <c r="AR167" s="507"/>
      <c r="AS167" s="507"/>
      <c r="AT167" s="507"/>
      <c r="AU167" s="507"/>
      <c r="AV167" s="970"/>
    </row>
    <row r="168" spans="1:48" hidden="1">
      <c r="A168" s="145"/>
      <c r="B168" s="153" t="s">
        <v>18</v>
      </c>
      <c r="C168" s="162" t="s">
        <v>38</v>
      </c>
      <c r="D168" s="147"/>
      <c r="E168" s="271"/>
      <c r="F168" s="979"/>
      <c r="G168" s="147" t="s">
        <v>18</v>
      </c>
      <c r="H168" s="147" t="s">
        <v>19</v>
      </c>
      <c r="I168" s="980"/>
      <c r="J168" s="151"/>
      <c r="K168" s="970"/>
      <c r="L168" s="984"/>
      <c r="M168" s="980"/>
      <c r="N168" s="147"/>
      <c r="O168" s="196"/>
      <c r="P168" s="379"/>
      <c r="Q168" s="390"/>
      <c r="S168" s="388"/>
      <c r="T168" s="586"/>
      <c r="U168" s="598">
        <v>3</v>
      </c>
      <c r="V168" s="571" t="s">
        <v>1023</v>
      </c>
      <c r="W168" s="645">
        <v>0</v>
      </c>
      <c r="X168" s="666">
        <v>0</v>
      </c>
      <c r="Y168" s="700">
        <v>35</v>
      </c>
      <c r="Z168" s="389">
        <f>SUM(W168:Y168)</f>
        <v>35</v>
      </c>
      <c r="AA168" s="147"/>
      <c r="AB168" s="154"/>
      <c r="AC168" s="145"/>
      <c r="AD168" s="986"/>
      <c r="AE168" s="967"/>
      <c r="AF168" s="507"/>
      <c r="AG168" s="507"/>
      <c r="AH168" s="507"/>
      <c r="AI168" s="507"/>
      <c r="AJ168" s="507"/>
      <c r="AK168" s="721">
        <v>10000</v>
      </c>
      <c r="AL168" s="507"/>
      <c r="AM168" s="507"/>
      <c r="AN168" s="507"/>
      <c r="AO168" s="507"/>
      <c r="AP168" s="507"/>
      <c r="AQ168" s="507"/>
      <c r="AR168" s="507"/>
      <c r="AS168" s="507"/>
      <c r="AT168" s="507"/>
      <c r="AU168" s="507"/>
      <c r="AV168" s="970"/>
    </row>
    <row r="169" spans="1:48" ht="64.5" hidden="1" customHeight="1">
      <c r="A169" s="145"/>
      <c r="B169" s="411"/>
      <c r="C169" s="156" t="s">
        <v>725</v>
      </c>
      <c r="D169" s="147"/>
      <c r="E169" s="271"/>
      <c r="F169" s="979"/>
      <c r="G169" s="147"/>
      <c r="H169" s="146"/>
      <c r="I169" s="980"/>
      <c r="J169" s="151"/>
      <c r="K169" s="970"/>
      <c r="L169" s="984"/>
      <c r="M169" s="980"/>
      <c r="N169" s="147"/>
      <c r="O169" s="154"/>
      <c r="P169" s="379"/>
      <c r="Q169" s="151"/>
      <c r="R169" s="153" t="s">
        <v>16</v>
      </c>
      <c r="S169" s="147" t="s">
        <v>15</v>
      </c>
      <c r="T169" s="507">
        <v>2</v>
      </c>
      <c r="U169" s="605">
        <v>1</v>
      </c>
      <c r="V169" s="577" t="s">
        <v>953</v>
      </c>
      <c r="W169" s="634">
        <v>97</v>
      </c>
      <c r="X169" s="634"/>
      <c r="Y169" s="684"/>
      <c r="Z169" s="407">
        <f>SUM(W169:Y169)</f>
        <v>97</v>
      </c>
      <c r="AA169" s="147"/>
      <c r="AB169" s="163"/>
      <c r="AC169" s="152"/>
      <c r="AD169" s="986"/>
      <c r="AE169" s="967"/>
      <c r="AF169" s="507"/>
      <c r="AG169" s="507"/>
      <c r="AH169" s="507"/>
      <c r="AI169" s="507"/>
      <c r="AJ169" s="507"/>
      <c r="AK169" s="721">
        <v>350000</v>
      </c>
      <c r="AL169" s="507"/>
      <c r="AM169" s="507"/>
      <c r="AN169" s="507"/>
      <c r="AO169" s="507"/>
      <c r="AP169" s="507"/>
      <c r="AQ169" s="507"/>
      <c r="AR169" s="507"/>
      <c r="AS169" s="507"/>
      <c r="AT169" s="507"/>
      <c r="AU169" s="507"/>
      <c r="AV169" s="970"/>
    </row>
    <row r="170" spans="1:48" ht="14.4" hidden="1" customHeight="1">
      <c r="A170" s="145"/>
      <c r="B170" s="157" t="s">
        <v>12</v>
      </c>
      <c r="C170" s="156" t="s">
        <v>1830</v>
      </c>
      <c r="D170" s="147"/>
      <c r="E170" s="271"/>
      <c r="F170" s="979"/>
      <c r="G170" s="147"/>
      <c r="H170" s="146"/>
      <c r="I170" s="980"/>
      <c r="J170" s="504"/>
      <c r="K170" s="970"/>
      <c r="L170" s="984"/>
      <c r="M170" s="980"/>
      <c r="N170" s="147"/>
      <c r="O170" s="154"/>
      <c r="P170" s="379"/>
      <c r="Q170" s="504"/>
      <c r="R170" s="153"/>
      <c r="S170" s="147"/>
      <c r="T170" s="507"/>
      <c r="U170" s="605"/>
      <c r="V170" s="577" t="s">
        <v>953</v>
      </c>
      <c r="W170" s="634"/>
      <c r="X170" s="634">
        <v>70</v>
      </c>
      <c r="Y170" s="684"/>
      <c r="Z170" s="407"/>
      <c r="AA170" s="147"/>
      <c r="AB170" s="163"/>
      <c r="AC170" s="503"/>
      <c r="AD170" s="986"/>
      <c r="AE170" s="967"/>
      <c r="AF170" s="507"/>
      <c r="AG170" s="507"/>
      <c r="AH170" s="507"/>
      <c r="AI170" s="507"/>
      <c r="AJ170" s="507"/>
      <c r="AK170" s="721">
        <v>231000</v>
      </c>
      <c r="AL170" s="507"/>
      <c r="AM170" s="507"/>
      <c r="AN170" s="507"/>
      <c r="AO170" s="507"/>
      <c r="AP170" s="507"/>
      <c r="AQ170" s="507"/>
      <c r="AR170" s="507"/>
      <c r="AS170" s="507"/>
      <c r="AT170" s="507"/>
      <c r="AU170" s="507"/>
      <c r="AV170" s="970"/>
    </row>
    <row r="171" spans="1:48" ht="14.4" hidden="1" customHeight="1">
      <c r="A171" s="145"/>
      <c r="B171" s="146"/>
      <c r="C171" s="156"/>
      <c r="D171" s="147"/>
      <c r="E171" s="271"/>
      <c r="F171" s="979"/>
      <c r="G171" s="147"/>
      <c r="H171" s="146"/>
      <c r="I171" s="980"/>
      <c r="J171" s="504"/>
      <c r="K171" s="970"/>
      <c r="L171" s="984"/>
      <c r="M171" s="980"/>
      <c r="N171" s="147"/>
      <c r="O171" s="154"/>
      <c r="P171" s="379"/>
      <c r="Q171" s="504"/>
      <c r="R171" s="153"/>
      <c r="S171" s="147"/>
      <c r="T171" s="507"/>
      <c r="U171" s="605"/>
      <c r="V171" s="577" t="s">
        <v>953</v>
      </c>
      <c r="W171" s="634"/>
      <c r="X171" s="634"/>
      <c r="Y171" s="684">
        <v>32</v>
      </c>
      <c r="Z171" s="407"/>
      <c r="AA171" s="147"/>
      <c r="AB171" s="163"/>
      <c r="AC171" s="503"/>
      <c r="AD171" s="986"/>
      <c r="AE171" s="967"/>
      <c r="AF171" s="507"/>
      <c r="AG171" s="507"/>
      <c r="AH171" s="507"/>
      <c r="AI171" s="507"/>
      <c r="AJ171" s="507"/>
      <c r="AK171" s="721">
        <v>115500</v>
      </c>
      <c r="AL171" s="507"/>
      <c r="AM171" s="507"/>
      <c r="AN171" s="507"/>
      <c r="AO171" s="507"/>
      <c r="AP171" s="507"/>
      <c r="AQ171" s="507"/>
      <c r="AR171" s="507"/>
      <c r="AS171" s="507"/>
      <c r="AT171" s="507"/>
      <c r="AU171" s="507"/>
      <c r="AV171" s="970"/>
    </row>
    <row r="172" spans="1:48" hidden="1">
      <c r="A172" s="145"/>
      <c r="C172" s="220"/>
      <c r="D172" s="147"/>
      <c r="E172" s="271"/>
      <c r="F172" s="979"/>
      <c r="G172" s="147"/>
      <c r="H172" s="146"/>
      <c r="I172" s="980"/>
      <c r="J172" s="151"/>
      <c r="K172" s="970"/>
      <c r="L172" s="984"/>
      <c r="M172" s="980"/>
      <c r="N172" s="147"/>
      <c r="O172" s="154"/>
      <c r="P172" s="152"/>
      <c r="Q172" s="151"/>
      <c r="R172" s="153"/>
      <c r="S172" s="147"/>
      <c r="T172" s="507"/>
      <c r="U172" s="605">
        <v>2</v>
      </c>
      <c r="V172" s="577" t="s">
        <v>958</v>
      </c>
      <c r="W172" s="634">
        <v>82</v>
      </c>
      <c r="X172" s="634">
        <v>0</v>
      </c>
      <c r="Y172" s="684"/>
      <c r="Z172" s="407">
        <f>SUM(W172:Y172)</f>
        <v>82</v>
      </c>
      <c r="AA172" s="147"/>
      <c r="AB172" s="163"/>
      <c r="AC172" s="152"/>
      <c r="AD172" s="986"/>
      <c r="AE172" s="967"/>
      <c r="AF172" s="507"/>
      <c r="AG172" s="507"/>
      <c r="AH172" s="507"/>
      <c r="AI172" s="507"/>
      <c r="AJ172" s="507"/>
      <c r="AK172" s="721">
        <v>15000</v>
      </c>
      <c r="AL172" s="507"/>
      <c r="AM172" s="507"/>
      <c r="AN172" s="507"/>
      <c r="AO172" s="507"/>
      <c r="AP172" s="507"/>
      <c r="AQ172" s="507"/>
      <c r="AR172" s="507"/>
      <c r="AS172" s="507"/>
      <c r="AT172" s="507"/>
      <c r="AU172" s="507"/>
      <c r="AV172" s="970"/>
    </row>
    <row r="173" spans="1:48" hidden="1">
      <c r="A173" s="145"/>
      <c r="B173" s="157"/>
      <c r="C173" s="220"/>
      <c r="D173" s="147"/>
      <c r="E173" s="271"/>
      <c r="F173" s="979"/>
      <c r="G173" s="147"/>
      <c r="H173" s="146"/>
      <c r="I173" s="980"/>
      <c r="J173" s="151"/>
      <c r="K173" s="970"/>
      <c r="L173" s="984"/>
      <c r="M173" s="980"/>
      <c r="N173" s="147"/>
      <c r="O173" s="154"/>
      <c r="P173" s="152"/>
      <c r="Q173" s="151"/>
      <c r="R173" s="153"/>
      <c r="S173" s="147"/>
      <c r="T173" s="507"/>
      <c r="U173" s="605"/>
      <c r="V173" s="577" t="s">
        <v>958</v>
      </c>
      <c r="W173" s="634"/>
      <c r="X173" s="634">
        <v>0</v>
      </c>
      <c r="Y173" s="684">
        <v>30</v>
      </c>
      <c r="Z173" s="407"/>
      <c r="AA173" s="147"/>
      <c r="AB173" s="163"/>
      <c r="AC173" s="152"/>
      <c r="AD173" s="986"/>
      <c r="AE173" s="967"/>
      <c r="AF173" s="507"/>
      <c r="AG173" s="507"/>
      <c r="AH173" s="507"/>
      <c r="AI173" s="507"/>
      <c r="AJ173" s="507"/>
      <c r="AK173" s="721">
        <v>5000</v>
      </c>
      <c r="AL173" s="507"/>
      <c r="AM173" s="507"/>
      <c r="AN173" s="507"/>
      <c r="AO173" s="507"/>
      <c r="AP173" s="507"/>
      <c r="AQ173" s="507"/>
      <c r="AR173" s="507"/>
      <c r="AS173" s="507"/>
      <c r="AT173" s="507"/>
      <c r="AU173" s="507"/>
      <c r="AV173" s="970"/>
    </row>
    <row r="174" spans="1:48" hidden="1">
      <c r="A174" s="129"/>
      <c r="B174" s="137"/>
      <c r="C174" s="141"/>
      <c r="D174" s="131"/>
      <c r="E174" s="140"/>
      <c r="F174" s="992"/>
      <c r="G174" s="131"/>
      <c r="H174" s="130"/>
      <c r="I174" s="985"/>
      <c r="J174" s="135"/>
      <c r="K174" s="971"/>
      <c r="L174" s="994"/>
      <c r="M174" s="985"/>
      <c r="N174" s="131"/>
      <c r="O174" s="138"/>
      <c r="P174" s="136"/>
      <c r="Q174" s="135"/>
      <c r="R174" s="137"/>
      <c r="S174" s="131"/>
      <c r="T174" s="508"/>
      <c r="U174" s="606"/>
      <c r="V174" s="578"/>
      <c r="W174" s="646"/>
      <c r="X174" s="667"/>
      <c r="Y174" s="701"/>
      <c r="Z174" s="413"/>
      <c r="AA174" s="131"/>
      <c r="AB174" s="227"/>
      <c r="AC174" s="136"/>
      <c r="AD174" s="987"/>
      <c r="AE174" s="968"/>
      <c r="AF174" s="508"/>
      <c r="AG174" s="508"/>
      <c r="AH174" s="508"/>
      <c r="AI174" s="508"/>
      <c r="AJ174" s="508"/>
      <c r="AK174" s="723"/>
      <c r="AL174" s="508"/>
      <c r="AM174" s="508"/>
      <c r="AN174" s="508"/>
      <c r="AO174" s="508"/>
      <c r="AP174" s="508"/>
      <c r="AQ174" s="508"/>
      <c r="AR174" s="508"/>
      <c r="AS174" s="508"/>
      <c r="AT174" s="508"/>
      <c r="AU174" s="508"/>
      <c r="AV174" s="971"/>
    </row>
    <row r="175" spans="1:48" hidden="1">
      <c r="A175" s="185" t="s">
        <v>665</v>
      </c>
      <c r="B175" s="176" t="s">
        <v>25</v>
      </c>
      <c r="C175" s="184" t="s">
        <v>743</v>
      </c>
      <c r="D175" s="170"/>
      <c r="E175" s="278"/>
      <c r="F175" s="978"/>
      <c r="G175" s="219" t="s">
        <v>25</v>
      </c>
      <c r="H175" s="154" t="s">
        <v>739</v>
      </c>
      <c r="I175" s="996">
        <v>14460</v>
      </c>
      <c r="J175" s="174"/>
      <c r="K175" s="969" t="s">
        <v>763</v>
      </c>
      <c r="L175" s="1001" t="s">
        <v>46</v>
      </c>
      <c r="M175" s="996"/>
      <c r="N175" s="988" t="s">
        <v>762</v>
      </c>
      <c r="O175" s="989"/>
      <c r="P175" s="175"/>
      <c r="Q175" s="174"/>
      <c r="R175" s="176" t="s">
        <v>150</v>
      </c>
      <c r="S175" s="170" t="s">
        <v>24</v>
      </c>
      <c r="T175" s="506">
        <v>5</v>
      </c>
      <c r="U175" s="597">
        <v>1</v>
      </c>
      <c r="V175" s="575" t="s">
        <v>109</v>
      </c>
      <c r="W175" s="619">
        <v>0</v>
      </c>
      <c r="X175" s="665">
        <v>0</v>
      </c>
      <c r="Y175" s="699">
        <v>84</v>
      </c>
      <c r="Z175" s="391">
        <f>SUM(W175:Y175)</f>
        <v>84</v>
      </c>
      <c r="AA175" s="183"/>
      <c r="AB175" s="181"/>
      <c r="AC175" s="168"/>
      <c r="AD175" s="995"/>
      <c r="AE175" s="966"/>
      <c r="AF175" s="506"/>
      <c r="AG175" s="506"/>
      <c r="AH175" s="506"/>
      <c r="AI175" s="506"/>
      <c r="AJ175" s="506"/>
      <c r="AK175" s="722">
        <v>10000</v>
      </c>
      <c r="AL175" s="506"/>
      <c r="AM175" s="506"/>
      <c r="AN175" s="506"/>
      <c r="AO175" s="506"/>
      <c r="AP175" s="506"/>
      <c r="AQ175" s="506"/>
      <c r="AR175" s="506"/>
      <c r="AS175" s="506"/>
      <c r="AT175" s="506"/>
      <c r="AU175" s="506"/>
      <c r="AV175" s="969"/>
    </row>
    <row r="176" spans="1:48" hidden="1">
      <c r="A176" s="145"/>
      <c r="B176" s="153" t="s">
        <v>16</v>
      </c>
      <c r="C176" s="164" t="s">
        <v>441</v>
      </c>
      <c r="D176" s="147"/>
      <c r="E176" s="271"/>
      <c r="F176" s="979"/>
      <c r="G176" s="147" t="s">
        <v>16</v>
      </c>
      <c r="H176" s="147" t="s">
        <v>726</v>
      </c>
      <c r="I176" s="980"/>
      <c r="J176" s="151"/>
      <c r="K176" s="970"/>
      <c r="L176" s="984"/>
      <c r="M176" s="980"/>
      <c r="N176" s="147" t="s">
        <v>25</v>
      </c>
      <c r="O176" s="203" t="s">
        <v>52</v>
      </c>
      <c r="P176" s="379">
        <v>1</v>
      </c>
      <c r="Q176" s="378">
        <v>9432</v>
      </c>
      <c r="R176" s="153"/>
      <c r="S176" s="147"/>
      <c r="T176" s="507"/>
      <c r="U176" s="598">
        <v>2</v>
      </c>
      <c r="V176" s="576" t="s">
        <v>88</v>
      </c>
      <c r="W176" s="620">
        <v>0</v>
      </c>
      <c r="X176" s="666">
        <v>0</v>
      </c>
      <c r="Y176" s="700">
        <v>59</v>
      </c>
      <c r="Z176" s="385">
        <f>SUM(W176:Y176)</f>
        <v>59</v>
      </c>
      <c r="AA176" s="147"/>
      <c r="AB176" s="154"/>
      <c r="AC176" s="145"/>
      <c r="AD176" s="986"/>
      <c r="AE176" s="967"/>
      <c r="AF176" s="507"/>
      <c r="AG176" s="507"/>
      <c r="AH176" s="507"/>
      <c r="AI176" s="507"/>
      <c r="AJ176" s="507"/>
      <c r="AK176" s="721">
        <v>20000</v>
      </c>
      <c r="AL176" s="507"/>
      <c r="AM176" s="507"/>
      <c r="AN176" s="507"/>
      <c r="AO176" s="507"/>
      <c r="AP176" s="507"/>
      <c r="AQ176" s="507"/>
      <c r="AR176" s="507"/>
      <c r="AS176" s="507"/>
      <c r="AT176" s="507"/>
      <c r="AU176" s="507"/>
      <c r="AV176" s="970"/>
    </row>
    <row r="177" spans="1:48" hidden="1">
      <c r="A177" s="145"/>
      <c r="B177" s="153" t="s">
        <v>18</v>
      </c>
      <c r="C177" s="162" t="s">
        <v>38</v>
      </c>
      <c r="D177" s="147"/>
      <c r="E177" s="271"/>
      <c r="F177" s="979"/>
      <c r="G177" s="147" t="s">
        <v>18</v>
      </c>
      <c r="H177" s="147" t="s">
        <v>19</v>
      </c>
      <c r="I177" s="980"/>
      <c r="J177" s="151"/>
      <c r="K177" s="970"/>
      <c r="L177" s="984"/>
      <c r="M177" s="980"/>
      <c r="N177" s="147" t="s">
        <v>16</v>
      </c>
      <c r="O177" s="163" t="s">
        <v>17</v>
      </c>
      <c r="P177" s="379">
        <v>3</v>
      </c>
      <c r="Q177" s="390">
        <v>6.8</v>
      </c>
      <c r="S177" s="388"/>
      <c r="T177" s="586"/>
      <c r="U177" s="598">
        <v>3</v>
      </c>
      <c r="V177" s="571" t="s">
        <v>1023</v>
      </c>
      <c r="W177" s="620">
        <v>0</v>
      </c>
      <c r="X177" s="666">
        <v>0</v>
      </c>
      <c r="Y177" s="700">
        <v>15</v>
      </c>
      <c r="Z177" s="389">
        <f>SUM(W177:Y177)</f>
        <v>15</v>
      </c>
      <c r="AA177" s="147"/>
      <c r="AB177" s="154"/>
      <c r="AC177" s="145"/>
      <c r="AD177" s="986"/>
      <c r="AE177" s="967"/>
      <c r="AF177" s="507"/>
      <c r="AG177" s="507"/>
      <c r="AH177" s="507"/>
      <c r="AI177" s="507"/>
      <c r="AJ177" s="507"/>
      <c r="AK177" s="721">
        <v>10000</v>
      </c>
      <c r="AL177" s="507"/>
      <c r="AM177" s="507"/>
      <c r="AN177" s="507"/>
      <c r="AO177" s="507"/>
      <c r="AP177" s="507"/>
      <c r="AQ177" s="507"/>
      <c r="AR177" s="507"/>
      <c r="AS177" s="507"/>
      <c r="AT177" s="507"/>
      <c r="AU177" s="507"/>
      <c r="AV177" s="970"/>
    </row>
    <row r="178" spans="1:48" ht="67.5" hidden="1" customHeight="1">
      <c r="A178" s="145"/>
      <c r="B178" s="157" t="s">
        <v>12</v>
      </c>
      <c r="C178" s="156" t="s">
        <v>725</v>
      </c>
      <c r="D178" s="147"/>
      <c r="E178" s="271"/>
      <c r="F178" s="979"/>
      <c r="G178" s="147"/>
      <c r="H178" s="146"/>
      <c r="I178" s="980"/>
      <c r="J178" s="151"/>
      <c r="K178" s="970"/>
      <c r="L178" s="984"/>
      <c r="M178" s="980"/>
      <c r="N178" s="147"/>
      <c r="O178" s="163"/>
      <c r="P178" s="379"/>
      <c r="Q178" s="152"/>
      <c r="S178" s="388"/>
      <c r="T178" s="586"/>
      <c r="U178" s="598">
        <v>4</v>
      </c>
      <c r="V178" s="571" t="s">
        <v>585</v>
      </c>
      <c r="W178" s="620">
        <v>0</v>
      </c>
      <c r="X178" s="666">
        <v>15</v>
      </c>
      <c r="Y178" s="700"/>
      <c r="Z178" s="412">
        <f>SUM(W178:Y178)</f>
        <v>15</v>
      </c>
      <c r="AA178" s="147"/>
      <c r="AB178" s="154"/>
      <c r="AC178" s="145"/>
      <c r="AD178" s="986"/>
      <c r="AE178" s="967"/>
      <c r="AF178" s="507"/>
      <c r="AG178" s="507"/>
      <c r="AH178" s="507"/>
      <c r="AI178" s="507"/>
      <c r="AJ178" s="507"/>
      <c r="AK178" s="721">
        <v>16500</v>
      </c>
      <c r="AL178" s="507"/>
      <c r="AM178" s="507"/>
      <c r="AN178" s="507"/>
      <c r="AO178" s="507"/>
      <c r="AP178" s="507"/>
      <c r="AQ178" s="507"/>
      <c r="AR178" s="507"/>
      <c r="AS178" s="507"/>
      <c r="AT178" s="507"/>
      <c r="AU178" s="507"/>
      <c r="AV178" s="970"/>
    </row>
    <row r="179" spans="1:48" hidden="1">
      <c r="A179" s="145"/>
      <c r="B179" s="153" t="s">
        <v>8</v>
      </c>
      <c r="C179" s="220" t="s">
        <v>741</v>
      </c>
      <c r="D179" s="147"/>
      <c r="E179" s="271"/>
      <c r="F179" s="979"/>
      <c r="G179" s="147"/>
      <c r="H179" s="146"/>
      <c r="I179" s="980"/>
      <c r="J179" s="151"/>
      <c r="K179" s="970"/>
      <c r="L179" s="984"/>
      <c r="M179" s="980"/>
      <c r="N179" s="147"/>
      <c r="O179" s="163"/>
      <c r="P179" s="379"/>
      <c r="Q179" s="152"/>
      <c r="R179" s="411"/>
      <c r="S179" s="388"/>
      <c r="T179" s="586"/>
      <c r="U179" s="598"/>
      <c r="V179" s="571" t="s">
        <v>585</v>
      </c>
      <c r="W179" s="620">
        <v>0</v>
      </c>
      <c r="X179" s="666"/>
      <c r="Y179" s="700">
        <v>61</v>
      </c>
      <c r="Z179" s="412">
        <f>SUM(W180:Y180)</f>
        <v>55</v>
      </c>
      <c r="AA179" s="147"/>
      <c r="AB179" s="154"/>
      <c r="AC179" s="145"/>
      <c r="AD179" s="986"/>
      <c r="AE179" s="967"/>
      <c r="AF179" s="507"/>
      <c r="AG179" s="507"/>
      <c r="AH179" s="507"/>
      <c r="AI179" s="507"/>
      <c r="AJ179" s="507"/>
      <c r="AK179" s="721">
        <v>8250</v>
      </c>
      <c r="AL179" s="507"/>
      <c r="AM179" s="507"/>
      <c r="AN179" s="507"/>
      <c r="AO179" s="507"/>
      <c r="AP179" s="507"/>
      <c r="AQ179" s="507"/>
      <c r="AR179" s="507"/>
      <c r="AS179" s="507"/>
      <c r="AT179" s="507"/>
      <c r="AU179" s="507"/>
      <c r="AV179" s="970"/>
    </row>
    <row r="180" spans="1:48" hidden="1">
      <c r="A180" s="145"/>
      <c r="B180" s="153"/>
      <c r="C180" s="220"/>
      <c r="D180" s="147"/>
      <c r="E180" s="271"/>
      <c r="F180" s="979"/>
      <c r="G180" s="147"/>
      <c r="H180" s="146"/>
      <c r="I180" s="980"/>
      <c r="J180" s="151"/>
      <c r="K180" s="970"/>
      <c r="L180" s="984"/>
      <c r="M180" s="980"/>
      <c r="N180" s="147"/>
      <c r="O180" s="163"/>
      <c r="P180" s="379"/>
      <c r="Q180" s="152"/>
      <c r="R180" s="411"/>
      <c r="S180" s="388"/>
      <c r="T180" s="586"/>
      <c r="U180" s="598">
        <v>5</v>
      </c>
      <c r="V180" s="571" t="s">
        <v>56</v>
      </c>
      <c r="W180" s="620">
        <v>0</v>
      </c>
      <c r="X180" s="666">
        <v>55</v>
      </c>
      <c r="Y180" s="700">
        <v>0</v>
      </c>
      <c r="Z180" s="406"/>
      <c r="AA180" s="147"/>
      <c r="AB180" s="154"/>
      <c r="AC180" s="145"/>
      <c r="AD180" s="986"/>
      <c r="AE180" s="967"/>
      <c r="AF180" s="507"/>
      <c r="AG180" s="507"/>
      <c r="AH180" s="507"/>
      <c r="AI180" s="507"/>
      <c r="AJ180" s="507"/>
      <c r="AK180" s="721">
        <v>25000</v>
      </c>
      <c r="AL180" s="507"/>
      <c r="AM180" s="507"/>
      <c r="AN180" s="507"/>
      <c r="AO180" s="507"/>
      <c r="AP180" s="507"/>
      <c r="AQ180" s="507"/>
      <c r="AR180" s="507"/>
      <c r="AS180" s="507"/>
      <c r="AT180" s="507"/>
      <c r="AU180" s="507"/>
      <c r="AV180" s="970"/>
    </row>
    <row r="181" spans="1:48" ht="27.6" hidden="1">
      <c r="A181" s="145"/>
      <c r="B181" s="153"/>
      <c r="C181" s="220"/>
      <c r="D181" s="147"/>
      <c r="E181" s="271"/>
      <c r="F181" s="979"/>
      <c r="G181" s="147"/>
      <c r="H181" s="146"/>
      <c r="I181" s="980"/>
      <c r="J181" s="151"/>
      <c r="K181" s="970"/>
      <c r="L181" s="984"/>
      <c r="M181" s="980"/>
      <c r="N181" s="147"/>
      <c r="O181" s="163"/>
      <c r="P181" s="379"/>
      <c r="Q181" s="151"/>
      <c r="R181" s="153" t="s">
        <v>16</v>
      </c>
      <c r="S181" s="147" t="s">
        <v>15</v>
      </c>
      <c r="T181" s="507">
        <v>2</v>
      </c>
      <c r="U181" s="513">
        <v>1</v>
      </c>
      <c r="V181" s="577" t="s">
        <v>953</v>
      </c>
      <c r="W181" s="634">
        <v>95</v>
      </c>
      <c r="X181" s="634" t="s">
        <v>950</v>
      </c>
      <c r="Y181" s="684" t="s">
        <v>950</v>
      </c>
      <c r="Z181" s="385">
        <f>SUM(W181:Y181)</f>
        <v>95</v>
      </c>
      <c r="AA181" s="147"/>
      <c r="AB181" s="154"/>
      <c r="AC181" s="145"/>
      <c r="AD181" s="986"/>
      <c r="AE181" s="967"/>
      <c r="AF181" s="507"/>
      <c r="AG181" s="507"/>
      <c r="AH181" s="507"/>
      <c r="AI181" s="507"/>
      <c r="AJ181" s="507"/>
      <c r="AK181" s="721">
        <v>350000</v>
      </c>
      <c r="AL181" s="507"/>
      <c r="AM181" s="507"/>
      <c r="AN181" s="507"/>
      <c r="AO181" s="507"/>
      <c r="AP181" s="507"/>
      <c r="AQ181" s="507"/>
      <c r="AR181" s="507"/>
      <c r="AS181" s="507"/>
      <c r="AT181" s="507"/>
      <c r="AU181" s="507"/>
      <c r="AV181" s="970"/>
    </row>
    <row r="182" spans="1:48" hidden="1">
      <c r="A182" s="145"/>
      <c r="B182" s="153"/>
      <c r="C182" s="220"/>
      <c r="D182" s="147"/>
      <c r="E182" s="271"/>
      <c r="F182" s="979"/>
      <c r="G182" s="147"/>
      <c r="H182" s="146"/>
      <c r="I182" s="980"/>
      <c r="J182" s="151"/>
      <c r="K182" s="970"/>
      <c r="L182" s="984"/>
      <c r="M182" s="980"/>
      <c r="N182" s="147"/>
      <c r="O182" s="163"/>
      <c r="P182" s="379"/>
      <c r="Q182" s="151"/>
      <c r="R182" s="153"/>
      <c r="S182" s="147"/>
      <c r="T182" s="507"/>
      <c r="U182" s="599">
        <v>2</v>
      </c>
      <c r="V182" s="161" t="s">
        <v>958</v>
      </c>
      <c r="W182" s="636"/>
      <c r="X182" s="639" t="s">
        <v>950</v>
      </c>
      <c r="Y182" s="683">
        <v>23</v>
      </c>
      <c r="Z182" s="385">
        <f>SUM(W182:Y182)</f>
        <v>23</v>
      </c>
      <c r="AA182" s="147"/>
      <c r="AB182" s="154"/>
      <c r="AC182" s="145"/>
      <c r="AD182" s="986"/>
      <c r="AE182" s="967"/>
      <c r="AF182" s="507"/>
      <c r="AG182" s="507"/>
      <c r="AH182" s="507"/>
      <c r="AI182" s="507"/>
      <c r="AJ182" s="507"/>
      <c r="AK182" s="721">
        <v>5000</v>
      </c>
      <c r="AL182" s="507"/>
      <c r="AM182" s="507"/>
      <c r="AN182" s="507"/>
      <c r="AO182" s="507"/>
      <c r="AP182" s="507"/>
      <c r="AQ182" s="507"/>
      <c r="AR182" s="507"/>
      <c r="AS182" s="507"/>
      <c r="AT182" s="507"/>
      <c r="AU182" s="507"/>
      <c r="AV182" s="970"/>
    </row>
    <row r="183" spans="1:48" hidden="1">
      <c r="A183" s="145"/>
      <c r="B183" s="153"/>
      <c r="C183" s="220"/>
      <c r="D183" s="147"/>
      <c r="E183" s="271"/>
      <c r="F183" s="979"/>
      <c r="G183" s="147"/>
      <c r="H183" s="146"/>
      <c r="I183" s="980"/>
      <c r="J183" s="504"/>
      <c r="K183" s="970"/>
      <c r="L183" s="984"/>
      <c r="M183" s="980"/>
      <c r="N183" s="147"/>
      <c r="O183" s="163"/>
      <c r="P183" s="379"/>
      <c r="Q183" s="504"/>
      <c r="R183" s="153"/>
      <c r="S183" s="147"/>
      <c r="T183" s="507"/>
      <c r="U183" s="599"/>
      <c r="V183" s="161" t="s">
        <v>958</v>
      </c>
      <c r="W183" s="636">
        <v>97</v>
      </c>
      <c r="X183" s="639" t="s">
        <v>950</v>
      </c>
      <c r="Y183" s="683"/>
      <c r="Z183" s="385"/>
      <c r="AA183" s="147"/>
      <c r="AB183" s="154"/>
      <c r="AC183" s="145"/>
      <c r="AD183" s="986"/>
      <c r="AE183" s="967"/>
      <c r="AF183" s="507"/>
      <c r="AG183" s="507"/>
      <c r="AH183" s="507"/>
      <c r="AI183" s="507"/>
      <c r="AJ183" s="507"/>
      <c r="AK183" s="721">
        <v>15000</v>
      </c>
      <c r="AL183" s="507"/>
      <c r="AM183" s="507"/>
      <c r="AN183" s="507"/>
      <c r="AO183" s="507"/>
      <c r="AP183" s="507"/>
      <c r="AQ183" s="507"/>
      <c r="AR183" s="507"/>
      <c r="AS183" s="507"/>
      <c r="AT183" s="507"/>
      <c r="AU183" s="507"/>
      <c r="AV183" s="970"/>
    </row>
    <row r="184" spans="1:48" hidden="1">
      <c r="A184" s="129"/>
      <c r="B184" s="400"/>
      <c r="C184" s="398"/>
      <c r="D184" s="131"/>
      <c r="E184" s="140"/>
      <c r="F184" s="992"/>
      <c r="G184" s="131"/>
      <c r="H184" s="130"/>
      <c r="I184" s="985"/>
      <c r="J184" s="135"/>
      <c r="K184" s="971"/>
      <c r="L184" s="994"/>
      <c r="M184" s="985"/>
      <c r="N184" s="131"/>
      <c r="O184" s="138"/>
      <c r="P184" s="136"/>
      <c r="Q184" s="135"/>
      <c r="R184" s="137"/>
      <c r="S184" s="131"/>
      <c r="T184" s="508"/>
      <c r="U184" s="600"/>
      <c r="V184" s="573"/>
      <c r="W184" s="632"/>
      <c r="X184" s="652"/>
      <c r="Y184" s="686"/>
      <c r="Z184" s="394"/>
      <c r="AA184" s="131"/>
      <c r="AB184" s="138"/>
      <c r="AC184" s="129"/>
      <c r="AD184" s="987"/>
      <c r="AE184" s="968"/>
      <c r="AF184" s="508"/>
      <c r="AG184" s="508"/>
      <c r="AH184" s="508"/>
      <c r="AI184" s="508"/>
      <c r="AJ184" s="508"/>
      <c r="AK184" s="723"/>
      <c r="AL184" s="508"/>
      <c r="AM184" s="508"/>
      <c r="AN184" s="508"/>
      <c r="AO184" s="508"/>
      <c r="AP184" s="508"/>
      <c r="AQ184" s="508"/>
      <c r="AR184" s="508"/>
      <c r="AS184" s="508"/>
      <c r="AT184" s="508"/>
      <c r="AU184" s="508"/>
      <c r="AV184" s="971"/>
    </row>
    <row r="185" spans="1:48" hidden="1">
      <c r="A185" s="185">
        <v>10</v>
      </c>
      <c r="B185" s="176" t="s">
        <v>25</v>
      </c>
      <c r="C185" s="184" t="s">
        <v>743</v>
      </c>
      <c r="D185" s="170"/>
      <c r="E185" s="278"/>
      <c r="F185" s="978"/>
      <c r="G185" s="219" t="s">
        <v>25</v>
      </c>
      <c r="H185" s="154" t="s">
        <v>739</v>
      </c>
      <c r="I185" s="996">
        <v>5800</v>
      </c>
      <c r="J185" s="174"/>
      <c r="K185" s="969" t="s">
        <v>761</v>
      </c>
      <c r="L185" s="277" t="s">
        <v>46</v>
      </c>
      <c r="M185" s="996"/>
      <c r="N185" s="147" t="s">
        <v>25</v>
      </c>
      <c r="O185" s="163" t="s">
        <v>52</v>
      </c>
      <c r="P185" s="379">
        <v>1</v>
      </c>
      <c r="Q185" s="410"/>
      <c r="R185" s="176" t="s">
        <v>25</v>
      </c>
      <c r="S185" s="170" t="s">
        <v>24</v>
      </c>
      <c r="T185" s="506">
        <v>2</v>
      </c>
      <c r="U185" s="597">
        <v>1</v>
      </c>
      <c r="V185" s="570" t="s">
        <v>1023</v>
      </c>
      <c r="W185" s="619">
        <v>0</v>
      </c>
      <c r="X185" s="659">
        <v>0</v>
      </c>
      <c r="Y185" s="687">
        <v>75</v>
      </c>
      <c r="Z185" s="391">
        <f>SUM(W185:Y185)</f>
        <v>75</v>
      </c>
      <c r="AA185" s="183"/>
      <c r="AB185" s="181"/>
      <c r="AC185" s="168"/>
      <c r="AD185" s="167"/>
      <c r="AE185" s="166"/>
      <c r="AF185" s="506"/>
      <c r="AG185" s="506"/>
      <c r="AH185" s="506"/>
      <c r="AI185" s="506"/>
      <c r="AJ185" s="506"/>
      <c r="AK185" s="721">
        <v>10000</v>
      </c>
      <c r="AL185" s="506"/>
      <c r="AM185" s="506"/>
      <c r="AN185" s="506"/>
      <c r="AO185" s="506"/>
      <c r="AP185" s="506"/>
      <c r="AQ185" s="506"/>
      <c r="AR185" s="506"/>
      <c r="AS185" s="506"/>
      <c r="AT185" s="506"/>
      <c r="AU185" s="506"/>
      <c r="AV185" s="969"/>
    </row>
    <row r="186" spans="1:48" hidden="1">
      <c r="A186" s="145"/>
      <c r="B186" s="153" t="s">
        <v>16</v>
      </c>
      <c r="C186" s="164" t="s">
        <v>441</v>
      </c>
      <c r="D186" s="147"/>
      <c r="E186" s="271"/>
      <c r="F186" s="979"/>
      <c r="G186" s="147" t="s">
        <v>16</v>
      </c>
      <c r="H186" s="147" t="s">
        <v>726</v>
      </c>
      <c r="I186" s="980"/>
      <c r="J186" s="151"/>
      <c r="K186" s="970"/>
      <c r="L186" s="155"/>
      <c r="M186" s="980"/>
      <c r="N186" s="147" t="s">
        <v>16</v>
      </c>
      <c r="O186" s="154" t="s">
        <v>17</v>
      </c>
      <c r="P186" s="379">
        <v>2</v>
      </c>
      <c r="Q186" s="380">
        <v>6</v>
      </c>
      <c r="R186" s="153"/>
      <c r="S186" s="147"/>
      <c r="T186" s="507"/>
      <c r="U186" s="598">
        <v>2</v>
      </c>
      <c r="V186" s="571" t="s">
        <v>88</v>
      </c>
      <c r="W186" s="620">
        <v>0</v>
      </c>
      <c r="X186" s="660">
        <v>0</v>
      </c>
      <c r="Y186" s="688">
        <v>56</v>
      </c>
      <c r="Z186" s="385">
        <f>SUM(W186:Y186)</f>
        <v>56</v>
      </c>
      <c r="AA186" s="147"/>
      <c r="AB186" s="154"/>
      <c r="AC186" s="145"/>
      <c r="AD186" s="144"/>
      <c r="AE186" s="143"/>
      <c r="AF186" s="507"/>
      <c r="AG186" s="507"/>
      <c r="AH186" s="507"/>
      <c r="AI186" s="507"/>
      <c r="AJ186" s="507"/>
      <c r="AK186" s="721">
        <v>20000</v>
      </c>
      <c r="AL186" s="507"/>
      <c r="AM186" s="507"/>
      <c r="AN186" s="507"/>
      <c r="AO186" s="507"/>
      <c r="AP186" s="507"/>
      <c r="AQ186" s="507"/>
      <c r="AR186" s="507"/>
      <c r="AS186" s="507"/>
      <c r="AT186" s="507"/>
      <c r="AU186" s="507"/>
      <c r="AV186" s="970"/>
    </row>
    <row r="187" spans="1:48" hidden="1">
      <c r="A187" s="145"/>
      <c r="B187" s="153" t="s">
        <v>18</v>
      </c>
      <c r="C187" s="162" t="s">
        <v>38</v>
      </c>
      <c r="D187" s="147"/>
      <c r="E187" s="271"/>
      <c r="F187" s="979"/>
      <c r="G187" s="147" t="s">
        <v>18</v>
      </c>
      <c r="H187" s="147" t="s">
        <v>19</v>
      </c>
      <c r="I187" s="980"/>
      <c r="J187" s="151"/>
      <c r="K187" s="970"/>
      <c r="L187" s="155"/>
      <c r="M187" s="980"/>
      <c r="N187" s="147"/>
      <c r="O187" s="154"/>
      <c r="P187" s="379"/>
      <c r="Q187" s="409"/>
      <c r="S187" s="388"/>
      <c r="T187" s="586"/>
      <c r="U187" s="572"/>
      <c r="V187" s="572"/>
      <c r="W187" s="621"/>
      <c r="X187" s="661"/>
      <c r="Y187" s="689"/>
      <c r="Z187" s="386"/>
      <c r="AA187" s="147"/>
      <c r="AB187" s="154"/>
      <c r="AC187" s="145"/>
      <c r="AD187" s="144"/>
      <c r="AE187" s="143"/>
      <c r="AF187" s="507"/>
      <c r="AG187" s="507"/>
      <c r="AH187" s="507"/>
      <c r="AI187" s="507"/>
      <c r="AJ187" s="507"/>
      <c r="AK187" s="721"/>
      <c r="AL187" s="507"/>
      <c r="AM187" s="507"/>
      <c r="AN187" s="507"/>
      <c r="AO187" s="507"/>
      <c r="AP187" s="507"/>
      <c r="AQ187" s="507"/>
      <c r="AR187" s="507"/>
      <c r="AS187" s="507"/>
      <c r="AT187" s="507"/>
      <c r="AU187" s="507"/>
      <c r="AV187" s="970"/>
    </row>
    <row r="188" spans="1:48" ht="55.2" hidden="1">
      <c r="A188" s="145"/>
      <c r="B188" s="157" t="s">
        <v>12</v>
      </c>
      <c r="C188" s="156" t="s">
        <v>725</v>
      </c>
      <c r="D188" s="147"/>
      <c r="E188" s="271"/>
      <c r="F188" s="979"/>
      <c r="G188" s="147"/>
      <c r="H188" s="146"/>
      <c r="I188" s="980"/>
      <c r="J188" s="151"/>
      <c r="K188" s="970"/>
      <c r="L188" s="155"/>
      <c r="M188" s="980"/>
      <c r="N188" s="147"/>
      <c r="O188" s="307"/>
      <c r="P188" s="379"/>
      <c r="Q188" s="380"/>
      <c r="R188" s="153" t="s">
        <v>16</v>
      </c>
      <c r="S188" s="147" t="s">
        <v>15</v>
      </c>
      <c r="T188" s="507">
        <v>2</v>
      </c>
      <c r="U188" s="513">
        <v>1</v>
      </c>
      <c r="V188" s="161" t="s">
        <v>953</v>
      </c>
      <c r="W188" s="636" t="s">
        <v>950</v>
      </c>
      <c r="X188" s="639">
        <v>58</v>
      </c>
      <c r="Y188" s="685" t="s">
        <v>950</v>
      </c>
      <c r="Z188" s="385">
        <f>SUM(W188:Y188)</f>
        <v>58</v>
      </c>
      <c r="AA188" s="147"/>
      <c r="AB188" s="163"/>
      <c r="AC188" s="152"/>
      <c r="AD188" s="144"/>
      <c r="AE188" s="143"/>
      <c r="AF188" s="507"/>
      <c r="AG188" s="507"/>
      <c r="AH188" s="507"/>
      <c r="AI188" s="507"/>
      <c r="AJ188" s="507"/>
      <c r="AK188" s="721">
        <v>231000</v>
      </c>
      <c r="AL188" s="507"/>
      <c r="AM188" s="507"/>
      <c r="AN188" s="507"/>
      <c r="AO188" s="507"/>
      <c r="AP188" s="507"/>
      <c r="AQ188" s="507"/>
      <c r="AR188" s="507"/>
      <c r="AS188" s="507"/>
      <c r="AT188" s="507"/>
      <c r="AU188" s="507"/>
      <c r="AV188" s="970"/>
    </row>
    <row r="189" spans="1:48" hidden="1">
      <c r="A189" s="145"/>
      <c r="B189" s="157" t="s">
        <v>8</v>
      </c>
      <c r="C189" s="190" t="s">
        <v>741</v>
      </c>
      <c r="D189" s="147"/>
      <c r="E189" s="271"/>
      <c r="F189" s="979"/>
      <c r="G189" s="147"/>
      <c r="H189" s="146"/>
      <c r="I189" s="980"/>
      <c r="J189" s="151"/>
      <c r="K189" s="970"/>
      <c r="L189" s="155"/>
      <c r="M189" s="980"/>
      <c r="N189" s="147"/>
      <c r="O189" s="154"/>
      <c r="P189" s="379"/>
      <c r="Q189" s="380"/>
      <c r="R189" s="153"/>
      <c r="S189" s="147"/>
      <c r="T189" s="507"/>
      <c r="U189" s="599">
        <v>2</v>
      </c>
      <c r="V189" s="161" t="s">
        <v>958</v>
      </c>
      <c r="W189" s="636">
        <v>41</v>
      </c>
      <c r="X189" s="639" t="s">
        <v>950</v>
      </c>
      <c r="Y189" s="685"/>
      <c r="Z189" s="385">
        <f>SUM(W189:Y189)</f>
        <v>41</v>
      </c>
      <c r="AA189" s="147"/>
      <c r="AB189" s="163"/>
      <c r="AC189" s="152"/>
      <c r="AD189" s="144"/>
      <c r="AE189" s="143"/>
      <c r="AF189" s="507"/>
      <c r="AG189" s="507"/>
      <c r="AH189" s="507"/>
      <c r="AI189" s="507"/>
      <c r="AJ189" s="507"/>
      <c r="AK189" s="721">
        <v>15000</v>
      </c>
      <c r="AL189" s="507"/>
      <c r="AM189" s="507"/>
      <c r="AN189" s="507"/>
      <c r="AO189" s="507"/>
      <c r="AP189" s="507"/>
      <c r="AQ189" s="507"/>
      <c r="AR189" s="507"/>
      <c r="AS189" s="507"/>
      <c r="AT189" s="507"/>
      <c r="AU189" s="507"/>
      <c r="AV189" s="970"/>
    </row>
    <row r="190" spans="1:48" hidden="1">
      <c r="A190" s="145"/>
      <c r="B190" s="157"/>
      <c r="C190" s="190"/>
      <c r="D190" s="147"/>
      <c r="E190" s="271"/>
      <c r="F190" s="979"/>
      <c r="G190" s="147"/>
      <c r="H190" s="146"/>
      <c r="I190" s="980"/>
      <c r="J190" s="504"/>
      <c r="K190" s="970"/>
      <c r="L190" s="515"/>
      <c r="M190" s="980"/>
      <c r="N190" s="147"/>
      <c r="O190" s="154"/>
      <c r="P190" s="379"/>
      <c r="Q190" s="380"/>
      <c r="R190" s="153"/>
      <c r="S190" s="147"/>
      <c r="T190" s="507"/>
      <c r="U190" s="599"/>
      <c r="V190" s="161" t="s">
        <v>958</v>
      </c>
      <c r="W190" s="636"/>
      <c r="X190" s="639" t="s">
        <v>950</v>
      </c>
      <c r="Y190" s="685">
        <v>16</v>
      </c>
      <c r="Z190" s="385"/>
      <c r="AA190" s="147"/>
      <c r="AB190" s="163"/>
      <c r="AC190" s="503"/>
      <c r="AD190" s="513"/>
      <c r="AE190" s="507"/>
      <c r="AF190" s="507"/>
      <c r="AG190" s="507"/>
      <c r="AH190" s="507"/>
      <c r="AI190" s="507"/>
      <c r="AJ190" s="507"/>
      <c r="AK190" s="721">
        <v>5000</v>
      </c>
      <c r="AL190" s="507"/>
      <c r="AM190" s="507"/>
      <c r="AN190" s="507"/>
      <c r="AO190" s="507"/>
      <c r="AP190" s="507"/>
      <c r="AQ190" s="507"/>
      <c r="AR190" s="507"/>
      <c r="AS190" s="507"/>
      <c r="AT190" s="507"/>
      <c r="AU190" s="507"/>
      <c r="AV190" s="970"/>
    </row>
    <row r="191" spans="1:48" hidden="1">
      <c r="A191" s="129"/>
      <c r="B191" s="137"/>
      <c r="C191" s="141"/>
      <c r="D191" s="131"/>
      <c r="E191" s="140"/>
      <c r="F191" s="992"/>
      <c r="G191" s="131"/>
      <c r="H191" s="130"/>
      <c r="I191" s="985"/>
      <c r="J191" s="135"/>
      <c r="K191" s="971"/>
      <c r="L191" s="139"/>
      <c r="M191" s="985"/>
      <c r="N191" s="131"/>
      <c r="O191" s="138"/>
      <c r="P191" s="136"/>
      <c r="Q191" s="135"/>
      <c r="R191" s="137"/>
      <c r="S191" s="131"/>
      <c r="T191" s="508"/>
      <c r="U191" s="600"/>
      <c r="V191" s="573"/>
      <c r="W191" s="632"/>
      <c r="X191" s="652"/>
      <c r="Y191" s="686"/>
      <c r="Z191" s="394"/>
      <c r="AA191" s="131"/>
      <c r="AB191" s="227"/>
      <c r="AC191" s="136"/>
      <c r="AD191" s="128"/>
      <c r="AE191" s="127"/>
      <c r="AF191" s="508"/>
      <c r="AG191" s="508"/>
      <c r="AH191" s="508"/>
      <c r="AI191" s="508"/>
      <c r="AJ191" s="508"/>
      <c r="AK191" s="723"/>
      <c r="AL191" s="508"/>
      <c r="AM191" s="508"/>
      <c r="AN191" s="508"/>
      <c r="AO191" s="508"/>
      <c r="AP191" s="508"/>
      <c r="AQ191" s="508"/>
      <c r="AR191" s="508"/>
      <c r="AS191" s="508"/>
      <c r="AT191" s="508"/>
      <c r="AU191" s="508"/>
      <c r="AV191" s="971"/>
    </row>
    <row r="192" spans="1:48" hidden="1">
      <c r="A192" s="185" t="s">
        <v>652</v>
      </c>
      <c r="B192" s="176" t="s">
        <v>25</v>
      </c>
      <c r="C192" s="184" t="s">
        <v>743</v>
      </c>
      <c r="D192" s="183"/>
      <c r="E192" s="170"/>
      <c r="F192" s="998"/>
      <c r="G192" s="219" t="s">
        <v>25</v>
      </c>
      <c r="H192" s="154" t="s">
        <v>739</v>
      </c>
      <c r="I192" s="996">
        <v>3309</v>
      </c>
      <c r="J192" s="981"/>
      <c r="K192" s="969" t="s">
        <v>760</v>
      </c>
      <c r="L192" s="1001" t="s">
        <v>46</v>
      </c>
      <c r="M192" s="996"/>
      <c r="N192" s="183"/>
      <c r="O192" s="270"/>
      <c r="P192" s="393"/>
      <c r="Q192" s="392"/>
      <c r="R192" s="176" t="s">
        <v>25</v>
      </c>
      <c r="S192" s="170" t="s">
        <v>24</v>
      </c>
      <c r="T192" s="506">
        <v>4</v>
      </c>
      <c r="U192" s="597">
        <v>1</v>
      </c>
      <c r="V192" s="570" t="s">
        <v>1023</v>
      </c>
      <c r="W192" s="619">
        <v>0</v>
      </c>
      <c r="X192" s="659">
        <v>0</v>
      </c>
      <c r="Y192" s="687">
        <v>40</v>
      </c>
      <c r="Z192" s="385">
        <f>SUM(W192:Y192)</f>
        <v>40</v>
      </c>
      <c r="AA192" s="183"/>
      <c r="AB192" s="181"/>
      <c r="AC192" s="168"/>
      <c r="AD192" s="995"/>
      <c r="AE192" s="966"/>
      <c r="AF192" s="506"/>
      <c r="AG192" s="506"/>
      <c r="AH192" s="506"/>
      <c r="AI192" s="506"/>
      <c r="AJ192" s="506"/>
      <c r="AK192" s="721">
        <v>10000</v>
      </c>
      <c r="AL192" s="506"/>
      <c r="AM192" s="506"/>
      <c r="AN192" s="506"/>
      <c r="AO192" s="506"/>
      <c r="AP192" s="506"/>
      <c r="AQ192" s="506"/>
      <c r="AR192" s="506"/>
      <c r="AS192" s="506"/>
      <c r="AT192" s="506"/>
      <c r="AU192" s="506"/>
      <c r="AV192" s="969"/>
    </row>
    <row r="193" spans="1:48" hidden="1">
      <c r="A193" s="145"/>
      <c r="B193" s="153" t="s">
        <v>16</v>
      </c>
      <c r="C193" s="164" t="s">
        <v>441</v>
      </c>
      <c r="D193" s="147"/>
      <c r="E193" s="163"/>
      <c r="F193" s="979"/>
      <c r="G193" s="147" t="s">
        <v>16</v>
      </c>
      <c r="H193" s="147" t="s">
        <v>726</v>
      </c>
      <c r="I193" s="980"/>
      <c r="J193" s="982"/>
      <c r="K193" s="970"/>
      <c r="L193" s="984"/>
      <c r="M193" s="980"/>
      <c r="N193" s="147"/>
      <c r="O193" s="154"/>
      <c r="P193" s="152"/>
      <c r="Q193" s="151"/>
      <c r="R193" s="153"/>
      <c r="S193" s="147"/>
      <c r="T193" s="507"/>
      <c r="U193" s="598">
        <v>2</v>
      </c>
      <c r="V193" s="571" t="s">
        <v>883</v>
      </c>
      <c r="W193" s="620">
        <v>0</v>
      </c>
      <c r="X193" s="660">
        <v>0</v>
      </c>
      <c r="Y193" s="688">
        <v>8</v>
      </c>
      <c r="Z193" s="385">
        <f>SUM(W193:Y193)</f>
        <v>8</v>
      </c>
      <c r="AA193" s="147"/>
      <c r="AB193" s="154"/>
      <c r="AC193" s="145"/>
      <c r="AD193" s="986"/>
      <c r="AE193" s="967"/>
      <c r="AF193" s="507"/>
      <c r="AG193" s="507"/>
      <c r="AH193" s="507"/>
      <c r="AI193" s="507"/>
      <c r="AJ193" s="507"/>
      <c r="AK193" s="721">
        <v>20000</v>
      </c>
      <c r="AL193" s="507"/>
      <c r="AM193" s="507"/>
      <c r="AN193" s="507"/>
      <c r="AO193" s="507"/>
      <c r="AP193" s="507"/>
      <c r="AQ193" s="507"/>
      <c r="AR193" s="507"/>
      <c r="AS193" s="507"/>
      <c r="AT193" s="507"/>
      <c r="AU193" s="507"/>
      <c r="AV193" s="970"/>
    </row>
    <row r="194" spans="1:48" hidden="1">
      <c r="A194" s="145"/>
      <c r="B194" s="153" t="s">
        <v>18</v>
      </c>
      <c r="C194" s="162" t="s">
        <v>38</v>
      </c>
      <c r="D194" s="147"/>
      <c r="E194" s="147"/>
      <c r="F194" s="979"/>
      <c r="G194" s="147" t="s">
        <v>18</v>
      </c>
      <c r="H194" s="147" t="s">
        <v>19</v>
      </c>
      <c r="I194" s="980"/>
      <c r="J194" s="982"/>
      <c r="K194" s="970"/>
      <c r="L194" s="984"/>
      <c r="M194" s="980"/>
      <c r="N194" s="147"/>
      <c r="O194" s="154"/>
      <c r="P194" s="152"/>
      <c r="Q194" s="152"/>
      <c r="S194" s="388"/>
      <c r="T194" s="586"/>
      <c r="U194" s="598">
        <v>3</v>
      </c>
      <c r="V194" s="571" t="s">
        <v>88</v>
      </c>
      <c r="W194" s="620">
        <v>0</v>
      </c>
      <c r="X194" s="660">
        <v>0</v>
      </c>
      <c r="Y194" s="688">
        <v>81</v>
      </c>
      <c r="Z194" s="386">
        <f>SUM(W194:Y194)</f>
        <v>81</v>
      </c>
      <c r="AA194" s="147"/>
      <c r="AB194" s="154"/>
      <c r="AC194" s="145"/>
      <c r="AD194" s="986"/>
      <c r="AE194" s="967"/>
      <c r="AF194" s="507"/>
      <c r="AG194" s="507"/>
      <c r="AH194" s="507"/>
      <c r="AI194" s="507"/>
      <c r="AJ194" s="507"/>
      <c r="AK194" s="721">
        <v>20000</v>
      </c>
      <c r="AL194" s="507"/>
      <c r="AM194" s="507"/>
      <c r="AN194" s="507"/>
      <c r="AO194" s="507"/>
      <c r="AP194" s="507"/>
      <c r="AQ194" s="507"/>
      <c r="AR194" s="507"/>
      <c r="AS194" s="507"/>
      <c r="AT194" s="507"/>
      <c r="AU194" s="507"/>
      <c r="AV194" s="970"/>
    </row>
    <row r="195" spans="1:48" ht="55.2" hidden="1">
      <c r="A195" s="145"/>
      <c r="B195" s="157" t="s">
        <v>12</v>
      </c>
      <c r="C195" s="156" t="s">
        <v>725</v>
      </c>
      <c r="D195" s="147"/>
      <c r="E195" s="154"/>
      <c r="F195" s="979"/>
      <c r="G195" s="147"/>
      <c r="H195" s="146"/>
      <c r="I195" s="980"/>
      <c r="J195" s="982"/>
      <c r="K195" s="970"/>
      <c r="L195" s="984"/>
      <c r="M195" s="980"/>
      <c r="N195" s="147"/>
      <c r="O195" s="154"/>
      <c r="P195" s="152"/>
      <c r="Q195" s="152"/>
      <c r="S195" s="388"/>
      <c r="T195" s="586"/>
      <c r="U195" s="598">
        <v>4</v>
      </c>
      <c r="V195" s="571" t="s">
        <v>58</v>
      </c>
      <c r="W195" s="620">
        <v>0</v>
      </c>
      <c r="X195" s="660">
        <v>0</v>
      </c>
      <c r="Y195" s="688">
        <v>8</v>
      </c>
      <c r="Z195" s="408">
        <f>SUM(W195:Y195)</f>
        <v>8</v>
      </c>
      <c r="AA195" s="147"/>
      <c r="AB195" s="154"/>
      <c r="AC195" s="145"/>
      <c r="AD195" s="986"/>
      <c r="AE195" s="967"/>
      <c r="AF195" s="507"/>
      <c r="AG195" s="507"/>
      <c r="AH195" s="507"/>
      <c r="AI195" s="507"/>
      <c r="AJ195" s="507"/>
      <c r="AK195" s="721">
        <v>50000</v>
      </c>
      <c r="AL195" s="507"/>
      <c r="AM195" s="507"/>
      <c r="AN195" s="507"/>
      <c r="AO195" s="507"/>
      <c r="AP195" s="507"/>
      <c r="AQ195" s="507"/>
      <c r="AR195" s="507"/>
      <c r="AS195" s="507"/>
      <c r="AT195" s="507"/>
      <c r="AU195" s="507"/>
      <c r="AV195" s="970"/>
    </row>
    <row r="196" spans="1:48" hidden="1">
      <c r="A196" s="145"/>
      <c r="B196" s="153" t="s">
        <v>8</v>
      </c>
      <c r="C196" s="220" t="s">
        <v>741</v>
      </c>
      <c r="D196" s="147"/>
      <c r="E196" s="154"/>
      <c r="F196" s="979"/>
      <c r="G196" s="147"/>
      <c r="H196" s="146"/>
      <c r="I196" s="980"/>
      <c r="J196" s="982"/>
      <c r="K196" s="970"/>
      <c r="L196" s="984"/>
      <c r="M196" s="980"/>
      <c r="N196" s="147"/>
      <c r="O196" s="154"/>
      <c r="P196" s="152"/>
      <c r="Q196" s="151"/>
      <c r="R196" s="153"/>
      <c r="S196" s="147"/>
      <c r="T196" s="507"/>
      <c r="U196" s="589"/>
      <c r="V196" s="577"/>
      <c r="W196" s="634"/>
      <c r="X196" s="634"/>
      <c r="Y196" s="684"/>
      <c r="Z196" s="385"/>
      <c r="AA196" s="147"/>
      <c r="AB196" s="154"/>
      <c r="AC196" s="145"/>
      <c r="AD196" s="986"/>
      <c r="AE196" s="967"/>
      <c r="AF196" s="507"/>
      <c r="AG196" s="507"/>
      <c r="AH196" s="507"/>
      <c r="AI196" s="507"/>
      <c r="AJ196" s="507"/>
      <c r="AK196" s="721"/>
      <c r="AL196" s="507"/>
      <c r="AM196" s="507"/>
      <c r="AN196" s="507"/>
      <c r="AO196" s="507"/>
      <c r="AP196" s="507"/>
      <c r="AQ196" s="507"/>
      <c r="AR196" s="507"/>
      <c r="AS196" s="507"/>
      <c r="AT196" s="507"/>
      <c r="AU196" s="507"/>
      <c r="AV196" s="970"/>
    </row>
    <row r="197" spans="1:48" hidden="1">
      <c r="A197" s="145"/>
      <c r="B197" s="157"/>
      <c r="C197" s="156"/>
      <c r="D197" s="147"/>
      <c r="E197" s="154"/>
      <c r="F197" s="979"/>
      <c r="G197" s="147"/>
      <c r="H197" s="146"/>
      <c r="I197" s="980"/>
      <c r="J197" s="982"/>
      <c r="K197" s="970"/>
      <c r="L197" s="984"/>
      <c r="M197" s="980"/>
      <c r="N197" s="147"/>
      <c r="O197" s="154"/>
      <c r="P197" s="152"/>
      <c r="Q197" s="151"/>
      <c r="R197" s="153"/>
      <c r="S197" s="147"/>
      <c r="T197" s="507"/>
      <c r="U197" s="589"/>
      <c r="V197" s="577"/>
      <c r="W197" s="634"/>
      <c r="X197" s="634"/>
      <c r="Y197" s="684"/>
      <c r="Z197" s="385"/>
      <c r="AA197" s="147"/>
      <c r="AB197" s="154"/>
      <c r="AC197" s="145"/>
      <c r="AD197" s="986"/>
      <c r="AE197" s="967"/>
      <c r="AF197" s="507"/>
      <c r="AG197" s="507"/>
      <c r="AH197" s="507"/>
      <c r="AI197" s="507"/>
      <c r="AJ197" s="507"/>
      <c r="AK197" s="721"/>
      <c r="AL197" s="507"/>
      <c r="AM197" s="507"/>
      <c r="AN197" s="507"/>
      <c r="AO197" s="507"/>
      <c r="AP197" s="507"/>
      <c r="AQ197" s="507"/>
      <c r="AR197" s="507"/>
      <c r="AS197" s="507"/>
      <c r="AT197" s="507"/>
      <c r="AU197" s="507"/>
      <c r="AV197" s="970"/>
    </row>
    <row r="198" spans="1:48" hidden="1">
      <c r="A198" s="145"/>
      <c r="B198" s="157"/>
      <c r="C198" s="156"/>
      <c r="D198" s="147"/>
      <c r="E198" s="154"/>
      <c r="F198" s="979"/>
      <c r="G198" s="147"/>
      <c r="H198" s="146"/>
      <c r="I198" s="980"/>
      <c r="J198" s="982"/>
      <c r="K198" s="970"/>
      <c r="L198" s="984"/>
      <c r="M198" s="980"/>
      <c r="N198" s="147"/>
      <c r="O198" s="154"/>
      <c r="P198" s="152"/>
      <c r="Q198" s="151"/>
      <c r="R198" s="153" t="s">
        <v>16</v>
      </c>
      <c r="S198" s="147" t="s">
        <v>15</v>
      </c>
      <c r="T198" s="507">
        <v>1</v>
      </c>
      <c r="U198" s="513">
        <v>1</v>
      </c>
      <c r="V198" s="577" t="s">
        <v>14</v>
      </c>
      <c r="W198" s="634">
        <v>90</v>
      </c>
      <c r="X198" s="634">
        <v>0</v>
      </c>
      <c r="Y198" s="684">
        <v>0</v>
      </c>
      <c r="Z198" s="385">
        <f>SUM(W198:Y198)</f>
        <v>90</v>
      </c>
      <c r="AA198" s="147"/>
      <c r="AB198" s="154"/>
      <c r="AC198" s="145"/>
      <c r="AD198" s="986"/>
      <c r="AE198" s="967"/>
      <c r="AF198" s="507"/>
      <c r="AG198" s="507"/>
      <c r="AH198" s="507"/>
      <c r="AI198" s="507"/>
      <c r="AJ198" s="507"/>
      <c r="AK198" s="721">
        <v>350000</v>
      </c>
      <c r="AL198" s="507"/>
      <c r="AM198" s="507"/>
      <c r="AN198" s="507"/>
      <c r="AO198" s="507"/>
      <c r="AP198" s="507"/>
      <c r="AQ198" s="507"/>
      <c r="AR198" s="507"/>
      <c r="AS198" s="507"/>
      <c r="AT198" s="507"/>
      <c r="AU198" s="507"/>
      <c r="AV198" s="970"/>
    </row>
    <row r="199" spans="1:48" hidden="1">
      <c r="A199" s="129"/>
      <c r="C199" s="398"/>
      <c r="D199" s="131"/>
      <c r="E199" s="268"/>
      <c r="F199" s="992"/>
      <c r="G199" s="131"/>
      <c r="H199" s="130"/>
      <c r="I199" s="985"/>
      <c r="J199" s="993"/>
      <c r="K199" s="971"/>
      <c r="L199" s="994"/>
      <c r="M199" s="985"/>
      <c r="N199" s="131"/>
      <c r="O199" s="138"/>
      <c r="P199" s="136"/>
      <c r="Q199" s="135"/>
      <c r="R199" s="137"/>
      <c r="S199" s="131"/>
      <c r="T199" s="508"/>
      <c r="U199" s="514"/>
      <c r="V199" s="578"/>
      <c r="W199" s="646"/>
      <c r="X199" s="667"/>
      <c r="Y199" s="701"/>
      <c r="Z199" s="394"/>
      <c r="AA199" s="131"/>
      <c r="AB199" s="138"/>
      <c r="AC199" s="129"/>
      <c r="AD199" s="987"/>
      <c r="AE199" s="968"/>
      <c r="AF199" s="508"/>
      <c r="AG199" s="508"/>
      <c r="AH199" s="508"/>
      <c r="AI199" s="508"/>
      <c r="AJ199" s="508"/>
      <c r="AK199" s="723"/>
      <c r="AL199" s="508"/>
      <c r="AM199" s="508"/>
      <c r="AN199" s="508"/>
      <c r="AO199" s="508"/>
      <c r="AP199" s="508"/>
      <c r="AQ199" s="508"/>
      <c r="AR199" s="508"/>
      <c r="AS199" s="508"/>
      <c r="AT199" s="508"/>
      <c r="AU199" s="508"/>
      <c r="AV199" s="971"/>
    </row>
    <row r="200" spans="1:48" hidden="1">
      <c r="A200" s="185" t="s">
        <v>645</v>
      </c>
      <c r="B200" s="176" t="s">
        <v>25</v>
      </c>
      <c r="C200" s="184" t="s">
        <v>743</v>
      </c>
      <c r="D200" s="183"/>
      <c r="E200" s="170"/>
      <c r="F200" s="978"/>
      <c r="G200" s="219" t="s">
        <v>25</v>
      </c>
      <c r="H200" s="154" t="s">
        <v>739</v>
      </c>
      <c r="I200" s="996">
        <v>5400</v>
      </c>
      <c r="J200" s="981"/>
      <c r="K200" s="969" t="s">
        <v>759</v>
      </c>
      <c r="L200" s="1001" t="s">
        <v>46</v>
      </c>
      <c r="M200" s="996"/>
      <c r="N200" s="988" t="s">
        <v>758</v>
      </c>
      <c r="O200" s="989"/>
      <c r="P200" s="175"/>
      <c r="Q200" s="174"/>
      <c r="R200" s="176" t="s">
        <v>25</v>
      </c>
      <c r="S200" s="170" t="s">
        <v>24</v>
      </c>
      <c r="T200" s="506">
        <v>3</v>
      </c>
      <c r="U200" s="597">
        <v>1</v>
      </c>
      <c r="V200" s="570" t="s">
        <v>109</v>
      </c>
      <c r="W200" s="644">
        <v>0</v>
      </c>
      <c r="X200" s="665">
        <v>0</v>
      </c>
      <c r="Y200" s="699">
        <v>40</v>
      </c>
      <c r="Z200" s="391">
        <f>SUM(W200:Y200)</f>
        <v>40</v>
      </c>
      <c r="AA200" s="183"/>
      <c r="AB200" s="181"/>
      <c r="AC200" s="168"/>
      <c r="AD200" s="995"/>
      <c r="AE200" s="966"/>
      <c r="AF200" s="506"/>
      <c r="AG200" s="506"/>
      <c r="AH200" s="506"/>
      <c r="AI200" s="506"/>
      <c r="AJ200" s="506"/>
      <c r="AK200" s="722">
        <v>10000</v>
      </c>
      <c r="AL200" s="506"/>
      <c r="AM200" s="506"/>
      <c r="AN200" s="506"/>
      <c r="AO200" s="506"/>
      <c r="AP200" s="506"/>
      <c r="AQ200" s="506"/>
      <c r="AR200" s="506"/>
      <c r="AS200" s="506"/>
      <c r="AT200" s="506"/>
      <c r="AU200" s="506"/>
      <c r="AV200" s="969"/>
    </row>
    <row r="201" spans="1:48" hidden="1">
      <c r="A201" s="145"/>
      <c r="B201" s="153" t="s">
        <v>16</v>
      </c>
      <c r="C201" s="164" t="s">
        <v>441</v>
      </c>
      <c r="D201" s="147"/>
      <c r="E201" s="163"/>
      <c r="F201" s="979"/>
      <c r="G201" s="147" t="s">
        <v>16</v>
      </c>
      <c r="H201" s="147" t="s">
        <v>726</v>
      </c>
      <c r="I201" s="980"/>
      <c r="J201" s="982"/>
      <c r="K201" s="970"/>
      <c r="L201" s="984"/>
      <c r="M201" s="980"/>
      <c r="N201" s="147" t="s">
        <v>25</v>
      </c>
      <c r="O201" s="154" t="s">
        <v>17</v>
      </c>
      <c r="P201" s="379">
        <v>2</v>
      </c>
      <c r="Q201" s="378"/>
      <c r="R201" s="153"/>
      <c r="S201" s="147"/>
      <c r="T201" s="507"/>
      <c r="U201" s="598">
        <v>2</v>
      </c>
      <c r="V201" s="571" t="s">
        <v>88</v>
      </c>
      <c r="W201" s="645">
        <v>0</v>
      </c>
      <c r="X201" s="666">
        <v>0</v>
      </c>
      <c r="Y201" s="700">
        <v>38</v>
      </c>
      <c r="Z201" s="385">
        <f>SUM(W201:Y201)</f>
        <v>38</v>
      </c>
      <c r="AA201" s="147"/>
      <c r="AB201" s="154"/>
      <c r="AC201" s="145"/>
      <c r="AD201" s="986"/>
      <c r="AE201" s="967"/>
      <c r="AF201" s="507"/>
      <c r="AG201" s="507"/>
      <c r="AH201" s="507"/>
      <c r="AI201" s="507"/>
      <c r="AJ201" s="507"/>
      <c r="AK201" s="721">
        <v>20000</v>
      </c>
      <c r="AL201" s="507"/>
      <c r="AM201" s="507"/>
      <c r="AN201" s="507"/>
      <c r="AO201" s="507"/>
      <c r="AP201" s="507"/>
      <c r="AQ201" s="507"/>
      <c r="AR201" s="507"/>
      <c r="AS201" s="507"/>
      <c r="AT201" s="507"/>
      <c r="AU201" s="507"/>
      <c r="AV201" s="970"/>
    </row>
    <row r="202" spans="1:48" hidden="1">
      <c r="A202" s="145"/>
      <c r="B202" s="153" t="s">
        <v>18</v>
      </c>
      <c r="C202" s="162" t="s">
        <v>38</v>
      </c>
      <c r="D202" s="147"/>
      <c r="E202" s="147"/>
      <c r="F202" s="979"/>
      <c r="G202" s="147" t="s">
        <v>18</v>
      </c>
      <c r="H202" s="147" t="s">
        <v>19</v>
      </c>
      <c r="I202" s="980"/>
      <c r="J202" s="982"/>
      <c r="K202" s="970"/>
      <c r="L202" s="984"/>
      <c r="M202" s="980"/>
      <c r="N202" s="147"/>
      <c r="O202" s="154"/>
      <c r="P202" s="379"/>
      <c r="Q202" s="152"/>
      <c r="R202" s="203"/>
      <c r="S202" s="203"/>
      <c r="T202" s="507"/>
      <c r="U202" s="598">
        <v>3</v>
      </c>
      <c r="V202" s="571" t="s">
        <v>58</v>
      </c>
      <c r="W202" s="645">
        <v>0</v>
      </c>
      <c r="X202" s="666">
        <v>62</v>
      </c>
      <c r="Y202" s="700">
        <v>0</v>
      </c>
      <c r="Z202" s="385">
        <f>SUM(W202:Y202)</f>
        <v>62</v>
      </c>
      <c r="AA202" s="147"/>
      <c r="AB202" s="154"/>
      <c r="AC202" s="145"/>
      <c r="AD202" s="986"/>
      <c r="AE202" s="967"/>
      <c r="AF202" s="507"/>
      <c r="AG202" s="507"/>
      <c r="AH202" s="507"/>
      <c r="AI202" s="507"/>
      <c r="AJ202" s="507"/>
      <c r="AK202" s="721">
        <v>150000</v>
      </c>
      <c r="AL202" s="507"/>
      <c r="AM202" s="507"/>
      <c r="AN202" s="507"/>
      <c r="AO202" s="507"/>
      <c r="AP202" s="507"/>
      <c r="AQ202" s="507"/>
      <c r="AR202" s="507"/>
      <c r="AS202" s="507"/>
      <c r="AT202" s="507"/>
      <c r="AU202" s="507"/>
      <c r="AV202" s="970"/>
    </row>
    <row r="203" spans="1:48" ht="55.2" hidden="1">
      <c r="A203" s="145"/>
      <c r="B203" s="157" t="s">
        <v>12</v>
      </c>
      <c r="C203" s="156" t="s">
        <v>725</v>
      </c>
      <c r="D203" s="147"/>
      <c r="E203" s="154"/>
      <c r="F203" s="979"/>
      <c r="G203" s="147"/>
      <c r="H203" s="146"/>
      <c r="I203" s="980"/>
      <c r="J203" s="982"/>
      <c r="K203" s="970"/>
      <c r="L203" s="984"/>
      <c r="M203" s="980"/>
      <c r="N203" s="147"/>
      <c r="O203" s="154"/>
      <c r="P203" s="152"/>
      <c r="Q203" s="152"/>
      <c r="S203" s="388"/>
      <c r="T203" s="586"/>
      <c r="U203" s="572"/>
      <c r="V203" s="572"/>
      <c r="W203" s="647"/>
      <c r="X203" s="668"/>
      <c r="Y203" s="702"/>
      <c r="Z203" s="406"/>
      <c r="AA203" s="147"/>
      <c r="AB203" s="163"/>
      <c r="AC203" s="152"/>
      <c r="AD203" s="986"/>
      <c r="AE203" s="967"/>
      <c r="AF203" s="507"/>
      <c r="AG203" s="507"/>
      <c r="AH203" s="507"/>
      <c r="AI203" s="507"/>
      <c r="AJ203" s="507"/>
      <c r="AK203" s="721"/>
      <c r="AL203" s="507"/>
      <c r="AM203" s="507"/>
      <c r="AN203" s="507"/>
      <c r="AO203" s="507"/>
      <c r="AP203" s="507"/>
      <c r="AQ203" s="507"/>
      <c r="AR203" s="507"/>
      <c r="AS203" s="507"/>
      <c r="AT203" s="507"/>
      <c r="AU203" s="507"/>
      <c r="AV203" s="970"/>
    </row>
    <row r="204" spans="1:48" hidden="1">
      <c r="A204" s="145"/>
      <c r="B204" s="153" t="s">
        <v>8</v>
      </c>
      <c r="C204" s="220" t="s">
        <v>741</v>
      </c>
      <c r="D204" s="147"/>
      <c r="E204" s="154"/>
      <c r="F204" s="979"/>
      <c r="G204" s="147"/>
      <c r="H204" s="146"/>
      <c r="I204" s="980"/>
      <c r="J204" s="982"/>
      <c r="K204" s="970"/>
      <c r="L204" s="984"/>
      <c r="M204" s="980"/>
      <c r="N204" s="147"/>
      <c r="O204" s="154"/>
      <c r="P204" s="152"/>
      <c r="Q204" s="151"/>
      <c r="R204" s="218" t="s">
        <v>16</v>
      </c>
      <c r="S204" s="217" t="s">
        <v>15</v>
      </c>
      <c r="T204" s="507">
        <v>1</v>
      </c>
      <c r="U204" s="513">
        <v>1</v>
      </c>
      <c r="V204" s="161" t="s">
        <v>14</v>
      </c>
      <c r="W204" s="631">
        <v>0</v>
      </c>
      <c r="X204" s="639">
        <v>58</v>
      </c>
      <c r="Y204" s="683">
        <v>0</v>
      </c>
      <c r="Z204" s="385">
        <f>SUM(W204:Y204)</f>
        <v>58</v>
      </c>
      <c r="AA204" s="147"/>
      <c r="AB204" s="163"/>
      <c r="AC204" s="152"/>
      <c r="AD204" s="986"/>
      <c r="AE204" s="967"/>
      <c r="AF204" s="507"/>
      <c r="AG204" s="507"/>
      <c r="AH204" s="507"/>
      <c r="AI204" s="507"/>
      <c r="AJ204" s="507"/>
      <c r="AK204" s="721">
        <v>231000</v>
      </c>
      <c r="AL204" s="507"/>
      <c r="AM204" s="507"/>
      <c r="AN204" s="507"/>
      <c r="AO204" s="507"/>
      <c r="AP204" s="507"/>
      <c r="AQ204" s="507"/>
      <c r="AR204" s="507"/>
      <c r="AS204" s="507"/>
      <c r="AT204" s="507"/>
      <c r="AU204" s="507"/>
      <c r="AV204" s="970"/>
    </row>
    <row r="205" spans="1:48" hidden="1">
      <c r="A205" s="129"/>
      <c r="B205" s="400"/>
      <c r="C205" s="398"/>
      <c r="D205" s="131"/>
      <c r="E205" s="140"/>
      <c r="F205" s="992"/>
      <c r="G205" s="131"/>
      <c r="H205" s="130"/>
      <c r="I205" s="985"/>
      <c r="J205" s="993"/>
      <c r="K205" s="971"/>
      <c r="L205" s="994"/>
      <c r="M205" s="985"/>
      <c r="N205" s="131"/>
      <c r="O205" s="138"/>
      <c r="P205" s="136"/>
      <c r="Q205" s="151"/>
      <c r="R205" s="153"/>
      <c r="S205" s="147"/>
      <c r="T205" s="507"/>
      <c r="U205" s="513"/>
      <c r="V205" s="161"/>
      <c r="W205" s="631"/>
      <c r="X205" s="639"/>
      <c r="Y205" s="685"/>
      <c r="Z205" s="385"/>
      <c r="AA205" s="131"/>
      <c r="AB205" s="227"/>
      <c r="AC205" s="136"/>
      <c r="AD205" s="987"/>
      <c r="AE205" s="968"/>
      <c r="AF205" s="508"/>
      <c r="AG205" s="508"/>
      <c r="AH205" s="508"/>
      <c r="AI205" s="508"/>
      <c r="AJ205" s="508"/>
      <c r="AK205" s="723"/>
      <c r="AL205" s="508"/>
      <c r="AM205" s="508"/>
      <c r="AN205" s="508"/>
      <c r="AO205" s="508"/>
      <c r="AP205" s="508"/>
      <c r="AQ205" s="508"/>
      <c r="AR205" s="508"/>
      <c r="AS205" s="508"/>
      <c r="AT205" s="508"/>
      <c r="AU205" s="508"/>
      <c r="AV205" s="971"/>
    </row>
    <row r="206" spans="1:48" hidden="1">
      <c r="A206" s="185" t="s">
        <v>638</v>
      </c>
      <c r="B206" s="176" t="s">
        <v>25</v>
      </c>
      <c r="C206" s="184" t="s">
        <v>757</v>
      </c>
      <c r="D206" s="183"/>
      <c r="E206" s="170"/>
      <c r="F206" s="978"/>
      <c r="G206" s="219" t="s">
        <v>25</v>
      </c>
      <c r="H206" s="154" t="s">
        <v>739</v>
      </c>
      <c r="I206" s="996">
        <v>1400</v>
      </c>
      <c r="J206" s="981"/>
      <c r="K206" s="969" t="s">
        <v>649</v>
      </c>
      <c r="L206" s="1001" t="s">
        <v>46</v>
      </c>
      <c r="M206" s="996"/>
      <c r="N206" s="147" t="s">
        <v>25</v>
      </c>
      <c r="O206" s="404" t="s">
        <v>17</v>
      </c>
      <c r="P206" s="403">
        <v>1</v>
      </c>
      <c r="Q206" s="405"/>
      <c r="R206" s="177"/>
      <c r="S206" s="177"/>
      <c r="T206" s="588"/>
      <c r="U206" s="588"/>
      <c r="V206" s="421"/>
      <c r="W206" s="648"/>
      <c r="X206" s="669"/>
      <c r="Y206" s="703"/>
      <c r="Z206" s="391"/>
      <c r="AA206" s="183"/>
      <c r="AB206" s="181"/>
      <c r="AC206" s="168"/>
      <c r="AD206" s="995"/>
      <c r="AE206" s="966"/>
      <c r="AF206" s="506"/>
      <c r="AG206" s="506"/>
      <c r="AH206" s="506"/>
      <c r="AI206" s="506"/>
      <c r="AJ206" s="506"/>
      <c r="AK206" s="722"/>
      <c r="AL206" s="506"/>
      <c r="AM206" s="506"/>
      <c r="AN206" s="506"/>
      <c r="AO206" s="506"/>
      <c r="AP206" s="506"/>
      <c r="AQ206" s="506"/>
      <c r="AR206" s="506"/>
      <c r="AS206" s="506"/>
      <c r="AT206" s="506"/>
      <c r="AU206" s="506"/>
      <c r="AV206" s="969"/>
    </row>
    <row r="207" spans="1:48" hidden="1">
      <c r="A207" s="145"/>
      <c r="B207" s="153" t="s">
        <v>16</v>
      </c>
      <c r="C207" s="164" t="s">
        <v>756</v>
      </c>
      <c r="D207" s="147"/>
      <c r="E207" s="163"/>
      <c r="F207" s="979"/>
      <c r="G207" s="147" t="s">
        <v>16</v>
      </c>
      <c r="H207" s="147" t="s">
        <v>726</v>
      </c>
      <c r="I207" s="980"/>
      <c r="J207" s="982"/>
      <c r="K207" s="970"/>
      <c r="L207" s="984"/>
      <c r="M207" s="980"/>
      <c r="N207" s="147"/>
      <c r="O207" s="404"/>
      <c r="P207" s="395"/>
      <c r="Q207" s="390"/>
      <c r="R207" s="203"/>
      <c r="S207" s="203"/>
      <c r="T207" s="589"/>
      <c r="U207" s="589"/>
      <c r="V207" s="228"/>
      <c r="W207" s="630"/>
      <c r="X207" s="635"/>
      <c r="Y207" s="704"/>
      <c r="Z207" s="385"/>
      <c r="AA207" s="147"/>
      <c r="AB207" s="154"/>
      <c r="AC207" s="145"/>
      <c r="AD207" s="986"/>
      <c r="AE207" s="967"/>
      <c r="AF207" s="507"/>
      <c r="AG207" s="507"/>
      <c r="AH207" s="507"/>
      <c r="AI207" s="507"/>
      <c r="AJ207" s="507"/>
      <c r="AK207" s="721"/>
      <c r="AL207" s="507"/>
      <c r="AM207" s="507"/>
      <c r="AN207" s="507"/>
      <c r="AO207" s="507"/>
      <c r="AP207" s="507"/>
      <c r="AQ207" s="507"/>
      <c r="AR207" s="507"/>
      <c r="AS207" s="507"/>
      <c r="AT207" s="507"/>
      <c r="AU207" s="507"/>
      <c r="AV207" s="970"/>
    </row>
    <row r="208" spans="1:48" hidden="1">
      <c r="A208" s="145"/>
      <c r="B208" s="153" t="s">
        <v>18</v>
      </c>
      <c r="C208" s="162" t="s">
        <v>613</v>
      </c>
      <c r="D208" s="147"/>
      <c r="E208" s="147"/>
      <c r="F208" s="979"/>
      <c r="G208" s="147" t="s">
        <v>18</v>
      </c>
      <c r="H208" s="147" t="s">
        <v>19</v>
      </c>
      <c r="I208" s="980"/>
      <c r="J208" s="982"/>
      <c r="K208" s="970"/>
      <c r="L208" s="984"/>
      <c r="M208" s="980"/>
      <c r="N208" s="147"/>
      <c r="O208" s="404"/>
      <c r="P208" s="403"/>
      <c r="Q208" s="239"/>
      <c r="R208" s="246"/>
      <c r="S208" s="203"/>
      <c r="T208" s="589"/>
      <c r="U208" s="589"/>
      <c r="V208" s="228"/>
      <c r="W208" s="630"/>
      <c r="X208" s="635"/>
      <c r="Y208" s="704"/>
      <c r="Z208" s="385"/>
      <c r="AA208" s="147"/>
      <c r="AB208" s="154"/>
      <c r="AC208" s="145"/>
      <c r="AD208" s="986"/>
      <c r="AE208" s="967"/>
      <c r="AF208" s="507"/>
      <c r="AG208" s="507"/>
      <c r="AH208" s="507"/>
      <c r="AI208" s="507"/>
      <c r="AJ208" s="507"/>
      <c r="AK208" s="721"/>
      <c r="AL208" s="507"/>
      <c r="AM208" s="507"/>
      <c r="AN208" s="507"/>
      <c r="AO208" s="507"/>
      <c r="AP208" s="507"/>
      <c r="AQ208" s="507"/>
      <c r="AR208" s="507"/>
      <c r="AS208" s="507"/>
      <c r="AT208" s="507"/>
      <c r="AU208" s="507"/>
      <c r="AV208" s="970"/>
    </row>
    <row r="209" spans="1:48" ht="55.2" hidden="1">
      <c r="A209" s="145"/>
      <c r="B209" s="157" t="s">
        <v>12</v>
      </c>
      <c r="C209" s="156" t="s">
        <v>755</v>
      </c>
      <c r="D209" s="147"/>
      <c r="E209" s="154"/>
      <c r="F209" s="979"/>
      <c r="G209" s="147"/>
      <c r="H209" s="146"/>
      <c r="I209" s="980"/>
      <c r="J209" s="982"/>
      <c r="K209" s="970"/>
      <c r="L209" s="984"/>
      <c r="M209" s="980"/>
      <c r="N209" s="147"/>
      <c r="O209" s="151"/>
      <c r="P209" s="152"/>
      <c r="Q209" s="151"/>
      <c r="R209" s="153"/>
      <c r="S209" s="147"/>
      <c r="T209" s="589"/>
      <c r="U209" s="602"/>
      <c r="V209" s="228"/>
      <c r="W209" s="630"/>
      <c r="X209" s="635"/>
      <c r="Y209" s="704"/>
      <c r="Z209" s="385"/>
      <c r="AA209" s="147"/>
      <c r="AB209" s="154"/>
      <c r="AC209" s="145"/>
      <c r="AD209" s="986"/>
      <c r="AE209" s="967"/>
      <c r="AF209" s="507"/>
      <c r="AG209" s="507"/>
      <c r="AH209" s="507"/>
      <c r="AI209" s="507"/>
      <c r="AJ209" s="507"/>
      <c r="AK209" s="721"/>
      <c r="AL209" s="507"/>
      <c r="AM209" s="507"/>
      <c r="AN209" s="507"/>
      <c r="AO209" s="507"/>
      <c r="AP209" s="507"/>
      <c r="AQ209" s="507"/>
      <c r="AR209" s="507"/>
      <c r="AS209" s="507"/>
      <c r="AT209" s="507"/>
      <c r="AU209" s="507"/>
      <c r="AV209" s="970"/>
    </row>
    <row r="210" spans="1:48" hidden="1">
      <c r="A210" s="145"/>
      <c r="B210" s="157" t="s">
        <v>8</v>
      </c>
      <c r="C210" s="190" t="s">
        <v>754</v>
      </c>
      <c r="D210" s="147"/>
      <c r="E210" s="154"/>
      <c r="F210" s="979"/>
      <c r="G210" s="147"/>
      <c r="H210" s="146"/>
      <c r="I210" s="980"/>
      <c r="J210" s="982"/>
      <c r="K210" s="970"/>
      <c r="L210" s="984"/>
      <c r="M210" s="980"/>
      <c r="N210" s="147"/>
      <c r="O210" s="203"/>
      <c r="P210" s="152"/>
      <c r="Q210" s="151"/>
      <c r="R210" s="153"/>
      <c r="S210" s="147"/>
      <c r="T210" s="589"/>
      <c r="U210" s="602"/>
      <c r="V210" s="228"/>
      <c r="W210" s="630"/>
      <c r="X210" s="635"/>
      <c r="Y210" s="704"/>
      <c r="Z210" s="385"/>
      <c r="AA210" s="147"/>
      <c r="AB210" s="154"/>
      <c r="AC210" s="145"/>
      <c r="AD210" s="986"/>
      <c r="AE210" s="967"/>
      <c r="AF210" s="507"/>
      <c r="AG210" s="507"/>
      <c r="AH210" s="507"/>
      <c r="AI210" s="507"/>
      <c r="AJ210" s="507"/>
      <c r="AK210" s="721"/>
      <c r="AL210" s="507"/>
      <c r="AM210" s="507"/>
      <c r="AN210" s="507"/>
      <c r="AO210" s="507"/>
      <c r="AP210" s="507"/>
      <c r="AQ210" s="507"/>
      <c r="AR210" s="507"/>
      <c r="AS210" s="507"/>
      <c r="AT210" s="507"/>
      <c r="AU210" s="507"/>
      <c r="AV210" s="970"/>
    </row>
    <row r="211" spans="1:48" hidden="1">
      <c r="A211" s="145"/>
      <c r="B211" s="137"/>
      <c r="C211" s="141"/>
      <c r="D211" s="131"/>
      <c r="E211" s="140"/>
      <c r="F211" s="992"/>
      <c r="G211" s="131"/>
      <c r="H211" s="130"/>
      <c r="I211" s="985"/>
      <c r="J211" s="993"/>
      <c r="K211" s="971"/>
      <c r="L211" s="994"/>
      <c r="M211" s="985"/>
      <c r="N211" s="131"/>
      <c r="O211" s="138"/>
      <c r="P211" s="136"/>
      <c r="Q211" s="135"/>
      <c r="R211" s="137"/>
      <c r="S211" s="131"/>
      <c r="T211" s="590"/>
      <c r="U211" s="607"/>
      <c r="V211" s="579"/>
      <c r="W211" s="649"/>
      <c r="X211" s="670"/>
      <c r="Y211" s="705"/>
      <c r="Z211" s="394"/>
      <c r="AA211" s="131"/>
      <c r="AB211" s="138"/>
      <c r="AC211" s="129"/>
      <c r="AD211" s="987"/>
      <c r="AE211" s="968"/>
      <c r="AF211" s="508"/>
      <c r="AG211" s="508"/>
      <c r="AH211" s="508"/>
      <c r="AI211" s="508"/>
      <c r="AJ211" s="508"/>
      <c r="AK211" s="723"/>
      <c r="AL211" s="508"/>
      <c r="AM211" s="508"/>
      <c r="AN211" s="508"/>
      <c r="AO211" s="508"/>
      <c r="AP211" s="508"/>
      <c r="AQ211" s="508"/>
      <c r="AR211" s="508"/>
      <c r="AS211" s="508"/>
      <c r="AT211" s="508"/>
      <c r="AU211" s="508"/>
      <c r="AV211" s="971"/>
    </row>
    <row r="212" spans="1:48" hidden="1">
      <c r="A212" s="185" t="s">
        <v>630</v>
      </c>
      <c r="B212" s="176" t="s">
        <v>25</v>
      </c>
      <c r="C212" s="184" t="s">
        <v>753</v>
      </c>
      <c r="D212" s="183"/>
      <c r="E212" s="170"/>
      <c r="F212" s="978"/>
      <c r="G212" s="182" t="s">
        <v>25</v>
      </c>
      <c r="H212" s="181" t="s">
        <v>748</v>
      </c>
      <c r="I212" s="996">
        <v>4680</v>
      </c>
      <c r="J212" s="981"/>
      <c r="K212" s="969" t="s">
        <v>752</v>
      </c>
      <c r="L212" s="1001" t="s">
        <v>46</v>
      </c>
      <c r="M212" s="996"/>
      <c r="N212" s="183"/>
      <c r="O212" s="177"/>
      <c r="P212" s="175"/>
      <c r="Q212" s="174"/>
      <c r="R212" s="176" t="s">
        <v>25</v>
      </c>
      <c r="S212" s="170" t="s">
        <v>24</v>
      </c>
      <c r="T212" s="506"/>
      <c r="U212" s="512"/>
      <c r="V212" s="580"/>
      <c r="W212" s="633">
        <v>0</v>
      </c>
      <c r="X212" s="638">
        <v>0</v>
      </c>
      <c r="Y212" s="696">
        <v>0</v>
      </c>
      <c r="Z212" s="391">
        <f>SUM(W212:Y212)</f>
        <v>0</v>
      </c>
      <c r="AA212" s="183"/>
      <c r="AB212" s="181"/>
      <c r="AC212" s="168"/>
      <c r="AD212" s="995"/>
      <c r="AE212" s="966"/>
      <c r="AF212" s="506"/>
      <c r="AG212" s="506"/>
      <c r="AH212" s="506"/>
      <c r="AI212" s="506"/>
      <c r="AJ212" s="506"/>
      <c r="AK212" s="722"/>
      <c r="AL212" s="506"/>
      <c r="AM212" s="506"/>
      <c r="AN212" s="506"/>
      <c r="AO212" s="506"/>
      <c r="AP212" s="506"/>
      <c r="AQ212" s="506"/>
      <c r="AR212" s="506"/>
      <c r="AS212" s="506"/>
      <c r="AT212" s="506"/>
      <c r="AU212" s="506"/>
      <c r="AV212" s="969"/>
    </row>
    <row r="213" spans="1:48" hidden="1">
      <c r="A213" s="145"/>
      <c r="B213" s="153" t="s">
        <v>16</v>
      </c>
      <c r="C213" s="164" t="s">
        <v>751</v>
      </c>
      <c r="D213" s="147"/>
      <c r="E213" s="163"/>
      <c r="F213" s="979"/>
      <c r="G213" s="147" t="s">
        <v>16</v>
      </c>
      <c r="H213" s="147" t="s">
        <v>726</v>
      </c>
      <c r="I213" s="980"/>
      <c r="J213" s="982"/>
      <c r="K213" s="970"/>
      <c r="L213" s="984"/>
      <c r="M213" s="980"/>
      <c r="N213" s="147"/>
      <c r="O213" s="163"/>
      <c r="P213" s="152"/>
      <c r="Q213" s="151"/>
      <c r="R213" s="153"/>
      <c r="S213" s="147"/>
      <c r="T213" s="584"/>
      <c r="U213" s="603"/>
      <c r="V213" s="581"/>
      <c r="W213" s="631">
        <v>0</v>
      </c>
      <c r="X213" s="639">
        <v>0</v>
      </c>
      <c r="Y213" s="685">
        <v>0</v>
      </c>
      <c r="Z213" s="385">
        <f>SUM(W213:Y213)</f>
        <v>0</v>
      </c>
      <c r="AA213" s="147"/>
      <c r="AB213" s="154"/>
      <c r="AC213" s="145"/>
      <c r="AD213" s="986"/>
      <c r="AE213" s="967"/>
      <c r="AF213" s="507"/>
      <c r="AG213" s="507"/>
      <c r="AH213" s="507"/>
      <c r="AI213" s="507"/>
      <c r="AJ213" s="507"/>
      <c r="AK213" s="721"/>
      <c r="AL213" s="507"/>
      <c r="AM213" s="507"/>
      <c r="AN213" s="507"/>
      <c r="AO213" s="507"/>
      <c r="AP213" s="507"/>
      <c r="AQ213" s="507"/>
      <c r="AR213" s="507"/>
      <c r="AS213" s="507"/>
      <c r="AT213" s="507"/>
      <c r="AU213" s="507"/>
      <c r="AV213" s="970"/>
    </row>
    <row r="214" spans="1:48" hidden="1">
      <c r="A214" s="145"/>
      <c r="B214" s="153" t="s">
        <v>18</v>
      </c>
      <c r="C214" s="162" t="s">
        <v>404</v>
      </c>
      <c r="D214" s="147"/>
      <c r="E214" s="147"/>
      <c r="F214" s="979"/>
      <c r="G214" s="147" t="s">
        <v>18</v>
      </c>
      <c r="H214" s="147" t="s">
        <v>19</v>
      </c>
      <c r="I214" s="980"/>
      <c r="J214" s="982"/>
      <c r="K214" s="970"/>
      <c r="L214" s="984"/>
      <c r="M214" s="980"/>
      <c r="N214" s="147"/>
      <c r="O214" s="163"/>
      <c r="P214" s="152"/>
      <c r="Q214" s="151"/>
      <c r="R214" s="153"/>
      <c r="S214" s="147"/>
      <c r="T214" s="507"/>
      <c r="U214" s="599"/>
      <c r="V214" s="161"/>
      <c r="W214" s="631"/>
      <c r="X214" s="639"/>
      <c r="Y214" s="685"/>
      <c r="Z214" s="385"/>
      <c r="AA214" s="147"/>
      <c r="AB214" s="154"/>
      <c r="AC214" s="145"/>
      <c r="AD214" s="986"/>
      <c r="AE214" s="967"/>
      <c r="AF214" s="507"/>
      <c r="AG214" s="507"/>
      <c r="AH214" s="507"/>
      <c r="AI214" s="507"/>
      <c r="AJ214" s="507"/>
      <c r="AK214" s="721"/>
      <c r="AL214" s="507"/>
      <c r="AM214" s="507"/>
      <c r="AN214" s="507"/>
      <c r="AO214" s="507"/>
      <c r="AP214" s="507"/>
      <c r="AQ214" s="507"/>
      <c r="AR214" s="507"/>
      <c r="AS214" s="507"/>
      <c r="AT214" s="507"/>
      <c r="AU214" s="507"/>
      <c r="AV214" s="970"/>
    </row>
    <row r="215" spans="1:48" ht="69" hidden="1">
      <c r="A215" s="145"/>
      <c r="B215" s="228" t="s">
        <v>12</v>
      </c>
      <c r="C215" s="156" t="s">
        <v>750</v>
      </c>
      <c r="D215" s="147"/>
      <c r="E215" s="154"/>
      <c r="F215" s="979"/>
      <c r="G215" s="147"/>
      <c r="H215" s="146"/>
      <c r="I215" s="980"/>
      <c r="J215" s="982"/>
      <c r="K215" s="970"/>
      <c r="L215" s="984"/>
      <c r="M215" s="980"/>
      <c r="N215" s="147"/>
      <c r="O215" s="163"/>
      <c r="P215" s="152"/>
      <c r="Q215" s="151"/>
      <c r="R215" s="153" t="s">
        <v>16</v>
      </c>
      <c r="S215" s="147" t="s">
        <v>15</v>
      </c>
      <c r="T215" s="507"/>
      <c r="U215" s="599"/>
      <c r="V215" s="161"/>
      <c r="W215" s="631">
        <v>0</v>
      </c>
      <c r="X215" s="639">
        <v>0</v>
      </c>
      <c r="Y215" s="685">
        <v>0</v>
      </c>
      <c r="Z215" s="385">
        <f>SUM(W215:Y215)</f>
        <v>0</v>
      </c>
      <c r="AA215" s="147"/>
      <c r="AB215" s="163"/>
      <c r="AC215" s="152"/>
      <c r="AD215" s="986"/>
      <c r="AE215" s="967"/>
      <c r="AF215" s="507"/>
      <c r="AG215" s="507"/>
      <c r="AH215" s="507"/>
      <c r="AI215" s="507"/>
      <c r="AJ215" s="507"/>
      <c r="AK215" s="721"/>
      <c r="AL215" s="507"/>
      <c r="AM215" s="507"/>
      <c r="AN215" s="507"/>
      <c r="AO215" s="507"/>
      <c r="AP215" s="507"/>
      <c r="AQ215" s="507"/>
      <c r="AR215" s="507"/>
      <c r="AS215" s="507"/>
      <c r="AT215" s="507"/>
      <c r="AU215" s="507"/>
      <c r="AV215" s="970"/>
    </row>
    <row r="216" spans="1:48" hidden="1">
      <c r="A216" s="129"/>
      <c r="B216" s="137" t="s">
        <v>8</v>
      </c>
      <c r="C216" s="141" t="s">
        <v>749</v>
      </c>
      <c r="D216" s="131"/>
      <c r="E216" s="140"/>
      <c r="F216" s="992"/>
      <c r="G216" s="131"/>
      <c r="H216" s="130"/>
      <c r="I216" s="985"/>
      <c r="J216" s="993"/>
      <c r="K216" s="971"/>
      <c r="L216" s="994"/>
      <c r="M216" s="985"/>
      <c r="N216" s="131"/>
      <c r="O216" s="138"/>
      <c r="P216" s="136"/>
      <c r="Q216" s="135"/>
      <c r="R216" s="137"/>
      <c r="S216" s="131"/>
      <c r="T216" s="508"/>
      <c r="U216" s="600"/>
      <c r="V216" s="573"/>
      <c r="W216" s="632"/>
      <c r="X216" s="652"/>
      <c r="Y216" s="686"/>
      <c r="Z216" s="394"/>
      <c r="AA216" s="131"/>
      <c r="AB216" s="227"/>
      <c r="AC216" s="136"/>
      <c r="AD216" s="987"/>
      <c r="AE216" s="968"/>
      <c r="AF216" s="508"/>
      <c r="AG216" s="508"/>
      <c r="AH216" s="508"/>
      <c r="AI216" s="508"/>
      <c r="AJ216" s="508"/>
      <c r="AK216" s="723"/>
      <c r="AL216" s="508"/>
      <c r="AM216" s="508"/>
      <c r="AN216" s="508"/>
      <c r="AO216" s="508"/>
      <c r="AP216" s="508"/>
      <c r="AQ216" s="508"/>
      <c r="AR216" s="508"/>
      <c r="AS216" s="508"/>
      <c r="AT216" s="508"/>
      <c r="AU216" s="508"/>
      <c r="AV216" s="971"/>
    </row>
    <row r="217" spans="1:48" hidden="1">
      <c r="A217" s="185">
        <v>15</v>
      </c>
      <c r="B217" s="176" t="s">
        <v>25</v>
      </c>
      <c r="C217" s="184" t="s">
        <v>378</v>
      </c>
      <c r="D217" s="183"/>
      <c r="E217" s="170"/>
      <c r="F217" s="978"/>
      <c r="G217" s="182" t="s">
        <v>25</v>
      </c>
      <c r="H217" s="181" t="s">
        <v>748</v>
      </c>
      <c r="I217" s="996">
        <v>2370</v>
      </c>
      <c r="J217" s="981"/>
      <c r="K217" s="969" t="s">
        <v>747</v>
      </c>
      <c r="L217" s="1001" t="s">
        <v>46</v>
      </c>
      <c r="M217" s="996"/>
      <c r="N217" s="988" t="s">
        <v>746</v>
      </c>
      <c r="O217" s="989"/>
      <c r="P217" s="175"/>
      <c r="Q217" s="175"/>
      <c r="R217" s="176" t="s">
        <v>25</v>
      </c>
      <c r="S217" s="170" t="s">
        <v>24</v>
      </c>
      <c r="T217" s="506"/>
      <c r="U217" s="512"/>
      <c r="V217" s="567"/>
      <c r="W217" s="633">
        <v>0</v>
      </c>
      <c r="X217" s="638">
        <v>0</v>
      </c>
      <c r="Y217" s="696">
        <v>0</v>
      </c>
      <c r="Z217" s="391">
        <f>SUM(W217:Y217)</f>
        <v>0</v>
      </c>
      <c r="AA217" s="183"/>
      <c r="AB217" s="181"/>
      <c r="AC217" s="168"/>
      <c r="AD217" s="995"/>
      <c r="AE217" s="966"/>
      <c r="AF217" s="506"/>
      <c r="AG217" s="506"/>
      <c r="AH217" s="506"/>
      <c r="AI217" s="506"/>
      <c r="AJ217" s="506"/>
      <c r="AK217" s="722"/>
      <c r="AL217" s="506"/>
      <c r="AM217" s="506"/>
      <c r="AN217" s="506"/>
      <c r="AO217" s="506"/>
      <c r="AP217" s="506"/>
      <c r="AQ217" s="506"/>
      <c r="AR217" s="506"/>
      <c r="AS217" s="506"/>
      <c r="AT217" s="506"/>
      <c r="AU217" s="506"/>
      <c r="AV217" s="969"/>
    </row>
    <row r="218" spans="1:48" hidden="1">
      <c r="A218" s="145"/>
      <c r="B218" s="153" t="s">
        <v>16</v>
      </c>
      <c r="C218" s="164" t="s">
        <v>375</v>
      </c>
      <c r="D218" s="147"/>
      <c r="E218" s="163"/>
      <c r="F218" s="979"/>
      <c r="G218" s="147" t="s">
        <v>16</v>
      </c>
      <c r="H218" s="147" t="s">
        <v>726</v>
      </c>
      <c r="I218" s="980"/>
      <c r="J218" s="982"/>
      <c r="K218" s="970"/>
      <c r="L218" s="984"/>
      <c r="M218" s="980"/>
      <c r="N218" s="147" t="s">
        <v>25</v>
      </c>
      <c r="O218" s="402" t="s">
        <v>17</v>
      </c>
      <c r="P218" s="379">
        <v>1</v>
      </c>
      <c r="Q218" s="378">
        <v>966</v>
      </c>
      <c r="R218" s="153"/>
      <c r="S218" s="147"/>
      <c r="T218" s="507"/>
      <c r="U218" s="513"/>
      <c r="V218" s="161"/>
      <c r="W218" s="631"/>
      <c r="X218" s="639"/>
      <c r="Y218" s="685"/>
      <c r="Z218" s="385"/>
      <c r="AA218" s="147"/>
      <c r="AB218" s="154"/>
      <c r="AC218" s="145"/>
      <c r="AD218" s="986"/>
      <c r="AE218" s="967"/>
      <c r="AF218" s="507"/>
      <c r="AG218" s="507"/>
      <c r="AH218" s="507"/>
      <c r="AI218" s="507"/>
      <c r="AJ218" s="507"/>
      <c r="AK218" s="721"/>
      <c r="AL218" s="507"/>
      <c r="AM218" s="507"/>
      <c r="AN218" s="507"/>
      <c r="AO218" s="507"/>
      <c r="AP218" s="507"/>
      <c r="AQ218" s="507"/>
      <c r="AR218" s="507"/>
      <c r="AS218" s="507"/>
      <c r="AT218" s="507"/>
      <c r="AU218" s="507"/>
      <c r="AV218" s="970"/>
    </row>
    <row r="219" spans="1:48" hidden="1">
      <c r="A219" s="145"/>
      <c r="B219" s="153" t="s">
        <v>18</v>
      </c>
      <c r="C219" s="162" t="s">
        <v>613</v>
      </c>
      <c r="D219" s="147"/>
      <c r="E219" s="147"/>
      <c r="F219" s="979"/>
      <c r="G219" s="147" t="s">
        <v>18</v>
      </c>
      <c r="H219" s="147" t="s">
        <v>19</v>
      </c>
      <c r="I219" s="980"/>
      <c r="J219" s="982"/>
      <c r="K219" s="970"/>
      <c r="L219" s="984"/>
      <c r="M219" s="980"/>
      <c r="N219" s="147"/>
      <c r="O219" s="402"/>
      <c r="P219" s="379"/>
      <c r="Q219" s="378">
        <v>78</v>
      </c>
      <c r="R219" s="153" t="s">
        <v>16</v>
      </c>
      <c r="S219" s="147" t="s">
        <v>15</v>
      </c>
      <c r="T219" s="507"/>
      <c r="U219" s="513"/>
      <c r="V219" s="161"/>
      <c r="W219" s="631">
        <v>0</v>
      </c>
      <c r="X219" s="639">
        <v>0</v>
      </c>
      <c r="Y219" s="685">
        <v>0</v>
      </c>
      <c r="Z219" s="385">
        <f>SUM(W219:Y219)</f>
        <v>0</v>
      </c>
      <c r="AA219" s="147"/>
      <c r="AB219" s="154"/>
      <c r="AC219" s="145"/>
      <c r="AD219" s="986"/>
      <c r="AE219" s="967"/>
      <c r="AF219" s="507"/>
      <c r="AG219" s="507"/>
      <c r="AH219" s="507"/>
      <c r="AI219" s="507"/>
      <c r="AJ219" s="507"/>
      <c r="AK219" s="721"/>
      <c r="AL219" s="507"/>
      <c r="AM219" s="507"/>
      <c r="AN219" s="507"/>
      <c r="AO219" s="507"/>
      <c r="AP219" s="507"/>
      <c r="AQ219" s="507"/>
      <c r="AR219" s="507"/>
      <c r="AS219" s="507"/>
      <c r="AT219" s="507"/>
      <c r="AU219" s="507"/>
      <c r="AV219" s="970"/>
    </row>
    <row r="220" spans="1:48" ht="69" hidden="1">
      <c r="A220" s="145"/>
      <c r="B220" s="157" t="s">
        <v>12</v>
      </c>
      <c r="C220" s="156" t="s">
        <v>745</v>
      </c>
      <c r="D220" s="146"/>
      <c r="E220" s="154"/>
      <c r="F220" s="979"/>
      <c r="G220" s="147"/>
      <c r="H220" s="146"/>
      <c r="I220" s="980"/>
      <c r="J220" s="982"/>
      <c r="K220" s="970"/>
      <c r="L220" s="984"/>
      <c r="M220" s="980"/>
      <c r="N220" s="147"/>
      <c r="O220" s="307"/>
      <c r="P220" s="379"/>
      <c r="Q220" s="378">
        <v>579.6</v>
      </c>
      <c r="R220" s="153"/>
      <c r="S220" s="147"/>
      <c r="T220" s="584"/>
      <c r="U220" s="599"/>
      <c r="V220" s="161"/>
      <c r="W220" s="631">
        <v>0</v>
      </c>
      <c r="X220" s="639">
        <v>0</v>
      </c>
      <c r="Y220" s="685">
        <v>0</v>
      </c>
      <c r="Z220" s="385">
        <f>SUM(W220:Y220)</f>
        <v>0</v>
      </c>
      <c r="AA220" s="147"/>
      <c r="AB220" s="163"/>
      <c r="AC220" s="152"/>
      <c r="AD220" s="986"/>
      <c r="AE220" s="967"/>
      <c r="AF220" s="507"/>
      <c r="AG220" s="507"/>
      <c r="AH220" s="507"/>
      <c r="AI220" s="507"/>
      <c r="AJ220" s="507"/>
      <c r="AK220" s="721"/>
      <c r="AL220" s="507"/>
      <c r="AM220" s="507"/>
      <c r="AN220" s="507"/>
      <c r="AO220" s="507"/>
      <c r="AP220" s="507"/>
      <c r="AQ220" s="507"/>
      <c r="AR220" s="507"/>
      <c r="AS220" s="507"/>
      <c r="AT220" s="507"/>
      <c r="AU220" s="507"/>
      <c r="AV220" s="970"/>
    </row>
    <row r="221" spans="1:48" hidden="1">
      <c r="A221" s="145"/>
      <c r="B221" s="157" t="s">
        <v>8</v>
      </c>
      <c r="C221" s="190" t="s">
        <v>373</v>
      </c>
      <c r="D221" s="146"/>
      <c r="E221" s="154"/>
      <c r="F221" s="979"/>
      <c r="G221" s="147"/>
      <c r="H221" s="146"/>
      <c r="I221" s="980"/>
      <c r="J221" s="982"/>
      <c r="K221" s="970"/>
      <c r="L221" s="984"/>
      <c r="M221" s="980"/>
      <c r="N221" s="147"/>
      <c r="O221" s="307"/>
      <c r="P221" s="379"/>
      <c r="Q221" s="378">
        <v>11.78</v>
      </c>
      <c r="R221" s="153"/>
      <c r="S221" s="147"/>
      <c r="T221" s="584"/>
      <c r="U221" s="599"/>
      <c r="V221" s="161"/>
      <c r="W221" s="631"/>
      <c r="X221" s="639"/>
      <c r="Y221" s="685"/>
      <c r="Z221" s="385"/>
      <c r="AA221" s="147"/>
      <c r="AB221" s="163"/>
      <c r="AC221" s="152"/>
      <c r="AD221" s="986"/>
      <c r="AE221" s="967"/>
      <c r="AF221" s="507"/>
      <c r="AG221" s="507"/>
      <c r="AH221" s="507"/>
      <c r="AI221" s="507"/>
      <c r="AJ221" s="507"/>
      <c r="AK221" s="721"/>
      <c r="AL221" s="507"/>
      <c r="AM221" s="507"/>
      <c r="AN221" s="507"/>
      <c r="AO221" s="507"/>
      <c r="AP221" s="507"/>
      <c r="AQ221" s="507"/>
      <c r="AR221" s="507"/>
      <c r="AS221" s="507"/>
      <c r="AT221" s="507"/>
      <c r="AU221" s="507"/>
      <c r="AV221" s="970"/>
    </row>
    <row r="222" spans="1:48" hidden="1">
      <c r="A222" s="145"/>
      <c r="B222" s="157"/>
      <c r="C222" s="156"/>
      <c r="D222" s="146"/>
      <c r="E222" s="154"/>
      <c r="F222" s="979"/>
      <c r="G222" s="147"/>
      <c r="H222" s="146"/>
      <c r="I222" s="980"/>
      <c r="J222" s="982"/>
      <c r="K222" s="970"/>
      <c r="L222" s="984"/>
      <c r="M222" s="980"/>
      <c r="N222" s="147"/>
      <c r="O222" s="402"/>
      <c r="P222" s="379"/>
      <c r="Q222" s="151"/>
      <c r="R222" s="153"/>
      <c r="S222" s="147"/>
      <c r="T222" s="584"/>
      <c r="U222" s="599"/>
      <c r="V222" s="161"/>
      <c r="W222" s="631"/>
      <c r="X222" s="639"/>
      <c r="Y222" s="685"/>
      <c r="Z222" s="385"/>
      <c r="AA222" s="147"/>
      <c r="AB222" s="163"/>
      <c r="AC222" s="152"/>
      <c r="AD222" s="986"/>
      <c r="AE222" s="967"/>
      <c r="AF222" s="507"/>
      <c r="AG222" s="507"/>
      <c r="AH222" s="507"/>
      <c r="AI222" s="507"/>
      <c r="AJ222" s="507"/>
      <c r="AK222" s="721"/>
      <c r="AL222" s="507"/>
      <c r="AM222" s="507"/>
      <c r="AN222" s="507"/>
      <c r="AO222" s="507"/>
      <c r="AP222" s="507"/>
      <c r="AQ222" s="507"/>
      <c r="AR222" s="507"/>
      <c r="AS222" s="507"/>
      <c r="AT222" s="507"/>
      <c r="AU222" s="507"/>
      <c r="AV222" s="970"/>
    </row>
    <row r="223" spans="1:48" hidden="1">
      <c r="A223" s="129"/>
      <c r="B223" s="137"/>
      <c r="C223" s="141"/>
      <c r="D223" s="131"/>
      <c r="E223" s="140"/>
      <c r="F223" s="992"/>
      <c r="G223" s="131"/>
      <c r="H223" s="130"/>
      <c r="I223" s="985"/>
      <c r="J223" s="993"/>
      <c r="K223" s="971"/>
      <c r="L223" s="994"/>
      <c r="M223" s="985"/>
      <c r="N223" s="131"/>
      <c r="O223" s="223"/>
      <c r="P223" s="136"/>
      <c r="Q223" s="135"/>
      <c r="R223" s="137"/>
      <c r="S223" s="131"/>
      <c r="T223" s="508"/>
      <c r="U223" s="514"/>
      <c r="V223" s="573"/>
      <c r="W223" s="632"/>
      <c r="X223" s="652"/>
      <c r="Y223" s="686"/>
      <c r="Z223" s="394"/>
      <c r="AA223" s="131"/>
      <c r="AB223" s="130"/>
      <c r="AC223" s="129"/>
      <c r="AD223" s="987"/>
      <c r="AE223" s="968"/>
      <c r="AF223" s="508"/>
      <c r="AG223" s="508"/>
      <c r="AH223" s="508"/>
      <c r="AI223" s="508"/>
      <c r="AJ223" s="508"/>
      <c r="AK223" s="723"/>
      <c r="AL223" s="508"/>
      <c r="AM223" s="508"/>
      <c r="AN223" s="508"/>
      <c r="AO223" s="508"/>
      <c r="AP223" s="508"/>
      <c r="AQ223" s="508"/>
      <c r="AR223" s="508"/>
      <c r="AS223" s="508"/>
      <c r="AT223" s="508"/>
      <c r="AU223" s="508"/>
      <c r="AV223" s="971"/>
    </row>
    <row r="224" spans="1:48" hidden="1">
      <c r="A224" s="185">
        <v>16</v>
      </c>
      <c r="B224" s="176" t="s">
        <v>25</v>
      </c>
      <c r="C224" s="184" t="s">
        <v>740</v>
      </c>
      <c r="D224" s="176" t="s">
        <v>25</v>
      </c>
      <c r="E224" s="184" t="s">
        <v>743</v>
      </c>
      <c r="F224" s="978"/>
      <c r="G224" s="219" t="s">
        <v>25</v>
      </c>
      <c r="H224" s="154" t="s">
        <v>739</v>
      </c>
      <c r="I224" s="996">
        <v>5600</v>
      </c>
      <c r="J224" s="981"/>
      <c r="K224" s="969" t="s">
        <v>744</v>
      </c>
      <c r="L224" s="1001" t="s">
        <v>46</v>
      </c>
      <c r="M224" s="1002"/>
      <c r="N224" s="207" t="s">
        <v>25</v>
      </c>
      <c r="O224" s="436" t="s">
        <v>59</v>
      </c>
      <c r="P224" s="393">
        <v>1</v>
      </c>
      <c r="Q224" s="392">
        <v>966</v>
      </c>
      <c r="R224" s="176" t="s">
        <v>25</v>
      </c>
      <c r="S224" s="170" t="s">
        <v>24</v>
      </c>
      <c r="T224" s="506">
        <v>3</v>
      </c>
      <c r="U224" s="597">
        <v>1</v>
      </c>
      <c r="V224" s="570" t="s">
        <v>58</v>
      </c>
      <c r="W224" s="619">
        <v>0</v>
      </c>
      <c r="X224" s="659">
        <v>122</v>
      </c>
      <c r="Y224" s="687"/>
      <c r="Z224" s="391">
        <f>SUM(W224:Y224)</f>
        <v>122</v>
      </c>
      <c r="AA224" s="183"/>
      <c r="AB224" s="181"/>
      <c r="AC224" s="168"/>
      <c r="AD224" s="995"/>
      <c r="AE224" s="966"/>
      <c r="AF224" s="506"/>
      <c r="AG224" s="506"/>
      <c r="AH224" s="506"/>
      <c r="AI224" s="506"/>
      <c r="AJ224" s="506"/>
      <c r="AK224" s="722">
        <v>150000</v>
      </c>
      <c r="AL224" s="506"/>
      <c r="AM224" s="506"/>
      <c r="AN224" s="506"/>
      <c r="AO224" s="506"/>
      <c r="AP224" s="506"/>
      <c r="AQ224" s="506"/>
      <c r="AR224" s="506"/>
      <c r="AS224" s="506"/>
      <c r="AT224" s="506"/>
      <c r="AU224" s="506"/>
      <c r="AV224" s="969"/>
    </row>
    <row r="225" spans="1:48" hidden="1">
      <c r="A225" s="145"/>
      <c r="B225" s="153" t="s">
        <v>16</v>
      </c>
      <c r="C225" s="164" t="s">
        <v>738</v>
      </c>
      <c r="D225" s="153" t="s">
        <v>16</v>
      </c>
      <c r="E225" s="164" t="s">
        <v>441</v>
      </c>
      <c r="F225" s="979"/>
      <c r="G225" s="147" t="s">
        <v>16</v>
      </c>
      <c r="H225" s="147" t="s">
        <v>726</v>
      </c>
      <c r="I225" s="980"/>
      <c r="J225" s="982"/>
      <c r="K225" s="970"/>
      <c r="L225" s="984"/>
      <c r="M225" s="1003"/>
      <c r="N225" s="153" t="s">
        <v>16</v>
      </c>
      <c r="O225" s="156" t="s">
        <v>17</v>
      </c>
      <c r="P225" s="379">
        <v>2</v>
      </c>
      <c r="Q225" s="378">
        <v>4563</v>
      </c>
      <c r="R225" s="153"/>
      <c r="S225" s="147"/>
      <c r="T225" s="507"/>
      <c r="U225" s="598"/>
      <c r="V225" s="571" t="s">
        <v>58</v>
      </c>
      <c r="W225" s="620">
        <v>0</v>
      </c>
      <c r="X225" s="660"/>
      <c r="Y225" s="688">
        <v>78</v>
      </c>
      <c r="Z225" s="385">
        <f>SUM(W226:Y226)</f>
        <v>170</v>
      </c>
      <c r="AA225" s="147"/>
      <c r="AB225" s="154"/>
      <c r="AC225" s="145"/>
      <c r="AD225" s="986"/>
      <c r="AE225" s="967"/>
      <c r="AF225" s="507"/>
      <c r="AG225" s="507"/>
      <c r="AH225" s="507"/>
      <c r="AI225" s="507"/>
      <c r="AJ225" s="507"/>
      <c r="AK225" s="721">
        <v>50000</v>
      </c>
      <c r="AL225" s="507"/>
      <c r="AM225" s="507"/>
      <c r="AN225" s="507"/>
      <c r="AO225" s="507"/>
      <c r="AP225" s="507"/>
      <c r="AQ225" s="507"/>
      <c r="AR225" s="507"/>
      <c r="AS225" s="507"/>
      <c r="AT225" s="507"/>
      <c r="AU225" s="507"/>
      <c r="AV225" s="970"/>
    </row>
    <row r="226" spans="1:48" hidden="1">
      <c r="A226" s="145"/>
      <c r="B226" s="153" t="s">
        <v>18</v>
      </c>
      <c r="C226" s="162" t="s">
        <v>38</v>
      </c>
      <c r="D226" s="153" t="s">
        <v>18</v>
      </c>
      <c r="E226" s="162" t="s">
        <v>38</v>
      </c>
      <c r="F226" s="979"/>
      <c r="G226" s="147" t="s">
        <v>18</v>
      </c>
      <c r="H226" s="147" t="s">
        <v>19</v>
      </c>
      <c r="I226" s="980"/>
      <c r="J226" s="982"/>
      <c r="K226" s="970"/>
      <c r="L226" s="984"/>
      <c r="M226" s="1003"/>
      <c r="N226" s="153"/>
      <c r="O226" s="156"/>
      <c r="P226" s="379"/>
      <c r="Q226" s="435">
        <v>3567</v>
      </c>
      <c r="S226" s="388"/>
      <c r="T226" s="586"/>
      <c r="U226" s="598">
        <v>2</v>
      </c>
      <c r="V226" s="571" t="s">
        <v>88</v>
      </c>
      <c r="W226" s="620">
        <v>0</v>
      </c>
      <c r="X226" s="660">
        <v>0</v>
      </c>
      <c r="Y226" s="688">
        <v>170</v>
      </c>
      <c r="Z226" s="386">
        <f>SUM(W227:Y227)</f>
        <v>90</v>
      </c>
      <c r="AA226" s="147"/>
      <c r="AB226" s="154"/>
      <c r="AC226" s="145"/>
      <c r="AD226" s="986"/>
      <c r="AE226" s="967"/>
      <c r="AF226" s="507"/>
      <c r="AG226" s="507"/>
      <c r="AH226" s="507"/>
      <c r="AI226" s="507"/>
      <c r="AJ226" s="507"/>
      <c r="AK226" s="721">
        <v>20000</v>
      </c>
      <c r="AL226" s="507"/>
      <c r="AM226" s="507"/>
      <c r="AN226" s="507"/>
      <c r="AO226" s="507"/>
      <c r="AP226" s="507"/>
      <c r="AQ226" s="507"/>
      <c r="AR226" s="507"/>
      <c r="AS226" s="507"/>
      <c r="AT226" s="507"/>
      <c r="AU226" s="507"/>
      <c r="AV226" s="970"/>
    </row>
    <row r="227" spans="1:48" ht="55.2" hidden="1">
      <c r="A227" s="145"/>
      <c r="B227" s="157" t="s">
        <v>12</v>
      </c>
      <c r="C227" s="156" t="s">
        <v>737</v>
      </c>
      <c r="D227" s="157" t="s">
        <v>12</v>
      </c>
      <c r="E227" s="156" t="s">
        <v>725</v>
      </c>
      <c r="F227" s="979"/>
      <c r="G227" s="147"/>
      <c r="H227" s="146"/>
      <c r="I227" s="980"/>
      <c r="J227" s="982"/>
      <c r="K227" s="970"/>
      <c r="L227" s="984"/>
      <c r="M227" s="1003"/>
      <c r="N227" s="153"/>
      <c r="O227" s="417"/>
      <c r="P227" s="379"/>
      <c r="Q227" s="435">
        <v>6</v>
      </c>
      <c r="S227" s="388"/>
      <c r="T227" s="586"/>
      <c r="U227" s="598">
        <v>3</v>
      </c>
      <c r="V227" s="571" t="s">
        <v>883</v>
      </c>
      <c r="W227" s="620">
        <v>0</v>
      </c>
      <c r="X227" s="660">
        <v>0</v>
      </c>
      <c r="Y227" s="688">
        <v>90</v>
      </c>
      <c r="Z227" s="387"/>
      <c r="AA227" s="147"/>
      <c r="AB227" s="154"/>
      <c r="AC227" s="145"/>
      <c r="AD227" s="986"/>
      <c r="AE227" s="967"/>
      <c r="AF227" s="507"/>
      <c r="AG227" s="507"/>
      <c r="AH227" s="507"/>
      <c r="AI227" s="507"/>
      <c r="AJ227" s="507"/>
      <c r="AK227" s="721">
        <v>20000</v>
      </c>
      <c r="AL227" s="507"/>
      <c r="AM227" s="507"/>
      <c r="AN227" s="507"/>
      <c r="AO227" s="507"/>
      <c r="AP227" s="507"/>
      <c r="AQ227" s="507"/>
      <c r="AR227" s="507"/>
      <c r="AS227" s="507"/>
      <c r="AT227" s="507"/>
      <c r="AU227" s="507"/>
      <c r="AV227" s="970"/>
    </row>
    <row r="228" spans="1:48" hidden="1">
      <c r="A228" s="145"/>
      <c r="B228" s="153" t="s">
        <v>8</v>
      </c>
      <c r="C228" s="220" t="s">
        <v>736</v>
      </c>
      <c r="D228" s="147" t="s">
        <v>8</v>
      </c>
      <c r="E228" s="220" t="s">
        <v>741</v>
      </c>
      <c r="F228" s="979"/>
      <c r="G228" s="147"/>
      <c r="H228" s="146"/>
      <c r="I228" s="980"/>
      <c r="J228" s="982"/>
      <c r="K228" s="970"/>
      <c r="L228" s="984"/>
      <c r="M228" s="980"/>
      <c r="N228" s="147"/>
      <c r="O228" s="307"/>
      <c r="P228" s="379"/>
      <c r="Q228" s="378"/>
      <c r="R228" s="153"/>
      <c r="S228" s="147"/>
      <c r="T228" s="507"/>
      <c r="U228" s="572"/>
      <c r="V228" s="572"/>
      <c r="W228" s="621"/>
      <c r="X228" s="661"/>
      <c r="Y228" s="689"/>
      <c r="Z228" s="385"/>
      <c r="AA228" s="147"/>
      <c r="AB228" s="154"/>
      <c r="AC228" s="145"/>
      <c r="AD228" s="986"/>
      <c r="AE228" s="967"/>
      <c r="AF228" s="507"/>
      <c r="AG228" s="507"/>
      <c r="AH228" s="507"/>
      <c r="AI228" s="507"/>
      <c r="AJ228" s="507"/>
      <c r="AK228" s="721"/>
      <c r="AL228" s="507"/>
      <c r="AM228" s="507"/>
      <c r="AN228" s="507"/>
      <c r="AO228" s="507"/>
      <c r="AP228" s="507"/>
      <c r="AQ228" s="507"/>
      <c r="AR228" s="507"/>
      <c r="AS228" s="507"/>
      <c r="AT228" s="507"/>
      <c r="AU228" s="507"/>
      <c r="AV228" s="970"/>
    </row>
    <row r="229" spans="1:48" hidden="1">
      <c r="A229" s="145"/>
      <c r="B229" s="157"/>
      <c r="C229" s="156"/>
      <c r="D229" s="146"/>
      <c r="E229" s="156"/>
      <c r="F229" s="979"/>
      <c r="G229" s="147"/>
      <c r="H229" s="146"/>
      <c r="I229" s="980"/>
      <c r="J229" s="982"/>
      <c r="K229" s="970"/>
      <c r="L229" s="984"/>
      <c r="M229" s="980"/>
      <c r="N229" s="147"/>
      <c r="O229" s="307"/>
      <c r="P229" s="379"/>
      <c r="Q229" s="378"/>
      <c r="R229" s="153" t="s">
        <v>16</v>
      </c>
      <c r="S229" s="147" t="s">
        <v>15</v>
      </c>
      <c r="T229" s="507">
        <v>2</v>
      </c>
      <c r="U229" s="599"/>
      <c r="V229" s="581"/>
      <c r="W229" s="636"/>
      <c r="X229" s="639"/>
      <c r="Y229" s="685"/>
      <c r="Z229" s="385">
        <f>SUM(W230:Y230)</f>
        <v>39</v>
      </c>
      <c r="AA229" s="147"/>
      <c r="AB229" s="154"/>
      <c r="AC229" s="145"/>
      <c r="AD229" s="986"/>
      <c r="AE229" s="967"/>
      <c r="AF229" s="507"/>
      <c r="AG229" s="507"/>
      <c r="AH229" s="507"/>
      <c r="AI229" s="507"/>
      <c r="AJ229" s="507"/>
      <c r="AK229" s="721"/>
      <c r="AL229" s="507"/>
      <c r="AM229" s="507"/>
      <c r="AN229" s="507"/>
      <c r="AO229" s="507"/>
      <c r="AP229" s="507"/>
      <c r="AQ229" s="507"/>
      <c r="AR229" s="507"/>
      <c r="AS229" s="507"/>
      <c r="AT229" s="507"/>
      <c r="AU229" s="507"/>
      <c r="AV229" s="970"/>
    </row>
    <row r="230" spans="1:48" hidden="1">
      <c r="A230" s="145"/>
      <c r="B230" s="157"/>
      <c r="C230" s="156"/>
      <c r="D230" s="146"/>
      <c r="E230" s="156"/>
      <c r="F230" s="979"/>
      <c r="G230" s="147"/>
      <c r="H230" s="146"/>
      <c r="I230" s="980"/>
      <c r="J230" s="982"/>
      <c r="K230" s="970"/>
      <c r="L230" s="984"/>
      <c r="M230" s="980"/>
      <c r="N230" s="147"/>
      <c r="O230" s="307"/>
      <c r="P230" s="379"/>
      <c r="Q230" s="378"/>
      <c r="R230" s="153"/>
      <c r="S230" s="147"/>
      <c r="T230" s="507"/>
      <c r="U230" s="599">
        <v>1</v>
      </c>
      <c r="V230" s="161" t="s">
        <v>137</v>
      </c>
      <c r="W230" s="636">
        <v>39</v>
      </c>
      <c r="X230" s="639"/>
      <c r="Y230" s="685">
        <v>0</v>
      </c>
      <c r="Z230" s="385">
        <f>SUM(W232:Y232)</f>
        <v>48</v>
      </c>
      <c r="AA230" s="147"/>
      <c r="AB230" s="154"/>
      <c r="AC230" s="145"/>
      <c r="AD230" s="986"/>
      <c r="AE230" s="967"/>
      <c r="AF230" s="507"/>
      <c r="AG230" s="507"/>
      <c r="AH230" s="507"/>
      <c r="AI230" s="507"/>
      <c r="AJ230" s="507"/>
      <c r="AK230" s="721">
        <v>125000</v>
      </c>
      <c r="AL230" s="507"/>
      <c r="AM230" s="507"/>
      <c r="AN230" s="507"/>
      <c r="AO230" s="507"/>
      <c r="AP230" s="507"/>
      <c r="AQ230" s="507"/>
      <c r="AR230" s="507"/>
      <c r="AS230" s="507"/>
      <c r="AT230" s="507"/>
      <c r="AU230" s="507"/>
      <c r="AV230" s="970"/>
    </row>
    <row r="231" spans="1:48" hidden="1">
      <c r="A231" s="145"/>
      <c r="B231" s="157"/>
      <c r="C231" s="156"/>
      <c r="D231" s="146"/>
      <c r="E231" s="156"/>
      <c r="F231" s="979"/>
      <c r="G231" s="147"/>
      <c r="H231" s="146"/>
      <c r="I231" s="980"/>
      <c r="J231" s="982"/>
      <c r="K231" s="970"/>
      <c r="L231" s="984"/>
      <c r="M231" s="980"/>
      <c r="N231" s="147"/>
      <c r="O231" s="307"/>
      <c r="P231" s="379"/>
      <c r="Q231" s="378"/>
      <c r="R231" s="153"/>
      <c r="S231" s="147"/>
      <c r="T231" s="507"/>
      <c r="U231" s="599"/>
      <c r="V231" s="161" t="s">
        <v>137</v>
      </c>
      <c r="W231" s="636"/>
      <c r="X231" s="639">
        <v>41</v>
      </c>
      <c r="Y231" s="685">
        <v>0</v>
      </c>
      <c r="Z231" s="385"/>
      <c r="AA231" s="147"/>
      <c r="AB231" s="154"/>
      <c r="AC231" s="145"/>
      <c r="AD231" s="986"/>
      <c r="AE231" s="967"/>
      <c r="AF231" s="507"/>
      <c r="AG231" s="507"/>
      <c r="AH231" s="507"/>
      <c r="AI231" s="507"/>
      <c r="AJ231" s="507"/>
      <c r="AK231" s="721">
        <v>82500</v>
      </c>
      <c r="AL231" s="507"/>
      <c r="AM231" s="507"/>
      <c r="AN231" s="507"/>
      <c r="AO231" s="507"/>
      <c r="AP231" s="507"/>
      <c r="AQ231" s="507"/>
      <c r="AR231" s="507"/>
      <c r="AS231" s="507"/>
      <c r="AT231" s="507"/>
      <c r="AU231" s="507"/>
      <c r="AV231" s="970"/>
    </row>
    <row r="232" spans="1:48" hidden="1">
      <c r="A232" s="145"/>
      <c r="B232" s="157"/>
      <c r="C232" s="156"/>
      <c r="D232" s="146"/>
      <c r="E232" s="156"/>
      <c r="F232" s="979"/>
      <c r="G232" s="147"/>
      <c r="H232" s="146"/>
      <c r="I232" s="980"/>
      <c r="J232" s="982"/>
      <c r="K232" s="970"/>
      <c r="L232" s="984"/>
      <c r="M232" s="980"/>
      <c r="N232" s="147"/>
      <c r="O232" s="307"/>
      <c r="P232" s="379"/>
      <c r="Q232" s="378"/>
      <c r="R232" s="153"/>
      <c r="S232" s="147"/>
      <c r="T232" s="507"/>
      <c r="U232" s="599">
        <v>2</v>
      </c>
      <c r="V232" s="581" t="s">
        <v>14</v>
      </c>
      <c r="W232" s="636">
        <v>48</v>
      </c>
      <c r="X232" s="639"/>
      <c r="Y232" s="685"/>
      <c r="Z232" s="385"/>
      <c r="AA232" s="147"/>
      <c r="AB232" s="154"/>
      <c r="AC232" s="145"/>
      <c r="AD232" s="986"/>
      <c r="AE232" s="967"/>
      <c r="AF232" s="507"/>
      <c r="AG232" s="507"/>
      <c r="AH232" s="507"/>
      <c r="AI232" s="507"/>
      <c r="AJ232" s="507"/>
      <c r="AK232" s="721">
        <v>350000</v>
      </c>
      <c r="AL232" s="507"/>
      <c r="AM232" s="507"/>
      <c r="AN232" s="507"/>
      <c r="AO232" s="507"/>
      <c r="AP232" s="507"/>
      <c r="AQ232" s="507"/>
      <c r="AR232" s="507"/>
      <c r="AS232" s="507"/>
      <c r="AT232" s="507"/>
      <c r="AU232" s="507"/>
      <c r="AV232" s="970"/>
    </row>
    <row r="233" spans="1:48" hidden="1">
      <c r="A233" s="145"/>
      <c r="B233" s="157"/>
      <c r="C233" s="156"/>
      <c r="D233" s="146"/>
      <c r="E233" s="156"/>
      <c r="F233" s="979"/>
      <c r="G233" s="147"/>
      <c r="H233" s="146"/>
      <c r="I233" s="980"/>
      <c r="J233" s="982"/>
      <c r="K233" s="970"/>
      <c r="L233" s="984"/>
      <c r="M233" s="980"/>
      <c r="N233" s="147"/>
      <c r="O233" s="307"/>
      <c r="P233" s="379"/>
      <c r="Q233" s="378"/>
      <c r="R233" s="153"/>
      <c r="S233" s="147"/>
      <c r="T233" s="507"/>
      <c r="U233" s="599"/>
      <c r="V233" s="581" t="s">
        <v>14</v>
      </c>
      <c r="W233" s="636"/>
      <c r="X233" s="639">
        <v>271</v>
      </c>
      <c r="Y233" s="685"/>
      <c r="Z233" s="385"/>
      <c r="AA233" s="147"/>
      <c r="AB233" s="154"/>
      <c r="AC233" s="145"/>
      <c r="AD233" s="986"/>
      <c r="AE233" s="967"/>
      <c r="AF233" s="507"/>
      <c r="AG233" s="507"/>
      <c r="AH233" s="507"/>
      <c r="AI233" s="507"/>
      <c r="AJ233" s="507"/>
      <c r="AK233" s="721">
        <v>231000</v>
      </c>
      <c r="AL233" s="507"/>
      <c r="AM233" s="507"/>
      <c r="AN233" s="507"/>
      <c r="AO233" s="507"/>
      <c r="AP233" s="507"/>
      <c r="AQ233" s="507"/>
      <c r="AR233" s="507"/>
      <c r="AS233" s="507"/>
      <c r="AT233" s="507"/>
      <c r="AU233" s="507"/>
      <c r="AV233" s="970"/>
    </row>
    <row r="234" spans="1:48" hidden="1">
      <c r="A234" s="145"/>
      <c r="B234" s="157"/>
      <c r="C234" s="156"/>
      <c r="D234" s="146"/>
      <c r="E234" s="156"/>
      <c r="F234" s="979"/>
      <c r="G234" s="147"/>
      <c r="H234" s="146"/>
      <c r="I234" s="980"/>
      <c r="J234" s="982"/>
      <c r="K234" s="970"/>
      <c r="L234" s="984"/>
      <c r="M234" s="980"/>
      <c r="N234" s="147"/>
      <c r="O234" s="307"/>
      <c r="P234" s="379"/>
      <c r="Q234" s="378"/>
      <c r="R234" s="153"/>
      <c r="S234" s="147"/>
      <c r="T234" s="507"/>
      <c r="U234" s="599"/>
      <c r="V234" s="581" t="s">
        <v>14</v>
      </c>
      <c r="W234" s="636"/>
      <c r="X234" s="639"/>
      <c r="Y234" s="685">
        <v>82</v>
      </c>
      <c r="Z234" s="385"/>
      <c r="AA234" s="147"/>
      <c r="AB234" s="154"/>
      <c r="AC234" s="145"/>
      <c r="AD234" s="986"/>
      <c r="AE234" s="967"/>
      <c r="AF234" s="507"/>
      <c r="AG234" s="507"/>
      <c r="AH234" s="507"/>
      <c r="AI234" s="507"/>
      <c r="AJ234" s="507"/>
      <c r="AK234" s="721">
        <v>115500</v>
      </c>
      <c r="AL234" s="507"/>
      <c r="AM234" s="507"/>
      <c r="AN234" s="507"/>
      <c r="AO234" s="507"/>
      <c r="AP234" s="507"/>
      <c r="AQ234" s="507"/>
      <c r="AR234" s="507"/>
      <c r="AS234" s="507"/>
      <c r="AT234" s="507"/>
      <c r="AU234" s="507"/>
      <c r="AV234" s="970"/>
    </row>
    <row r="235" spans="1:48" hidden="1">
      <c r="A235" s="129"/>
      <c r="B235" s="400"/>
      <c r="C235" s="398"/>
      <c r="D235" s="399"/>
      <c r="E235" s="398"/>
      <c r="F235" s="992"/>
      <c r="G235" s="131"/>
      <c r="H235" s="130"/>
      <c r="I235" s="985"/>
      <c r="J235" s="993"/>
      <c r="K235" s="971"/>
      <c r="L235" s="994"/>
      <c r="M235" s="985"/>
      <c r="N235" s="131"/>
      <c r="O235" s="138"/>
      <c r="P235" s="397"/>
      <c r="Q235" s="135"/>
      <c r="R235" s="137"/>
      <c r="S235" s="131"/>
      <c r="T235" s="508"/>
      <c r="U235" s="600"/>
      <c r="V235" s="573"/>
      <c r="W235" s="623"/>
      <c r="X235" s="652"/>
      <c r="Y235" s="686"/>
      <c r="Z235" s="394"/>
      <c r="AA235" s="131"/>
      <c r="AB235" s="138"/>
      <c r="AC235" s="129"/>
      <c r="AD235" s="987"/>
      <c r="AE235" s="968"/>
      <c r="AF235" s="508"/>
      <c r="AG235" s="508"/>
      <c r="AH235" s="508"/>
      <c r="AI235" s="508"/>
      <c r="AJ235" s="508"/>
      <c r="AK235" s="723"/>
      <c r="AL235" s="508"/>
      <c r="AM235" s="508"/>
      <c r="AN235" s="508"/>
      <c r="AO235" s="508"/>
      <c r="AP235" s="508"/>
      <c r="AQ235" s="508"/>
      <c r="AR235" s="508"/>
      <c r="AS235" s="508"/>
      <c r="AT235" s="508"/>
      <c r="AU235" s="508"/>
      <c r="AV235" s="971"/>
    </row>
    <row r="236" spans="1:48" hidden="1">
      <c r="A236" s="185">
        <v>17</v>
      </c>
      <c r="B236" s="176" t="s">
        <v>25</v>
      </c>
      <c r="C236" s="184" t="s">
        <v>740</v>
      </c>
      <c r="D236" s="176" t="s">
        <v>25</v>
      </c>
      <c r="E236" s="184" t="s">
        <v>743</v>
      </c>
      <c r="F236" s="978"/>
      <c r="G236" s="219" t="s">
        <v>25</v>
      </c>
      <c r="H236" s="154" t="s">
        <v>739</v>
      </c>
      <c r="I236" s="975">
        <v>4013</v>
      </c>
      <c r="J236" s="981"/>
      <c r="K236" s="969" t="s">
        <v>742</v>
      </c>
      <c r="L236" s="969"/>
      <c r="M236" s="975"/>
      <c r="N236" s="170"/>
      <c r="O236" s="177"/>
      <c r="P236" s="175"/>
      <c r="Q236" s="174"/>
      <c r="R236" s="207" t="s">
        <v>25</v>
      </c>
      <c r="S236" s="170" t="s">
        <v>24</v>
      </c>
      <c r="T236" s="506">
        <v>3</v>
      </c>
      <c r="U236" s="597">
        <v>1</v>
      </c>
      <c r="V236" s="570" t="s">
        <v>88</v>
      </c>
      <c r="W236" s="644">
        <v>0</v>
      </c>
      <c r="X236" s="665">
        <v>0</v>
      </c>
      <c r="Y236" s="699">
        <v>72</v>
      </c>
      <c r="Z236" s="391">
        <f>SUM(W236:Y236)</f>
        <v>72</v>
      </c>
      <c r="AA236" s="170"/>
      <c r="AB236" s="169"/>
      <c r="AC236" s="168"/>
      <c r="AD236" s="167"/>
      <c r="AE236" s="166"/>
      <c r="AF236" s="506"/>
      <c r="AG236" s="506"/>
      <c r="AH236" s="506"/>
      <c r="AI236" s="506"/>
      <c r="AJ236" s="506"/>
      <c r="AK236" s="722">
        <v>20000</v>
      </c>
      <c r="AL236" s="506"/>
      <c r="AM236" s="506"/>
      <c r="AN236" s="506"/>
      <c r="AO236" s="506"/>
      <c r="AP236" s="506"/>
      <c r="AQ236" s="506"/>
      <c r="AR236" s="506"/>
      <c r="AS236" s="506"/>
      <c r="AT236" s="506"/>
      <c r="AU236" s="506"/>
      <c r="AV236" s="165"/>
    </row>
    <row r="237" spans="1:48" hidden="1">
      <c r="A237" s="145"/>
      <c r="B237" s="153" t="s">
        <v>16</v>
      </c>
      <c r="C237" s="164" t="s">
        <v>738</v>
      </c>
      <c r="D237" s="153" t="s">
        <v>16</v>
      </c>
      <c r="E237" s="164" t="s">
        <v>441</v>
      </c>
      <c r="F237" s="979"/>
      <c r="G237" s="147" t="s">
        <v>16</v>
      </c>
      <c r="H237" s="147" t="s">
        <v>726</v>
      </c>
      <c r="I237" s="976"/>
      <c r="J237" s="982"/>
      <c r="K237" s="970"/>
      <c r="L237" s="970"/>
      <c r="M237" s="976"/>
      <c r="N237" s="147"/>
      <c r="O237" s="203"/>
      <c r="P237" s="152"/>
      <c r="Q237" s="151"/>
      <c r="R237" s="153"/>
      <c r="S237" s="147"/>
      <c r="T237" s="507"/>
      <c r="U237" s="598">
        <v>2</v>
      </c>
      <c r="V237" s="571" t="s">
        <v>58</v>
      </c>
      <c r="W237" s="645">
        <v>0</v>
      </c>
      <c r="X237" s="666">
        <v>50</v>
      </c>
      <c r="Y237" s="700">
        <v>0</v>
      </c>
      <c r="Z237" s="385">
        <f>SUM(W237:Y237)</f>
        <v>50</v>
      </c>
      <c r="AA237" s="147"/>
      <c r="AB237" s="146"/>
      <c r="AC237" s="145"/>
      <c r="AD237" s="144"/>
      <c r="AE237" s="143"/>
      <c r="AF237" s="507"/>
      <c r="AG237" s="507"/>
      <c r="AH237" s="507"/>
      <c r="AI237" s="507"/>
      <c r="AJ237" s="507"/>
      <c r="AK237" s="721">
        <v>150000</v>
      </c>
      <c r="AL237" s="507"/>
      <c r="AM237" s="507"/>
      <c r="AN237" s="507"/>
      <c r="AO237" s="507"/>
      <c r="AP237" s="507"/>
      <c r="AQ237" s="507"/>
      <c r="AR237" s="507"/>
      <c r="AS237" s="507"/>
      <c r="AT237" s="507"/>
      <c r="AU237" s="507"/>
      <c r="AV237" s="142"/>
    </row>
    <row r="238" spans="1:48" hidden="1">
      <c r="A238" s="145"/>
      <c r="B238" s="153" t="s">
        <v>18</v>
      </c>
      <c r="C238" s="162" t="s">
        <v>38</v>
      </c>
      <c r="D238" s="153" t="s">
        <v>18</v>
      </c>
      <c r="E238" s="162" t="s">
        <v>38</v>
      </c>
      <c r="F238" s="979"/>
      <c r="G238" s="147" t="s">
        <v>18</v>
      </c>
      <c r="H238" s="147" t="s">
        <v>19</v>
      </c>
      <c r="I238" s="976"/>
      <c r="J238" s="982"/>
      <c r="K238" s="970"/>
      <c r="L238" s="970"/>
      <c r="M238" s="976"/>
      <c r="N238" s="147"/>
      <c r="O238" s="203"/>
      <c r="P238" s="152"/>
      <c r="Q238" s="152"/>
      <c r="S238" s="388"/>
      <c r="T238" s="591"/>
      <c r="U238" s="598">
        <v>3</v>
      </c>
      <c r="V238" s="571" t="s">
        <v>109</v>
      </c>
      <c r="W238" s="645">
        <v>0</v>
      </c>
      <c r="X238" s="666">
        <v>0</v>
      </c>
      <c r="Y238" s="700">
        <v>70</v>
      </c>
      <c r="Z238" s="396">
        <f>SUM(W238:Y238)</f>
        <v>70</v>
      </c>
      <c r="AA238" s="147"/>
      <c r="AB238" s="146"/>
      <c r="AC238" s="145"/>
      <c r="AD238" s="144"/>
      <c r="AE238" s="143"/>
      <c r="AF238" s="507"/>
      <c r="AG238" s="507"/>
      <c r="AH238" s="507"/>
      <c r="AI238" s="507"/>
      <c r="AJ238" s="507"/>
      <c r="AK238" s="721">
        <v>10000</v>
      </c>
      <c r="AL238" s="507"/>
      <c r="AM238" s="507"/>
      <c r="AN238" s="507"/>
      <c r="AO238" s="507"/>
      <c r="AP238" s="507"/>
      <c r="AQ238" s="507"/>
      <c r="AR238" s="507"/>
      <c r="AS238" s="507"/>
      <c r="AT238" s="507"/>
      <c r="AU238" s="507"/>
      <c r="AV238" s="142"/>
    </row>
    <row r="239" spans="1:48" ht="55.2" hidden="1">
      <c r="A239" s="145"/>
      <c r="B239" s="157" t="s">
        <v>12</v>
      </c>
      <c r="C239" s="156" t="s">
        <v>737</v>
      </c>
      <c r="D239" s="157" t="s">
        <v>12</v>
      </c>
      <c r="E239" s="156" t="s">
        <v>725</v>
      </c>
      <c r="F239" s="979"/>
      <c r="G239" s="147"/>
      <c r="H239" s="146"/>
      <c r="I239" s="976"/>
      <c r="J239" s="982"/>
      <c r="K239" s="970"/>
      <c r="L239" s="970"/>
      <c r="M239" s="976"/>
      <c r="N239" s="147"/>
      <c r="O239" s="203"/>
      <c r="P239" s="152"/>
      <c r="Q239" s="151"/>
      <c r="R239" s="153"/>
      <c r="S239" s="147"/>
      <c r="T239" s="507"/>
      <c r="U239" s="589"/>
      <c r="V239" s="161"/>
      <c r="W239" s="622"/>
      <c r="X239" s="639"/>
      <c r="Y239" s="685"/>
      <c r="Z239" s="385"/>
      <c r="AA239" s="147"/>
      <c r="AB239" s="146"/>
      <c r="AC239" s="145"/>
      <c r="AD239" s="144"/>
      <c r="AE239" s="143"/>
      <c r="AF239" s="507"/>
      <c r="AG239" s="507"/>
      <c r="AH239" s="507"/>
      <c r="AI239" s="507"/>
      <c r="AJ239" s="507"/>
      <c r="AK239" s="721"/>
      <c r="AL239" s="507"/>
      <c r="AM239" s="507"/>
      <c r="AN239" s="507"/>
      <c r="AO239" s="507"/>
      <c r="AP239" s="507"/>
      <c r="AQ239" s="507"/>
      <c r="AR239" s="507"/>
      <c r="AS239" s="507"/>
      <c r="AT239" s="507"/>
      <c r="AU239" s="507"/>
      <c r="AV239" s="142"/>
    </row>
    <row r="240" spans="1:48" hidden="1">
      <c r="A240" s="145"/>
      <c r="B240" s="157" t="s">
        <v>8</v>
      </c>
      <c r="C240" s="156" t="s">
        <v>736</v>
      </c>
      <c r="D240" s="157" t="s">
        <v>8</v>
      </c>
      <c r="E240" s="156" t="s">
        <v>741</v>
      </c>
      <c r="F240" s="979"/>
      <c r="G240" s="147"/>
      <c r="H240" s="146"/>
      <c r="I240" s="976"/>
      <c r="J240" s="982"/>
      <c r="K240" s="970"/>
      <c r="L240" s="970"/>
      <c r="M240" s="976"/>
      <c r="N240" s="147"/>
      <c r="O240" s="203"/>
      <c r="P240" s="152"/>
      <c r="Q240" s="152"/>
      <c r="S240" s="388"/>
      <c r="T240" s="586"/>
      <c r="U240" s="572"/>
      <c r="V240" s="572"/>
      <c r="W240" s="621"/>
      <c r="X240" s="661"/>
      <c r="Y240" s="689"/>
      <c r="Z240" s="387"/>
      <c r="AA240" s="147"/>
      <c r="AB240" s="146"/>
      <c r="AC240" s="145"/>
      <c r="AD240" s="144"/>
      <c r="AE240" s="143"/>
      <c r="AF240" s="507"/>
      <c r="AG240" s="507"/>
      <c r="AH240" s="507"/>
      <c r="AI240" s="507"/>
      <c r="AJ240" s="507"/>
      <c r="AK240" s="721"/>
      <c r="AL240" s="507"/>
      <c r="AM240" s="507"/>
      <c r="AN240" s="507"/>
      <c r="AO240" s="507"/>
      <c r="AP240" s="507"/>
      <c r="AQ240" s="507"/>
      <c r="AR240" s="507"/>
      <c r="AS240" s="507"/>
      <c r="AT240" s="507"/>
      <c r="AU240" s="507"/>
      <c r="AV240" s="142"/>
    </row>
    <row r="241" spans="1:48" hidden="1">
      <c r="A241" s="145"/>
      <c r="B241" s="157"/>
      <c r="C241" s="156"/>
      <c r="D241" s="157"/>
      <c r="E241" s="156"/>
      <c r="F241" s="979"/>
      <c r="G241" s="147"/>
      <c r="H241" s="146"/>
      <c r="I241" s="976"/>
      <c r="J241" s="982"/>
      <c r="K241" s="970"/>
      <c r="L241" s="970"/>
      <c r="M241" s="976"/>
      <c r="N241" s="147"/>
      <c r="O241" s="203"/>
      <c r="P241" s="152"/>
      <c r="Q241" s="151"/>
      <c r="R241" s="153" t="s">
        <v>16</v>
      </c>
      <c r="S241" s="147" t="s">
        <v>15</v>
      </c>
      <c r="T241" s="592">
        <v>1</v>
      </c>
      <c r="U241" s="608">
        <v>1</v>
      </c>
      <c r="V241" s="161" t="s">
        <v>14</v>
      </c>
      <c r="W241" s="650">
        <v>0</v>
      </c>
      <c r="X241" s="639">
        <v>80</v>
      </c>
      <c r="Y241" s="685">
        <v>0</v>
      </c>
      <c r="Z241" s="385">
        <f>SUM(W241:Y241)</f>
        <v>80</v>
      </c>
      <c r="AA241" s="147"/>
      <c r="AB241" s="146"/>
      <c r="AC241" s="145"/>
      <c r="AD241" s="144"/>
      <c r="AE241" s="143"/>
      <c r="AF241" s="507"/>
      <c r="AG241" s="507"/>
      <c r="AH241" s="507"/>
      <c r="AI241" s="507"/>
      <c r="AJ241" s="507"/>
      <c r="AK241" s="721">
        <v>231000</v>
      </c>
      <c r="AL241" s="507"/>
      <c r="AM241" s="507"/>
      <c r="AN241" s="507"/>
      <c r="AO241" s="507"/>
      <c r="AP241" s="507"/>
      <c r="AQ241" s="507"/>
      <c r="AR241" s="507"/>
      <c r="AS241" s="507"/>
      <c r="AT241" s="507"/>
      <c r="AU241" s="507"/>
      <c r="AV241" s="142"/>
    </row>
    <row r="242" spans="1:48" hidden="1">
      <c r="A242" s="145"/>
      <c r="B242" s="137"/>
      <c r="C242" s="141"/>
      <c r="D242" s="137"/>
      <c r="E242" s="141"/>
      <c r="F242" s="979"/>
      <c r="G242" s="137"/>
      <c r="H242" s="314"/>
      <c r="I242" s="977"/>
      <c r="J242" s="982"/>
      <c r="K242" s="971"/>
      <c r="L242" s="971"/>
      <c r="M242" s="977"/>
      <c r="N242" s="147"/>
      <c r="O242" s="203"/>
      <c r="P242" s="152"/>
      <c r="Q242" s="151"/>
      <c r="R242" s="153"/>
      <c r="S242" s="147"/>
      <c r="T242" s="507"/>
      <c r="U242" s="513"/>
      <c r="V242" s="161"/>
      <c r="W242" s="622"/>
      <c r="X242" s="639"/>
      <c r="Y242" s="685"/>
      <c r="Z242" s="385"/>
      <c r="AA242" s="147"/>
      <c r="AB242" s="146"/>
      <c r="AC242" s="145"/>
      <c r="AD242" s="144"/>
      <c r="AE242" s="143"/>
      <c r="AF242" s="507"/>
      <c r="AG242" s="507"/>
      <c r="AH242" s="507"/>
      <c r="AI242" s="507"/>
      <c r="AJ242" s="507"/>
      <c r="AK242" s="721"/>
      <c r="AL242" s="507"/>
      <c r="AM242" s="507"/>
      <c r="AN242" s="507"/>
      <c r="AO242" s="507"/>
      <c r="AP242" s="507"/>
      <c r="AQ242" s="507"/>
      <c r="AR242" s="507"/>
      <c r="AS242" s="507"/>
      <c r="AT242" s="507"/>
      <c r="AU242" s="507"/>
      <c r="AV242" s="142"/>
    </row>
    <row r="243" spans="1:48" hidden="1">
      <c r="A243" s="200">
        <v>18</v>
      </c>
      <c r="B243" s="176" t="s">
        <v>25</v>
      </c>
      <c r="C243" s="184" t="s">
        <v>740</v>
      </c>
      <c r="D243" s="176" t="s">
        <v>25</v>
      </c>
      <c r="E243" s="184" t="s">
        <v>730</v>
      </c>
      <c r="F243" s="978"/>
      <c r="G243" s="219" t="s">
        <v>25</v>
      </c>
      <c r="H243" s="154" t="s">
        <v>739</v>
      </c>
      <c r="I243" s="975">
        <v>5600</v>
      </c>
      <c r="J243" s="981"/>
      <c r="K243" s="969" t="s">
        <v>649</v>
      </c>
      <c r="L243" s="180"/>
      <c r="M243" s="975"/>
      <c r="N243" s="170"/>
      <c r="O243" s="169"/>
      <c r="P243" s="175"/>
      <c r="Q243" s="174"/>
      <c r="R243" s="176" t="s">
        <v>25</v>
      </c>
      <c r="S243" s="170" t="s">
        <v>24</v>
      </c>
      <c r="T243" s="506"/>
      <c r="U243" s="512"/>
      <c r="V243" s="567"/>
      <c r="W243" s="651"/>
      <c r="X243" s="638"/>
      <c r="Y243" s="696"/>
      <c r="Z243" s="391"/>
      <c r="AA243" s="170"/>
      <c r="AB243" s="169"/>
      <c r="AC243" s="168"/>
      <c r="AD243" s="167"/>
      <c r="AE243" s="166"/>
      <c r="AF243" s="506"/>
      <c r="AG243" s="506"/>
      <c r="AH243" s="506"/>
      <c r="AI243" s="506"/>
      <c r="AJ243" s="506"/>
      <c r="AK243" s="722"/>
      <c r="AL243" s="506"/>
      <c r="AM243" s="506"/>
      <c r="AN243" s="506"/>
      <c r="AO243" s="506"/>
      <c r="AP243" s="506"/>
      <c r="AQ243" s="506"/>
      <c r="AR243" s="506"/>
      <c r="AS243" s="506"/>
      <c r="AT243" s="506"/>
      <c r="AU243" s="506"/>
      <c r="AV243" s="165"/>
    </row>
    <row r="244" spans="1:48" hidden="1">
      <c r="A244" s="145"/>
      <c r="B244" s="153" t="s">
        <v>16</v>
      </c>
      <c r="C244" s="164" t="s">
        <v>738</v>
      </c>
      <c r="D244" s="153" t="s">
        <v>16</v>
      </c>
      <c r="E244" s="164" t="s">
        <v>727</v>
      </c>
      <c r="F244" s="979"/>
      <c r="G244" s="147" t="s">
        <v>16</v>
      </c>
      <c r="H244" s="147" t="s">
        <v>726</v>
      </c>
      <c r="I244" s="976"/>
      <c r="J244" s="982"/>
      <c r="K244" s="970"/>
      <c r="L244" s="155"/>
      <c r="M244" s="976"/>
      <c r="N244" s="147"/>
      <c r="O244" s="146"/>
      <c r="P244" s="152"/>
      <c r="Q244" s="151"/>
      <c r="R244" s="153"/>
      <c r="S244" s="147"/>
      <c r="T244" s="507"/>
      <c r="U244" s="513"/>
      <c r="V244" s="161"/>
      <c r="W244" s="622"/>
      <c r="X244" s="639"/>
      <c r="Y244" s="685"/>
      <c r="Z244" s="385"/>
      <c r="AA244" s="147"/>
      <c r="AB244" s="146"/>
      <c r="AC244" s="145"/>
      <c r="AD244" s="144"/>
      <c r="AE244" s="143"/>
      <c r="AF244" s="507"/>
      <c r="AG244" s="507"/>
      <c r="AH244" s="507"/>
      <c r="AI244" s="507"/>
      <c r="AJ244" s="507"/>
      <c r="AK244" s="721"/>
      <c r="AL244" s="507"/>
      <c r="AM244" s="507"/>
      <c r="AN244" s="507"/>
      <c r="AO244" s="507"/>
      <c r="AP244" s="507"/>
      <c r="AQ244" s="507"/>
      <c r="AR244" s="507"/>
      <c r="AS244" s="507"/>
      <c r="AT244" s="507"/>
      <c r="AU244" s="507"/>
      <c r="AV244" s="142"/>
    </row>
    <row r="245" spans="1:48" hidden="1">
      <c r="A245" s="145"/>
      <c r="B245" s="153" t="s">
        <v>18</v>
      </c>
      <c r="C245" s="162" t="s">
        <v>38</v>
      </c>
      <c r="D245" s="153" t="s">
        <v>18</v>
      </c>
      <c r="E245" s="162" t="s">
        <v>38</v>
      </c>
      <c r="F245" s="979"/>
      <c r="G245" s="147" t="s">
        <v>18</v>
      </c>
      <c r="H245" s="147" t="s">
        <v>19</v>
      </c>
      <c r="I245" s="976"/>
      <c r="J245" s="982"/>
      <c r="K245" s="970"/>
      <c r="L245" s="155"/>
      <c r="M245" s="976"/>
      <c r="N245" s="147"/>
      <c r="O245" s="146"/>
      <c r="P245" s="152"/>
      <c r="Q245" s="151"/>
      <c r="R245" s="153" t="s">
        <v>16</v>
      </c>
      <c r="S245" s="147" t="s">
        <v>15</v>
      </c>
      <c r="T245" s="507"/>
      <c r="U245" s="513"/>
      <c r="V245" s="161"/>
      <c r="W245" s="622"/>
      <c r="X245" s="639"/>
      <c r="Y245" s="685"/>
      <c r="Z245" s="385"/>
      <c r="AA245" s="147"/>
      <c r="AB245" s="146"/>
      <c r="AC245" s="145"/>
      <c r="AD245" s="144"/>
      <c r="AE245" s="143"/>
      <c r="AF245" s="507"/>
      <c r="AG245" s="507"/>
      <c r="AH245" s="507"/>
      <c r="AI245" s="507"/>
      <c r="AJ245" s="507"/>
      <c r="AK245" s="721"/>
      <c r="AL245" s="507"/>
      <c r="AM245" s="507"/>
      <c r="AN245" s="507"/>
      <c r="AO245" s="507"/>
      <c r="AP245" s="507"/>
      <c r="AQ245" s="507"/>
      <c r="AR245" s="507"/>
      <c r="AS245" s="507"/>
      <c r="AT245" s="507"/>
      <c r="AU245" s="507"/>
      <c r="AV245" s="142"/>
    </row>
    <row r="246" spans="1:48" ht="55.2" hidden="1">
      <c r="A246" s="145"/>
      <c r="B246" s="157" t="s">
        <v>12</v>
      </c>
      <c r="C246" s="156" t="s">
        <v>737</v>
      </c>
      <c r="D246" s="157" t="s">
        <v>12</v>
      </c>
      <c r="E246" s="156" t="s">
        <v>725</v>
      </c>
      <c r="F246" s="979"/>
      <c r="G246" s="147"/>
      <c r="H246" s="146"/>
      <c r="I246" s="976"/>
      <c r="J246" s="982"/>
      <c r="K246" s="970"/>
      <c r="L246" s="155"/>
      <c r="M246" s="976"/>
      <c r="N246" s="147"/>
      <c r="O246" s="146"/>
      <c r="P246" s="152"/>
      <c r="Q246" s="151"/>
      <c r="R246" s="153"/>
      <c r="S246" s="147"/>
      <c r="T246" s="507"/>
      <c r="U246" s="513"/>
      <c r="V246" s="161"/>
      <c r="W246" s="631"/>
      <c r="X246" s="639"/>
      <c r="Y246" s="685"/>
      <c r="Z246" s="385"/>
      <c r="AA246" s="147"/>
      <c r="AB246" s="146"/>
      <c r="AC246" s="145"/>
      <c r="AD246" s="144"/>
      <c r="AE246" s="143"/>
      <c r="AF246" s="507"/>
      <c r="AG246" s="507"/>
      <c r="AH246" s="507"/>
      <c r="AI246" s="507"/>
      <c r="AJ246" s="507"/>
      <c r="AK246" s="721"/>
      <c r="AL246" s="507"/>
      <c r="AM246" s="507"/>
      <c r="AN246" s="507"/>
      <c r="AO246" s="507"/>
      <c r="AP246" s="507"/>
      <c r="AQ246" s="507"/>
      <c r="AR246" s="507"/>
      <c r="AS246" s="507"/>
      <c r="AT246" s="507"/>
      <c r="AU246" s="507"/>
      <c r="AV246" s="142"/>
    </row>
    <row r="247" spans="1:48" hidden="1">
      <c r="A247" s="145"/>
      <c r="B247" s="157" t="s">
        <v>8</v>
      </c>
      <c r="C247" s="156" t="s">
        <v>736</v>
      </c>
      <c r="D247" s="157" t="s">
        <v>8</v>
      </c>
      <c r="E247" s="156" t="s">
        <v>724</v>
      </c>
      <c r="F247" s="979"/>
      <c r="G247" s="147"/>
      <c r="H247" s="146"/>
      <c r="I247" s="976"/>
      <c r="J247" s="982"/>
      <c r="K247" s="970"/>
      <c r="L247" s="155"/>
      <c r="M247" s="976"/>
      <c r="N247" s="147"/>
      <c r="O247" s="146"/>
      <c r="P247" s="152"/>
      <c r="Q247" s="151"/>
      <c r="R247" s="153"/>
      <c r="S247" s="147"/>
      <c r="T247" s="507"/>
      <c r="U247" s="513"/>
      <c r="V247" s="161"/>
      <c r="W247" s="631"/>
      <c r="X247" s="639"/>
      <c r="Y247" s="685"/>
      <c r="Z247" s="385"/>
      <c r="AA247" s="147"/>
      <c r="AB247" s="146"/>
      <c r="AC247" s="145"/>
      <c r="AD247" s="144"/>
      <c r="AE247" s="143"/>
      <c r="AF247" s="507"/>
      <c r="AG247" s="507"/>
      <c r="AH247" s="507"/>
      <c r="AI247" s="507"/>
      <c r="AJ247" s="507"/>
      <c r="AK247" s="721"/>
      <c r="AL247" s="507"/>
      <c r="AM247" s="507"/>
      <c r="AN247" s="507"/>
      <c r="AO247" s="507"/>
      <c r="AP247" s="507"/>
      <c r="AQ247" s="507"/>
      <c r="AR247" s="507"/>
      <c r="AS247" s="507"/>
      <c r="AT247" s="507"/>
      <c r="AU247" s="507"/>
      <c r="AV247" s="142"/>
    </row>
    <row r="248" spans="1:48" hidden="1">
      <c r="A248" s="129"/>
      <c r="B248" s="137"/>
      <c r="C248" s="141"/>
      <c r="D248" s="137"/>
      <c r="E248" s="141"/>
      <c r="F248" s="992"/>
      <c r="G248" s="131"/>
      <c r="H248" s="130"/>
      <c r="I248" s="977"/>
      <c r="J248" s="993"/>
      <c r="K248" s="971"/>
      <c r="L248" s="139"/>
      <c r="M248" s="977"/>
      <c r="N248" s="131"/>
      <c r="O248" s="130"/>
      <c r="P248" s="136"/>
      <c r="Q248" s="135"/>
      <c r="R248" s="137"/>
      <c r="S248" s="131"/>
      <c r="T248" s="508"/>
      <c r="U248" s="514"/>
      <c r="V248" s="573"/>
      <c r="W248" s="632"/>
      <c r="X248" s="652"/>
      <c r="Y248" s="686"/>
      <c r="Z248" s="394"/>
      <c r="AA248" s="131"/>
      <c r="AB248" s="130"/>
      <c r="AC248" s="129"/>
      <c r="AD248" s="128"/>
      <c r="AE248" s="127"/>
      <c r="AF248" s="508"/>
      <c r="AG248" s="508"/>
      <c r="AH248" s="508"/>
      <c r="AI248" s="508"/>
      <c r="AJ248" s="508"/>
      <c r="AK248" s="723"/>
      <c r="AL248" s="508"/>
      <c r="AM248" s="508"/>
      <c r="AN248" s="508"/>
      <c r="AO248" s="508"/>
      <c r="AP248" s="508"/>
      <c r="AQ248" s="508"/>
      <c r="AR248" s="508"/>
      <c r="AS248" s="508"/>
      <c r="AT248" s="508"/>
      <c r="AU248" s="508"/>
      <c r="AV248" s="126"/>
    </row>
    <row r="249" spans="1:48" hidden="1">
      <c r="A249" s="185">
        <v>19</v>
      </c>
      <c r="B249" s="176" t="s">
        <v>25</v>
      </c>
      <c r="C249" s="184" t="s">
        <v>730</v>
      </c>
      <c r="D249" s="183"/>
      <c r="E249" s="170"/>
      <c r="F249" s="978"/>
      <c r="G249" s="219" t="s">
        <v>25</v>
      </c>
      <c r="H249" s="154" t="s">
        <v>729</v>
      </c>
      <c r="I249" s="975">
        <v>6650</v>
      </c>
      <c r="J249" s="981"/>
      <c r="K249" s="969" t="s">
        <v>735</v>
      </c>
      <c r="L249" s="180"/>
      <c r="M249" s="975"/>
      <c r="N249" s="349" t="s">
        <v>25</v>
      </c>
      <c r="O249" s="350" t="s">
        <v>26</v>
      </c>
      <c r="P249" s="384">
        <v>1</v>
      </c>
      <c r="Q249" s="383">
        <v>415.12</v>
      </c>
      <c r="R249" s="176" t="s">
        <v>25</v>
      </c>
      <c r="S249" s="170" t="s">
        <v>24</v>
      </c>
      <c r="T249" s="506"/>
      <c r="U249" s="597">
        <v>1</v>
      </c>
      <c r="V249" s="570" t="s">
        <v>56</v>
      </c>
      <c r="W249" s="644">
        <v>0</v>
      </c>
      <c r="X249" s="665">
        <v>0</v>
      </c>
      <c r="Y249" s="699">
        <v>27</v>
      </c>
      <c r="Z249" s="391">
        <f>SUM(W249:Y249)</f>
        <v>27</v>
      </c>
      <c r="AA249" s="170"/>
      <c r="AB249" s="169"/>
      <c r="AC249" s="168"/>
      <c r="AD249" s="167"/>
      <c r="AE249" s="166"/>
      <c r="AF249" s="506"/>
      <c r="AG249" s="506"/>
      <c r="AH249" s="506"/>
      <c r="AI249" s="506"/>
      <c r="AJ249" s="506"/>
      <c r="AK249" s="722">
        <v>10000</v>
      </c>
      <c r="AL249" s="506"/>
      <c r="AM249" s="506"/>
      <c r="AN249" s="506"/>
      <c r="AO249" s="506"/>
      <c r="AP249" s="506"/>
      <c r="AQ249" s="506"/>
      <c r="AR249" s="506"/>
      <c r="AS249" s="506"/>
      <c r="AT249" s="506"/>
      <c r="AU249" s="506"/>
      <c r="AV249" s="165"/>
    </row>
    <row r="250" spans="1:48" hidden="1">
      <c r="A250" s="145"/>
      <c r="B250" s="153" t="s">
        <v>16</v>
      </c>
      <c r="C250" s="164" t="s">
        <v>727</v>
      </c>
      <c r="D250" s="147"/>
      <c r="E250" s="163"/>
      <c r="F250" s="979"/>
      <c r="G250" s="147" t="s">
        <v>16</v>
      </c>
      <c r="H250" s="147" t="s">
        <v>726</v>
      </c>
      <c r="I250" s="976"/>
      <c r="J250" s="982"/>
      <c r="K250" s="970"/>
      <c r="L250" s="155"/>
      <c r="M250" s="976"/>
      <c r="N250" s="349" t="s">
        <v>16</v>
      </c>
      <c r="O250" s="350" t="s">
        <v>481</v>
      </c>
      <c r="P250" s="384">
        <v>1</v>
      </c>
      <c r="Q250" s="383">
        <v>79.319999999999993</v>
      </c>
      <c r="R250" s="153"/>
      <c r="S250" s="147"/>
      <c r="T250" s="507"/>
      <c r="U250" s="598">
        <v>2</v>
      </c>
      <c r="V250" s="571" t="s">
        <v>585</v>
      </c>
      <c r="W250" s="645">
        <v>30</v>
      </c>
      <c r="X250" s="666">
        <v>0</v>
      </c>
      <c r="Y250" s="700"/>
      <c r="Z250" s="385">
        <f>SUM(W250:Y250)</f>
        <v>30</v>
      </c>
      <c r="AA250" s="147"/>
      <c r="AB250" s="146"/>
      <c r="AC250" s="145"/>
      <c r="AD250" s="144"/>
      <c r="AE250" s="143"/>
      <c r="AF250" s="507"/>
      <c r="AG250" s="507"/>
      <c r="AH250" s="507"/>
      <c r="AI250" s="507"/>
      <c r="AJ250" s="507"/>
      <c r="AK250" s="721">
        <v>25000</v>
      </c>
      <c r="AL250" s="507"/>
      <c r="AM250" s="507"/>
      <c r="AN250" s="507"/>
      <c r="AO250" s="507"/>
      <c r="AP250" s="507"/>
      <c r="AQ250" s="507"/>
      <c r="AR250" s="507"/>
      <c r="AS250" s="507"/>
      <c r="AT250" s="507"/>
      <c r="AU250" s="507"/>
      <c r="AV250" s="142"/>
    </row>
    <row r="251" spans="1:48" hidden="1">
      <c r="A251" s="145"/>
      <c r="B251" s="153" t="s">
        <v>18</v>
      </c>
      <c r="C251" s="162" t="s">
        <v>38</v>
      </c>
      <c r="D251" s="147"/>
      <c r="E251" s="147"/>
      <c r="F251" s="979"/>
      <c r="G251" s="147" t="s">
        <v>18</v>
      </c>
      <c r="H251" s="147" t="s">
        <v>19</v>
      </c>
      <c r="I251" s="976"/>
      <c r="J251" s="982"/>
      <c r="K251" s="970"/>
      <c r="L251" s="155"/>
      <c r="M251" s="976"/>
      <c r="N251" s="349" t="s">
        <v>18</v>
      </c>
      <c r="O251" s="350" t="s">
        <v>734</v>
      </c>
      <c r="P251" s="384">
        <v>1</v>
      </c>
      <c r="Q251" s="383">
        <v>255.6</v>
      </c>
      <c r="S251" s="388"/>
      <c r="T251" s="586"/>
      <c r="U251" s="598">
        <v>2</v>
      </c>
      <c r="V251" s="571" t="s">
        <v>585</v>
      </c>
      <c r="W251" s="645"/>
      <c r="X251" s="666">
        <v>0</v>
      </c>
      <c r="Y251" s="700">
        <v>40</v>
      </c>
      <c r="Z251" s="389">
        <f>SUM(W252:Y252)</f>
        <v>20</v>
      </c>
      <c r="AA251" s="147"/>
      <c r="AB251" s="146"/>
      <c r="AC251" s="145"/>
      <c r="AD251" s="144"/>
      <c r="AE251" s="143"/>
      <c r="AF251" s="507"/>
      <c r="AG251" s="507"/>
      <c r="AH251" s="507"/>
      <c r="AI251" s="507"/>
      <c r="AJ251" s="507"/>
      <c r="AK251" s="721">
        <v>8250</v>
      </c>
      <c r="AL251" s="507"/>
      <c r="AM251" s="507"/>
      <c r="AN251" s="507"/>
      <c r="AO251" s="507"/>
      <c r="AP251" s="507"/>
      <c r="AQ251" s="507"/>
      <c r="AR251" s="507"/>
      <c r="AS251" s="507"/>
      <c r="AT251" s="507"/>
      <c r="AU251" s="507"/>
      <c r="AV251" s="142"/>
    </row>
    <row r="252" spans="1:48" ht="55.2" hidden="1">
      <c r="A252" s="145"/>
      <c r="B252" s="157" t="s">
        <v>12</v>
      </c>
      <c r="C252" s="156" t="s">
        <v>725</v>
      </c>
      <c r="D252" s="147"/>
      <c r="E252" s="154"/>
      <c r="F252" s="979"/>
      <c r="G252" s="147"/>
      <c r="H252" s="146"/>
      <c r="I252" s="976"/>
      <c r="J252" s="982"/>
      <c r="K252" s="970"/>
      <c r="L252" s="155"/>
      <c r="M252" s="976"/>
      <c r="N252" s="349" t="s">
        <v>12</v>
      </c>
      <c r="O252" s="350" t="s">
        <v>52</v>
      </c>
      <c r="P252" s="384">
        <v>1</v>
      </c>
      <c r="Q252" s="383">
        <v>84</v>
      </c>
      <c r="S252" s="388"/>
      <c r="T252" s="586"/>
      <c r="U252" s="598">
        <v>3</v>
      </c>
      <c r="V252" s="571" t="s">
        <v>932</v>
      </c>
      <c r="W252" s="645">
        <v>0</v>
      </c>
      <c r="X252" s="666">
        <v>0</v>
      </c>
      <c r="Y252" s="700">
        <v>20</v>
      </c>
      <c r="Z252" s="389">
        <f>SUM(W253:Y253)</f>
        <v>41</v>
      </c>
      <c r="AA252" s="147"/>
      <c r="AB252" s="146"/>
      <c r="AC252" s="145"/>
      <c r="AD252" s="144"/>
      <c r="AE252" s="143"/>
      <c r="AF252" s="507"/>
      <c r="AG252" s="507"/>
      <c r="AH252" s="507"/>
      <c r="AI252" s="507"/>
      <c r="AJ252" s="507"/>
      <c r="AK252" s="721">
        <v>20000</v>
      </c>
      <c r="AL252" s="507"/>
      <c r="AM252" s="507"/>
      <c r="AN252" s="507"/>
      <c r="AO252" s="507"/>
      <c r="AP252" s="507"/>
      <c r="AQ252" s="507"/>
      <c r="AR252" s="507"/>
      <c r="AS252" s="507"/>
      <c r="AT252" s="507"/>
      <c r="AU252" s="507"/>
      <c r="AV252" s="142"/>
    </row>
    <row r="253" spans="1:48" hidden="1">
      <c r="A253" s="145"/>
      <c r="B253" s="157" t="s">
        <v>8</v>
      </c>
      <c r="C253" s="190" t="s">
        <v>724</v>
      </c>
      <c r="D253" s="147"/>
      <c r="E253" s="154"/>
      <c r="F253" s="979"/>
      <c r="G253" s="147"/>
      <c r="H253" s="146"/>
      <c r="I253" s="976"/>
      <c r="J253" s="982"/>
      <c r="K253" s="970"/>
      <c r="L253" s="155"/>
      <c r="M253" s="976"/>
      <c r="N253" s="349" t="s">
        <v>8</v>
      </c>
      <c r="O253" s="350" t="s">
        <v>21</v>
      </c>
      <c r="P253" s="384">
        <v>1</v>
      </c>
      <c r="Q253" s="383">
        <v>39.520000000000003</v>
      </c>
      <c r="S253" s="388"/>
      <c r="T253" s="586"/>
      <c r="U253" s="598">
        <v>4</v>
      </c>
      <c r="V253" s="571" t="s">
        <v>58</v>
      </c>
      <c r="W253" s="645">
        <v>0</v>
      </c>
      <c r="X253" s="666">
        <v>0</v>
      </c>
      <c r="Y253" s="700">
        <v>41</v>
      </c>
      <c r="Z253" s="386"/>
      <c r="AA253" s="147"/>
      <c r="AB253" s="146"/>
      <c r="AC253" s="145"/>
      <c r="AD253" s="144"/>
      <c r="AE253" s="143"/>
      <c r="AF253" s="507"/>
      <c r="AG253" s="507"/>
      <c r="AH253" s="507"/>
      <c r="AI253" s="507"/>
      <c r="AJ253" s="507"/>
      <c r="AK253" s="721">
        <v>50000</v>
      </c>
      <c r="AL253" s="507"/>
      <c r="AM253" s="507"/>
      <c r="AN253" s="507"/>
      <c r="AO253" s="507"/>
      <c r="AP253" s="507"/>
      <c r="AQ253" s="507"/>
      <c r="AR253" s="507"/>
      <c r="AS253" s="507"/>
      <c r="AT253" s="507"/>
      <c r="AU253" s="507"/>
      <c r="AV253" s="142"/>
    </row>
    <row r="254" spans="1:48" hidden="1">
      <c r="A254" s="145"/>
      <c r="B254" s="157"/>
      <c r="C254" s="156"/>
      <c r="D254" s="147"/>
      <c r="E254" s="154"/>
      <c r="F254" s="979"/>
      <c r="G254" s="147"/>
      <c r="H254" s="146"/>
      <c r="I254" s="976"/>
      <c r="J254" s="982"/>
      <c r="K254" s="970"/>
      <c r="L254" s="155"/>
      <c r="M254" s="976"/>
      <c r="N254" s="349" t="s">
        <v>54</v>
      </c>
      <c r="O254" s="350" t="s">
        <v>733</v>
      </c>
      <c r="P254" s="384">
        <v>1</v>
      </c>
      <c r="Q254" s="383"/>
      <c r="R254" s="153" t="s">
        <v>16</v>
      </c>
      <c r="S254" s="147" t="s">
        <v>15</v>
      </c>
      <c r="T254" s="507"/>
      <c r="U254" s="513">
        <v>1</v>
      </c>
      <c r="V254" s="161" t="s">
        <v>14</v>
      </c>
      <c r="W254" s="641">
        <v>6</v>
      </c>
      <c r="X254" s="654">
        <v>0</v>
      </c>
      <c r="Y254" s="695"/>
      <c r="Z254" s="385">
        <f t="shared" ref="Z254:Z282" si="4">SUM(W254:Y254)</f>
        <v>6</v>
      </c>
      <c r="AA254" s="147"/>
      <c r="AB254" s="146"/>
      <c r="AC254" s="145"/>
      <c r="AD254" s="144"/>
      <c r="AE254" s="143"/>
      <c r="AF254" s="507"/>
      <c r="AG254" s="507"/>
      <c r="AH254" s="507"/>
      <c r="AI254" s="507"/>
      <c r="AJ254" s="507"/>
      <c r="AK254" s="721">
        <v>350000</v>
      </c>
      <c r="AL254" s="507"/>
      <c r="AM254" s="507"/>
      <c r="AN254" s="507"/>
      <c r="AO254" s="507"/>
      <c r="AP254" s="507"/>
      <c r="AQ254" s="507"/>
      <c r="AR254" s="507"/>
      <c r="AS254" s="507"/>
      <c r="AT254" s="507"/>
      <c r="AU254" s="507"/>
      <c r="AV254" s="142"/>
    </row>
    <row r="255" spans="1:48" hidden="1">
      <c r="A255" s="145"/>
      <c r="B255" s="157"/>
      <c r="C255" s="156"/>
      <c r="D255" s="147"/>
      <c r="E255" s="154"/>
      <c r="F255" s="979"/>
      <c r="G255" s="147"/>
      <c r="H255" s="146"/>
      <c r="I255" s="976"/>
      <c r="J255" s="982"/>
      <c r="K255" s="970"/>
      <c r="L255" s="515"/>
      <c r="M255" s="976"/>
      <c r="N255" s="349"/>
      <c r="O255" s="350"/>
      <c r="P255" s="384"/>
      <c r="Q255" s="383"/>
      <c r="R255" s="153"/>
      <c r="S255" s="147"/>
      <c r="T255" s="507"/>
      <c r="U255" s="513"/>
      <c r="V255" s="161" t="s">
        <v>14</v>
      </c>
      <c r="W255" s="641"/>
      <c r="X255" s="654">
        <v>0</v>
      </c>
      <c r="Y255" s="695">
        <v>40</v>
      </c>
      <c r="Z255" s="385"/>
      <c r="AA255" s="147"/>
      <c r="AB255" s="146"/>
      <c r="AC255" s="145"/>
      <c r="AD255" s="513"/>
      <c r="AE255" s="507"/>
      <c r="AF255" s="507"/>
      <c r="AG255" s="507"/>
      <c r="AH255" s="507"/>
      <c r="AI255" s="507"/>
      <c r="AJ255" s="507"/>
      <c r="AK255" s="721">
        <v>115500</v>
      </c>
      <c r="AL255" s="507"/>
      <c r="AM255" s="507"/>
      <c r="AN255" s="507"/>
      <c r="AO255" s="507"/>
      <c r="AP255" s="507"/>
      <c r="AQ255" s="507"/>
      <c r="AR255" s="507"/>
      <c r="AS255" s="507"/>
      <c r="AT255" s="507"/>
      <c r="AU255" s="507"/>
      <c r="AV255" s="505"/>
    </row>
    <row r="256" spans="1:48" hidden="1">
      <c r="A256" s="145"/>
      <c r="B256" s="157"/>
      <c r="C256" s="156"/>
      <c r="D256" s="147"/>
      <c r="E256" s="154"/>
      <c r="F256" s="979"/>
      <c r="G256" s="147"/>
      <c r="H256" s="146"/>
      <c r="I256" s="976"/>
      <c r="J256" s="982"/>
      <c r="K256" s="970"/>
      <c r="L256" s="155"/>
      <c r="M256" s="976"/>
      <c r="N256" s="349" t="s">
        <v>53</v>
      </c>
      <c r="O256" s="350" t="s">
        <v>17</v>
      </c>
      <c r="P256" s="384">
        <v>1</v>
      </c>
      <c r="Q256" s="383"/>
      <c r="R256" s="153"/>
      <c r="S256" s="147"/>
      <c r="T256" s="507"/>
      <c r="U256" s="513">
        <v>2</v>
      </c>
      <c r="V256" s="161" t="s">
        <v>344</v>
      </c>
      <c r="W256" s="629">
        <v>0</v>
      </c>
      <c r="X256" s="641">
        <v>8</v>
      </c>
      <c r="Y256" s="695">
        <v>0</v>
      </c>
      <c r="Z256" s="377">
        <f t="shared" si="4"/>
        <v>8</v>
      </c>
      <c r="AA256" s="147"/>
      <c r="AB256" s="146"/>
      <c r="AC256" s="145"/>
      <c r="AD256" s="144"/>
      <c r="AE256" s="143"/>
      <c r="AF256" s="507"/>
      <c r="AG256" s="507"/>
      <c r="AH256" s="507"/>
      <c r="AI256" s="507"/>
      <c r="AJ256" s="507"/>
      <c r="AK256" s="721">
        <v>99000</v>
      </c>
      <c r="AL256" s="507"/>
      <c r="AM256" s="507"/>
      <c r="AN256" s="507"/>
      <c r="AO256" s="507"/>
      <c r="AP256" s="507"/>
      <c r="AQ256" s="507"/>
      <c r="AR256" s="507"/>
      <c r="AS256" s="507"/>
      <c r="AT256" s="507"/>
      <c r="AU256" s="507"/>
      <c r="AV256" s="142"/>
    </row>
    <row r="257" spans="1:48" hidden="1">
      <c r="A257" s="145"/>
      <c r="B257" s="157"/>
      <c r="C257" s="156"/>
      <c r="D257" s="147"/>
      <c r="E257" s="154"/>
      <c r="F257" s="979"/>
      <c r="G257" s="147"/>
      <c r="H257" s="146"/>
      <c r="I257" s="976"/>
      <c r="J257" s="982"/>
      <c r="K257" s="970"/>
      <c r="L257" s="155"/>
      <c r="M257" s="976"/>
      <c r="N257" s="349" t="s">
        <v>51</v>
      </c>
      <c r="O257" s="350" t="s">
        <v>11</v>
      </c>
      <c r="P257" s="384">
        <v>1</v>
      </c>
      <c r="Q257" s="383"/>
      <c r="R257" s="153"/>
      <c r="S257" s="147"/>
      <c r="T257" s="507"/>
      <c r="U257" s="513">
        <v>3</v>
      </c>
      <c r="V257" s="161" t="s">
        <v>268</v>
      </c>
      <c r="W257" s="629">
        <v>0</v>
      </c>
      <c r="X257" s="641">
        <v>7</v>
      </c>
      <c r="Y257" s="695">
        <v>0</v>
      </c>
      <c r="Z257" s="377">
        <f t="shared" si="4"/>
        <v>7</v>
      </c>
      <c r="AA257" s="147"/>
      <c r="AB257" s="146"/>
      <c r="AC257" s="145"/>
      <c r="AD257" s="144"/>
      <c r="AE257" s="143"/>
      <c r="AF257" s="507"/>
      <c r="AG257" s="507"/>
      <c r="AH257" s="507"/>
      <c r="AI257" s="507"/>
      <c r="AJ257" s="507"/>
      <c r="AK257" s="721">
        <v>132000</v>
      </c>
      <c r="AL257" s="507"/>
      <c r="AM257" s="507"/>
      <c r="AN257" s="507"/>
      <c r="AO257" s="507"/>
      <c r="AP257" s="507"/>
      <c r="AQ257" s="507"/>
      <c r="AR257" s="507"/>
      <c r="AS257" s="507"/>
      <c r="AT257" s="507"/>
      <c r="AU257" s="507"/>
      <c r="AV257" s="142"/>
    </row>
    <row r="258" spans="1:48" hidden="1">
      <c r="A258" s="145"/>
      <c r="B258" s="157"/>
      <c r="C258" s="156"/>
      <c r="D258" s="147"/>
      <c r="E258" s="154"/>
      <c r="F258" s="979"/>
      <c r="G258" s="147"/>
      <c r="H258" s="146"/>
      <c r="I258" s="976"/>
      <c r="J258" s="982"/>
      <c r="K258" s="970"/>
      <c r="L258" s="155"/>
      <c r="M258" s="976"/>
      <c r="N258" s="349" t="s">
        <v>154</v>
      </c>
      <c r="O258" s="350" t="s">
        <v>458</v>
      </c>
      <c r="P258" s="384"/>
      <c r="Q258" s="383">
        <v>12.8</v>
      </c>
      <c r="R258" s="153"/>
      <c r="S258" s="147"/>
      <c r="T258" s="507"/>
      <c r="U258" s="513">
        <v>4</v>
      </c>
      <c r="V258" s="161" t="s">
        <v>313</v>
      </c>
      <c r="W258" s="629">
        <v>0</v>
      </c>
      <c r="X258" s="641">
        <v>12</v>
      </c>
      <c r="Y258" s="695">
        <v>0</v>
      </c>
      <c r="Z258" s="377">
        <f t="shared" si="4"/>
        <v>12</v>
      </c>
      <c r="AA258" s="147"/>
      <c r="AB258" s="146"/>
      <c r="AC258" s="145"/>
      <c r="AD258" s="144"/>
      <c r="AE258" s="143"/>
      <c r="AF258" s="507"/>
      <c r="AG258" s="507"/>
      <c r="AH258" s="507"/>
      <c r="AI258" s="507"/>
      <c r="AJ258" s="507"/>
      <c r="AK258" s="721">
        <v>105000</v>
      </c>
      <c r="AL258" s="507"/>
      <c r="AM258" s="507"/>
      <c r="AN258" s="507"/>
      <c r="AO258" s="507"/>
      <c r="AP258" s="507"/>
      <c r="AQ258" s="507"/>
      <c r="AR258" s="507"/>
      <c r="AS258" s="507"/>
      <c r="AT258" s="507"/>
      <c r="AU258" s="507"/>
      <c r="AV258" s="142"/>
    </row>
    <row r="259" spans="1:48" hidden="1">
      <c r="A259" s="145"/>
      <c r="B259" s="157"/>
      <c r="C259" s="156"/>
      <c r="D259" s="147"/>
      <c r="E259" s="154"/>
      <c r="F259" s="979"/>
      <c r="G259" s="147"/>
      <c r="H259" s="146"/>
      <c r="I259" s="976"/>
      <c r="J259" s="982"/>
      <c r="K259" s="970"/>
      <c r="L259" s="155"/>
      <c r="M259" s="976"/>
      <c r="N259" s="349" t="s">
        <v>172</v>
      </c>
      <c r="O259" s="350" t="s">
        <v>732</v>
      </c>
      <c r="P259" s="384"/>
      <c r="Q259" s="383">
        <v>52.5</v>
      </c>
      <c r="R259" s="153"/>
      <c r="S259" s="147"/>
      <c r="T259" s="507"/>
      <c r="U259" s="513">
        <v>5</v>
      </c>
      <c r="V259" s="161" t="s">
        <v>48</v>
      </c>
      <c r="W259" s="629">
        <v>400</v>
      </c>
      <c r="X259" s="641">
        <v>0</v>
      </c>
      <c r="Y259" s="695"/>
      <c r="Z259" s="377">
        <f t="shared" si="4"/>
        <v>400</v>
      </c>
      <c r="AA259" s="147"/>
      <c r="AB259" s="146"/>
      <c r="AC259" s="145"/>
      <c r="AD259" s="144"/>
      <c r="AE259" s="143"/>
      <c r="AF259" s="507"/>
      <c r="AG259" s="507"/>
      <c r="AH259" s="507"/>
      <c r="AI259" s="507"/>
      <c r="AJ259" s="507"/>
      <c r="AK259" s="721">
        <v>15000</v>
      </c>
      <c r="AL259" s="507"/>
      <c r="AM259" s="507"/>
      <c r="AN259" s="507"/>
      <c r="AO259" s="507"/>
      <c r="AP259" s="507"/>
      <c r="AQ259" s="507"/>
      <c r="AR259" s="507"/>
      <c r="AS259" s="507"/>
      <c r="AT259" s="507"/>
      <c r="AU259" s="507"/>
      <c r="AV259" s="142"/>
    </row>
    <row r="260" spans="1:48" hidden="1">
      <c r="A260" s="145"/>
      <c r="B260" s="157"/>
      <c r="C260" s="156"/>
      <c r="D260" s="147"/>
      <c r="E260" s="154"/>
      <c r="F260" s="979"/>
      <c r="G260" s="147"/>
      <c r="H260" s="146"/>
      <c r="I260" s="976"/>
      <c r="J260" s="982"/>
      <c r="K260" s="970"/>
      <c r="L260" s="515"/>
      <c r="M260" s="976"/>
      <c r="N260" s="349"/>
      <c r="O260" s="350"/>
      <c r="P260" s="384"/>
      <c r="Q260" s="383"/>
      <c r="R260" s="153"/>
      <c r="S260" s="147"/>
      <c r="T260" s="507"/>
      <c r="U260" s="513"/>
      <c r="V260" s="161" t="s">
        <v>48</v>
      </c>
      <c r="W260" s="629"/>
      <c r="X260" s="641">
        <v>0</v>
      </c>
      <c r="Y260" s="695">
        <v>602</v>
      </c>
      <c r="Z260" s="377"/>
      <c r="AA260" s="147"/>
      <c r="AB260" s="146"/>
      <c r="AC260" s="145"/>
      <c r="AD260" s="513"/>
      <c r="AE260" s="507"/>
      <c r="AF260" s="507"/>
      <c r="AG260" s="507"/>
      <c r="AH260" s="507"/>
      <c r="AI260" s="507"/>
      <c r="AJ260" s="507"/>
      <c r="AK260" s="721">
        <v>5000</v>
      </c>
      <c r="AL260" s="507"/>
      <c r="AM260" s="507"/>
      <c r="AN260" s="507"/>
      <c r="AO260" s="507"/>
      <c r="AP260" s="507"/>
      <c r="AQ260" s="507"/>
      <c r="AR260" s="507"/>
      <c r="AS260" s="507"/>
      <c r="AT260" s="507"/>
      <c r="AU260" s="507"/>
      <c r="AV260" s="505"/>
    </row>
    <row r="261" spans="1:48" hidden="1">
      <c r="A261" s="145"/>
      <c r="B261" s="157"/>
      <c r="C261" s="156"/>
      <c r="D261" s="147"/>
      <c r="E261" s="154"/>
      <c r="F261" s="979"/>
      <c r="G261" s="147"/>
      <c r="H261" s="146"/>
      <c r="I261" s="976"/>
      <c r="J261" s="982"/>
      <c r="K261" s="970"/>
      <c r="L261" s="155"/>
      <c r="M261" s="976"/>
      <c r="N261" s="349" t="s">
        <v>187</v>
      </c>
      <c r="O261" s="350" t="s">
        <v>121</v>
      </c>
      <c r="P261" s="384"/>
      <c r="Q261" s="383">
        <v>21.5</v>
      </c>
      <c r="R261" s="153"/>
      <c r="S261" s="147"/>
      <c r="T261" s="507"/>
      <c r="U261" s="513">
        <v>6</v>
      </c>
      <c r="V261" s="161" t="s">
        <v>6</v>
      </c>
      <c r="W261" s="629">
        <v>0</v>
      </c>
      <c r="X261" s="641">
        <v>8</v>
      </c>
      <c r="Y261" s="695">
        <v>0</v>
      </c>
      <c r="Z261" s="377">
        <f t="shared" si="4"/>
        <v>8</v>
      </c>
      <c r="AA261" s="147"/>
      <c r="AB261" s="146"/>
      <c r="AC261" s="145"/>
      <c r="AD261" s="144"/>
      <c r="AE261" s="143"/>
      <c r="AF261" s="507"/>
      <c r="AG261" s="507"/>
      <c r="AH261" s="507"/>
      <c r="AI261" s="507"/>
      <c r="AJ261" s="507"/>
      <c r="AK261" s="721">
        <v>5000</v>
      </c>
      <c r="AL261" s="507"/>
      <c r="AM261" s="507"/>
      <c r="AN261" s="507"/>
      <c r="AO261" s="507"/>
      <c r="AP261" s="507"/>
      <c r="AQ261" s="507"/>
      <c r="AR261" s="507"/>
      <c r="AS261" s="507"/>
      <c r="AT261" s="507"/>
      <c r="AU261" s="507"/>
      <c r="AV261" s="142"/>
    </row>
    <row r="262" spans="1:48" hidden="1">
      <c r="A262" s="145"/>
      <c r="B262" s="157"/>
      <c r="C262" s="156"/>
      <c r="D262" s="147"/>
      <c r="E262" s="154"/>
      <c r="F262" s="979"/>
      <c r="G262" s="147"/>
      <c r="H262" s="146"/>
      <c r="I262" s="976"/>
      <c r="J262" s="982"/>
      <c r="K262" s="970"/>
      <c r="L262" s="155"/>
      <c r="M262" s="976"/>
      <c r="N262" s="349" t="s">
        <v>185</v>
      </c>
      <c r="O262" s="350" t="s">
        <v>731</v>
      </c>
      <c r="P262" s="384"/>
      <c r="Q262" s="383">
        <v>22</v>
      </c>
      <c r="R262" s="153"/>
      <c r="S262" s="147"/>
      <c r="T262" s="507"/>
      <c r="U262" s="513">
        <v>7</v>
      </c>
      <c r="V262" s="161" t="s">
        <v>144</v>
      </c>
      <c r="W262" s="629">
        <v>8</v>
      </c>
      <c r="X262" s="641">
        <v>0</v>
      </c>
      <c r="Y262" s="695"/>
      <c r="Z262" s="377">
        <f t="shared" si="4"/>
        <v>8</v>
      </c>
      <c r="AA262" s="147"/>
      <c r="AB262" s="146"/>
      <c r="AC262" s="145"/>
      <c r="AD262" s="144"/>
      <c r="AE262" s="143"/>
      <c r="AF262" s="507"/>
      <c r="AG262" s="507"/>
      <c r="AH262" s="507"/>
      <c r="AI262" s="507"/>
      <c r="AJ262" s="507"/>
      <c r="AK262" s="721">
        <v>20100</v>
      </c>
      <c r="AL262" s="507"/>
      <c r="AM262" s="507"/>
      <c r="AN262" s="507"/>
      <c r="AO262" s="507"/>
      <c r="AP262" s="507"/>
      <c r="AQ262" s="507"/>
      <c r="AR262" s="507"/>
      <c r="AS262" s="507"/>
      <c r="AT262" s="507"/>
      <c r="AU262" s="507"/>
      <c r="AV262" s="142"/>
    </row>
    <row r="263" spans="1:48" hidden="1">
      <c r="A263" s="145"/>
      <c r="B263" s="157"/>
      <c r="C263" s="156"/>
      <c r="D263" s="147"/>
      <c r="E263" s="154"/>
      <c r="F263" s="979"/>
      <c r="G263" s="147"/>
      <c r="H263" s="146"/>
      <c r="I263" s="976"/>
      <c r="J263" s="982"/>
      <c r="K263" s="970"/>
      <c r="L263" s="515"/>
      <c r="M263" s="976"/>
      <c r="N263" s="349"/>
      <c r="O263" s="350"/>
      <c r="P263" s="384"/>
      <c r="Q263" s="383"/>
      <c r="R263" s="153"/>
      <c r="S263" s="147"/>
      <c r="T263" s="507"/>
      <c r="U263" s="513"/>
      <c r="V263" s="161" t="s">
        <v>144</v>
      </c>
      <c r="W263" s="629"/>
      <c r="X263" s="641">
        <v>0</v>
      </c>
      <c r="Y263" s="695">
        <v>31</v>
      </c>
      <c r="Z263" s="377"/>
      <c r="AA263" s="147"/>
      <c r="AB263" s="146"/>
      <c r="AC263" s="145"/>
      <c r="AD263" s="513"/>
      <c r="AE263" s="507"/>
      <c r="AF263" s="507"/>
      <c r="AG263" s="507"/>
      <c r="AH263" s="507"/>
      <c r="AI263" s="507"/>
      <c r="AJ263" s="507"/>
      <c r="AK263" s="721">
        <v>6600</v>
      </c>
      <c r="AL263" s="507"/>
      <c r="AM263" s="507"/>
      <c r="AN263" s="507"/>
      <c r="AO263" s="507"/>
      <c r="AP263" s="507"/>
      <c r="AQ263" s="507"/>
      <c r="AR263" s="507"/>
      <c r="AS263" s="507"/>
      <c r="AT263" s="507"/>
      <c r="AU263" s="507"/>
      <c r="AV263" s="505"/>
    </row>
    <row r="264" spans="1:48" hidden="1">
      <c r="A264" s="145"/>
      <c r="B264" s="157"/>
      <c r="C264" s="156"/>
      <c r="D264" s="147"/>
      <c r="E264" s="154"/>
      <c r="F264" s="979"/>
      <c r="G264" s="147"/>
      <c r="H264" s="146"/>
      <c r="I264" s="976"/>
      <c r="J264" s="982"/>
      <c r="K264" s="970"/>
      <c r="L264" s="155"/>
      <c r="M264" s="976"/>
      <c r="N264" s="349"/>
      <c r="O264" s="350"/>
      <c r="P264" s="384"/>
      <c r="Q264" s="383"/>
      <c r="R264" s="153"/>
      <c r="S264" s="147"/>
      <c r="T264" s="507"/>
      <c r="U264" s="513">
        <v>8</v>
      </c>
      <c r="V264" s="161" t="s">
        <v>944</v>
      </c>
      <c r="W264" s="629">
        <v>0</v>
      </c>
      <c r="X264" s="641">
        <v>200</v>
      </c>
      <c r="Y264" s="695">
        <v>0</v>
      </c>
      <c r="Z264" s="377">
        <f t="shared" si="4"/>
        <v>200</v>
      </c>
      <c r="AA264" s="147"/>
      <c r="AB264" s="146"/>
      <c r="AC264" s="145"/>
      <c r="AD264" s="144"/>
      <c r="AE264" s="143"/>
      <c r="AF264" s="507"/>
      <c r="AG264" s="507"/>
      <c r="AH264" s="507"/>
      <c r="AI264" s="507"/>
      <c r="AJ264" s="507"/>
      <c r="AK264" s="721">
        <v>2000</v>
      </c>
      <c r="AL264" s="507"/>
      <c r="AM264" s="507"/>
      <c r="AN264" s="507"/>
      <c r="AO264" s="507"/>
      <c r="AP264" s="507"/>
      <c r="AQ264" s="507"/>
      <c r="AR264" s="507"/>
      <c r="AS264" s="507"/>
      <c r="AT264" s="507"/>
      <c r="AU264" s="507"/>
      <c r="AV264" s="142"/>
    </row>
    <row r="265" spans="1:48" hidden="1">
      <c r="A265" s="145"/>
      <c r="B265" s="157"/>
      <c r="C265" s="156"/>
      <c r="D265" s="147"/>
      <c r="E265" s="154"/>
      <c r="F265" s="979"/>
      <c r="G265" s="147"/>
      <c r="H265" s="146"/>
      <c r="I265" s="976"/>
      <c r="J265" s="982"/>
      <c r="K265" s="970"/>
      <c r="L265" s="155"/>
      <c r="M265" s="976"/>
      <c r="N265" s="349"/>
      <c r="O265" s="350"/>
      <c r="P265" s="384"/>
      <c r="Q265" s="383"/>
      <c r="R265" s="153"/>
      <c r="S265" s="147"/>
      <c r="T265" s="507"/>
      <c r="U265" s="513">
        <v>9</v>
      </c>
      <c r="V265" s="161" t="s">
        <v>808</v>
      </c>
      <c r="W265" s="629">
        <v>0</v>
      </c>
      <c r="X265" s="641">
        <v>17</v>
      </c>
      <c r="Y265" s="695"/>
      <c r="Z265" s="377">
        <f t="shared" si="4"/>
        <v>17</v>
      </c>
      <c r="AA265" s="147"/>
      <c r="AB265" s="146"/>
      <c r="AC265" s="145"/>
      <c r="AD265" s="144"/>
      <c r="AE265" s="143"/>
      <c r="AF265" s="507"/>
      <c r="AG265" s="507"/>
      <c r="AH265" s="507"/>
      <c r="AI265" s="507"/>
      <c r="AJ265" s="507"/>
      <c r="AK265" s="721">
        <v>82500</v>
      </c>
      <c r="AL265" s="507"/>
      <c r="AM265" s="507"/>
      <c r="AN265" s="507"/>
      <c r="AO265" s="507"/>
      <c r="AP265" s="507"/>
      <c r="AQ265" s="507"/>
      <c r="AR265" s="507"/>
      <c r="AS265" s="507"/>
      <c r="AT265" s="507"/>
      <c r="AU265" s="507"/>
      <c r="AV265" s="142"/>
    </row>
    <row r="266" spans="1:48" hidden="1">
      <c r="A266" s="145"/>
      <c r="B266" s="157"/>
      <c r="C266" s="156"/>
      <c r="D266" s="147"/>
      <c r="E266" s="154"/>
      <c r="F266" s="979"/>
      <c r="G266" s="147"/>
      <c r="H266" s="146"/>
      <c r="I266" s="976"/>
      <c r="J266" s="982"/>
      <c r="K266" s="970"/>
      <c r="L266" s="515"/>
      <c r="M266" s="976"/>
      <c r="N266" s="349"/>
      <c r="O266" s="350"/>
      <c r="P266" s="384"/>
      <c r="Q266" s="383"/>
      <c r="R266" s="153"/>
      <c r="S266" s="147"/>
      <c r="T266" s="507"/>
      <c r="U266" s="513"/>
      <c r="V266" s="161" t="s">
        <v>808</v>
      </c>
      <c r="W266" s="629">
        <v>0</v>
      </c>
      <c r="X266" s="641"/>
      <c r="Y266" s="695">
        <v>15</v>
      </c>
      <c r="Z266" s="377"/>
      <c r="AA266" s="147"/>
      <c r="AB266" s="146"/>
      <c r="AC266" s="145"/>
      <c r="AD266" s="513"/>
      <c r="AE266" s="507"/>
      <c r="AF266" s="507"/>
      <c r="AG266" s="507"/>
      <c r="AH266" s="507"/>
      <c r="AI266" s="507"/>
      <c r="AJ266" s="507"/>
      <c r="AK266" s="721">
        <v>41200</v>
      </c>
      <c r="AL266" s="507"/>
      <c r="AM266" s="507"/>
      <c r="AN266" s="507"/>
      <c r="AO266" s="507"/>
      <c r="AP266" s="507"/>
      <c r="AQ266" s="507"/>
      <c r="AR266" s="507"/>
      <c r="AS266" s="507"/>
      <c r="AT266" s="507"/>
      <c r="AU266" s="507"/>
      <c r="AV266" s="505"/>
    </row>
    <row r="267" spans="1:48" hidden="1">
      <c r="A267" s="145"/>
      <c r="B267" s="157"/>
      <c r="C267" s="156"/>
      <c r="D267" s="147"/>
      <c r="E267" s="154"/>
      <c r="F267" s="979"/>
      <c r="G267" s="147"/>
      <c r="H267" s="146"/>
      <c r="I267" s="976"/>
      <c r="J267" s="982"/>
      <c r="K267" s="970"/>
      <c r="L267" s="155"/>
      <c r="M267" s="976"/>
      <c r="N267" s="349"/>
      <c r="O267" s="350"/>
      <c r="P267" s="384"/>
      <c r="Q267" s="383"/>
      <c r="R267" s="153"/>
      <c r="S267" s="147"/>
      <c r="T267" s="507"/>
      <c r="U267" s="513">
        <v>10</v>
      </c>
      <c r="V267" s="161" t="s">
        <v>828</v>
      </c>
      <c r="W267" s="629">
        <v>0</v>
      </c>
      <c r="X267" s="641">
        <v>0</v>
      </c>
      <c r="Y267" s="695">
        <v>9</v>
      </c>
      <c r="Z267" s="377">
        <f t="shared" si="4"/>
        <v>9</v>
      </c>
      <c r="AA267" s="147"/>
      <c r="AB267" s="146"/>
      <c r="AC267" s="145"/>
      <c r="AD267" s="144"/>
      <c r="AE267" s="143"/>
      <c r="AF267" s="507"/>
      <c r="AG267" s="507"/>
      <c r="AH267" s="507"/>
      <c r="AI267" s="507"/>
      <c r="AJ267" s="507"/>
      <c r="AK267" s="721">
        <v>20000</v>
      </c>
      <c r="AL267" s="507"/>
      <c r="AM267" s="507"/>
      <c r="AN267" s="507"/>
      <c r="AO267" s="507"/>
      <c r="AP267" s="507"/>
      <c r="AQ267" s="507"/>
      <c r="AR267" s="507"/>
      <c r="AS267" s="507"/>
      <c r="AT267" s="507"/>
      <c r="AU267" s="507"/>
      <c r="AV267" s="142"/>
    </row>
    <row r="268" spans="1:48" hidden="1">
      <c r="A268" s="145"/>
      <c r="B268" s="157"/>
      <c r="C268" s="156"/>
      <c r="D268" s="147"/>
      <c r="E268" s="154"/>
      <c r="F268" s="979"/>
      <c r="G268" s="147"/>
      <c r="H268" s="146"/>
      <c r="I268" s="976"/>
      <c r="J268" s="982"/>
      <c r="K268" s="970"/>
      <c r="L268" s="155"/>
      <c r="M268" s="976"/>
      <c r="N268" s="349"/>
      <c r="O268" s="350"/>
      <c r="P268" s="384"/>
      <c r="Q268" s="383"/>
      <c r="R268" s="153"/>
      <c r="S268" s="147"/>
      <c r="T268" s="507"/>
      <c r="U268" s="513">
        <v>11</v>
      </c>
      <c r="V268" s="161" t="s">
        <v>232</v>
      </c>
      <c r="W268" s="629">
        <v>0</v>
      </c>
      <c r="X268" s="641">
        <v>12</v>
      </c>
      <c r="Y268" s="695">
        <v>0</v>
      </c>
      <c r="Z268" s="377">
        <f t="shared" si="4"/>
        <v>12</v>
      </c>
      <c r="AA268" s="147"/>
      <c r="AB268" s="146"/>
      <c r="AC268" s="145"/>
      <c r="AD268" s="144"/>
      <c r="AE268" s="143"/>
      <c r="AF268" s="507"/>
      <c r="AG268" s="507"/>
      <c r="AH268" s="507"/>
      <c r="AI268" s="507"/>
      <c r="AJ268" s="507"/>
      <c r="AK268" s="721">
        <v>16650</v>
      </c>
      <c r="AL268" s="507"/>
      <c r="AM268" s="507"/>
      <c r="AN268" s="507"/>
      <c r="AO268" s="507"/>
      <c r="AP268" s="507"/>
      <c r="AQ268" s="507"/>
      <c r="AR268" s="507"/>
      <c r="AS268" s="507"/>
      <c r="AT268" s="507"/>
      <c r="AU268" s="507"/>
      <c r="AV268" s="142"/>
    </row>
    <row r="269" spans="1:48" hidden="1">
      <c r="A269" s="145"/>
      <c r="B269" s="157"/>
      <c r="C269" s="156"/>
      <c r="D269" s="147"/>
      <c r="E269" s="154"/>
      <c r="F269" s="979"/>
      <c r="G269" s="147"/>
      <c r="H269" s="146"/>
      <c r="I269" s="976"/>
      <c r="J269" s="982"/>
      <c r="K269" s="970"/>
      <c r="L269" s="155"/>
      <c r="M269" s="976"/>
      <c r="N269" s="349"/>
      <c r="O269" s="350"/>
      <c r="P269" s="384"/>
      <c r="Q269" s="383"/>
      <c r="R269" s="153"/>
      <c r="S269" s="147"/>
      <c r="T269" s="507"/>
      <c r="U269" s="513">
        <v>12</v>
      </c>
      <c r="V269" s="161" t="s">
        <v>807</v>
      </c>
      <c r="W269" s="629">
        <v>0</v>
      </c>
      <c r="X269" s="641">
        <v>0</v>
      </c>
      <c r="Y269" s="695">
        <v>9</v>
      </c>
      <c r="Z269" s="377">
        <f t="shared" si="4"/>
        <v>9</v>
      </c>
      <c r="AA269" s="147"/>
      <c r="AB269" s="146"/>
      <c r="AC269" s="145"/>
      <c r="AD269" s="144"/>
      <c r="AE269" s="143"/>
      <c r="AF269" s="507"/>
      <c r="AG269" s="507"/>
      <c r="AH269" s="507"/>
      <c r="AI269" s="507"/>
      <c r="AJ269" s="507"/>
      <c r="AK269" s="721">
        <v>20000</v>
      </c>
      <c r="AL269" s="507"/>
      <c r="AM269" s="507"/>
      <c r="AN269" s="507"/>
      <c r="AO269" s="507"/>
      <c r="AP269" s="507"/>
      <c r="AQ269" s="507"/>
      <c r="AR269" s="507"/>
      <c r="AS269" s="507"/>
      <c r="AT269" s="507"/>
      <c r="AU269" s="507"/>
      <c r="AV269" s="142"/>
    </row>
    <row r="270" spans="1:48" hidden="1">
      <c r="A270" s="145"/>
      <c r="B270" s="157"/>
      <c r="C270" s="156"/>
      <c r="D270" s="147"/>
      <c r="E270" s="154"/>
      <c r="F270" s="979"/>
      <c r="G270" s="147"/>
      <c r="H270" s="146"/>
      <c r="I270" s="976"/>
      <c r="J270" s="982"/>
      <c r="K270" s="970"/>
      <c r="L270" s="155"/>
      <c r="M270" s="976"/>
      <c r="N270" s="349"/>
      <c r="O270" s="350"/>
      <c r="P270" s="384"/>
      <c r="Q270" s="383"/>
      <c r="R270" s="153"/>
      <c r="S270" s="147"/>
      <c r="T270" s="507"/>
      <c r="U270" s="513">
        <v>13</v>
      </c>
      <c r="V270" s="161" t="s">
        <v>411</v>
      </c>
      <c r="W270" s="629">
        <v>0</v>
      </c>
      <c r="X270" s="641">
        <v>20</v>
      </c>
      <c r="Y270" s="695">
        <v>0</v>
      </c>
      <c r="Z270" s="377">
        <f t="shared" si="4"/>
        <v>20</v>
      </c>
      <c r="AA270" s="147"/>
      <c r="AB270" s="146"/>
      <c r="AC270" s="145"/>
      <c r="AD270" s="144"/>
      <c r="AE270" s="143"/>
      <c r="AF270" s="507"/>
      <c r="AG270" s="507"/>
      <c r="AH270" s="507"/>
      <c r="AI270" s="507"/>
      <c r="AJ270" s="507"/>
      <c r="AK270" s="721">
        <v>10000</v>
      </c>
      <c r="AL270" s="507"/>
      <c r="AM270" s="507"/>
      <c r="AN270" s="507"/>
      <c r="AO270" s="507"/>
      <c r="AP270" s="507"/>
      <c r="AQ270" s="507"/>
      <c r="AR270" s="507"/>
      <c r="AS270" s="507"/>
      <c r="AT270" s="507"/>
      <c r="AU270" s="507"/>
      <c r="AV270" s="142"/>
    </row>
    <row r="271" spans="1:48" hidden="1">
      <c r="A271" s="145"/>
      <c r="B271" s="157"/>
      <c r="C271" s="156"/>
      <c r="D271" s="147"/>
      <c r="E271" s="154"/>
      <c r="F271" s="979"/>
      <c r="G271" s="147"/>
      <c r="H271" s="146"/>
      <c r="I271" s="976"/>
      <c r="J271" s="982"/>
      <c r="K271" s="970"/>
      <c r="L271" s="155"/>
      <c r="M271" s="976"/>
      <c r="N271" s="990"/>
      <c r="O271" s="991"/>
      <c r="P271" s="379"/>
      <c r="Q271" s="378"/>
      <c r="R271" s="153"/>
      <c r="S271" s="147"/>
      <c r="T271" s="507"/>
      <c r="U271" s="513">
        <v>14</v>
      </c>
      <c r="V271" s="161" t="s">
        <v>2</v>
      </c>
      <c r="W271" s="629">
        <v>0</v>
      </c>
      <c r="X271" s="641">
        <v>201</v>
      </c>
      <c r="Y271" s="695">
        <v>0</v>
      </c>
      <c r="Z271" s="377">
        <f t="shared" si="4"/>
        <v>201</v>
      </c>
      <c r="AA271" s="147"/>
      <c r="AB271" s="146"/>
      <c r="AC271" s="145"/>
      <c r="AD271" s="144"/>
      <c r="AE271" s="143"/>
      <c r="AF271" s="507"/>
      <c r="AG271" s="507"/>
      <c r="AH271" s="507"/>
      <c r="AI271" s="507"/>
      <c r="AJ271" s="507"/>
      <c r="AK271" s="721">
        <v>6650</v>
      </c>
      <c r="AL271" s="507"/>
      <c r="AM271" s="507"/>
      <c r="AN271" s="507"/>
      <c r="AO271" s="507"/>
      <c r="AP271" s="507"/>
      <c r="AQ271" s="507"/>
      <c r="AR271" s="507"/>
      <c r="AS271" s="507"/>
      <c r="AT271" s="507"/>
      <c r="AU271" s="507"/>
      <c r="AV271" s="142"/>
    </row>
    <row r="272" spans="1:48" hidden="1">
      <c r="A272" s="145"/>
      <c r="B272" s="157"/>
      <c r="C272" s="156"/>
      <c r="D272" s="147"/>
      <c r="E272" s="154"/>
      <c r="F272" s="979"/>
      <c r="G272" s="147"/>
      <c r="H272" s="146"/>
      <c r="I272" s="976"/>
      <c r="J272" s="982"/>
      <c r="K272" s="970"/>
      <c r="L272" s="155"/>
      <c r="M272" s="976"/>
      <c r="N272" s="147"/>
      <c r="O272" s="146"/>
      <c r="P272" s="379"/>
      <c r="Q272" s="378"/>
      <c r="R272" s="153"/>
      <c r="S272" s="147"/>
      <c r="T272" s="507"/>
      <c r="U272" s="513">
        <v>15</v>
      </c>
      <c r="V272" s="161" t="s">
        <v>139</v>
      </c>
      <c r="W272" s="629">
        <v>0</v>
      </c>
      <c r="X272" s="641">
        <v>17</v>
      </c>
      <c r="Y272" s="695">
        <v>0</v>
      </c>
      <c r="Z272" s="377">
        <f t="shared" si="4"/>
        <v>17</v>
      </c>
      <c r="AA272" s="147"/>
      <c r="AB272" s="146"/>
      <c r="AC272" s="145"/>
      <c r="AD272" s="144"/>
      <c r="AE272" s="143"/>
      <c r="AF272" s="507"/>
      <c r="AG272" s="507"/>
      <c r="AH272" s="507"/>
      <c r="AI272" s="507"/>
      <c r="AJ272" s="507"/>
      <c r="AK272" s="721">
        <v>24750</v>
      </c>
      <c r="AL272" s="507"/>
      <c r="AM272" s="507"/>
      <c r="AN272" s="507"/>
      <c r="AO272" s="507"/>
      <c r="AP272" s="507"/>
      <c r="AQ272" s="507"/>
      <c r="AR272" s="507"/>
      <c r="AS272" s="507"/>
      <c r="AT272" s="507"/>
      <c r="AU272" s="507"/>
      <c r="AV272" s="142"/>
    </row>
    <row r="273" spans="1:48" hidden="1">
      <c r="A273" s="145"/>
      <c r="B273" s="157"/>
      <c r="C273" s="156"/>
      <c r="D273" s="147"/>
      <c r="E273" s="154"/>
      <c r="F273" s="979"/>
      <c r="G273" s="147"/>
      <c r="H273" s="146"/>
      <c r="I273" s="976"/>
      <c r="J273" s="982"/>
      <c r="K273" s="970"/>
      <c r="L273" s="155"/>
      <c r="M273" s="976"/>
      <c r="N273" s="147"/>
      <c r="O273" s="146"/>
      <c r="P273" s="379"/>
      <c r="Q273" s="378"/>
      <c r="R273" s="153"/>
      <c r="S273" s="147"/>
      <c r="T273" s="507"/>
      <c r="U273" s="513">
        <v>16</v>
      </c>
      <c r="V273" s="161" t="s">
        <v>826</v>
      </c>
      <c r="W273" s="629">
        <v>70</v>
      </c>
      <c r="X273" s="641">
        <v>0</v>
      </c>
      <c r="Y273" s="695">
        <v>0</v>
      </c>
      <c r="Z273" s="377">
        <f t="shared" si="4"/>
        <v>70</v>
      </c>
      <c r="AA273" s="147"/>
      <c r="AB273" s="146"/>
      <c r="AC273" s="145"/>
      <c r="AD273" s="144"/>
      <c r="AE273" s="143"/>
      <c r="AF273" s="507"/>
      <c r="AG273" s="507"/>
      <c r="AH273" s="507"/>
      <c r="AI273" s="507"/>
      <c r="AJ273" s="507"/>
      <c r="AK273" s="721">
        <v>2645</v>
      </c>
      <c r="AL273" s="507"/>
      <c r="AM273" s="507"/>
      <c r="AN273" s="507"/>
      <c r="AO273" s="507"/>
      <c r="AP273" s="507"/>
      <c r="AQ273" s="507"/>
      <c r="AR273" s="507"/>
      <c r="AS273" s="507"/>
      <c r="AT273" s="507"/>
      <c r="AU273" s="507"/>
      <c r="AV273" s="142"/>
    </row>
    <row r="274" spans="1:48" hidden="1">
      <c r="A274" s="145"/>
      <c r="B274" s="157"/>
      <c r="C274" s="156"/>
      <c r="D274" s="147"/>
      <c r="E274" s="154"/>
      <c r="F274" s="979"/>
      <c r="G274" s="147"/>
      <c r="H274" s="146"/>
      <c r="I274" s="976"/>
      <c r="J274" s="982"/>
      <c r="K274" s="970"/>
      <c r="L274" s="155"/>
      <c r="M274" s="976"/>
      <c r="N274" s="990"/>
      <c r="O274" s="991"/>
      <c r="P274" s="379"/>
      <c r="Q274" s="378"/>
      <c r="R274" s="153"/>
      <c r="S274" s="147"/>
      <c r="T274" s="507"/>
      <c r="U274" s="513">
        <v>17</v>
      </c>
      <c r="V274" s="161" t="s">
        <v>86</v>
      </c>
      <c r="W274" s="629">
        <v>0</v>
      </c>
      <c r="X274" s="641">
        <v>3600</v>
      </c>
      <c r="Y274" s="695">
        <v>0</v>
      </c>
      <c r="Z274" s="377">
        <f t="shared" si="4"/>
        <v>3600</v>
      </c>
      <c r="AA274" s="147"/>
      <c r="AB274" s="146"/>
      <c r="AC274" s="145"/>
      <c r="AD274" s="144"/>
      <c r="AE274" s="143"/>
      <c r="AF274" s="507"/>
      <c r="AG274" s="507"/>
      <c r="AH274" s="507"/>
      <c r="AI274" s="507"/>
      <c r="AJ274" s="507"/>
      <c r="AK274" s="721">
        <v>800</v>
      </c>
      <c r="AL274" s="507"/>
      <c r="AM274" s="507"/>
      <c r="AN274" s="507"/>
      <c r="AO274" s="507"/>
      <c r="AP274" s="507"/>
      <c r="AQ274" s="507"/>
      <c r="AR274" s="507"/>
      <c r="AS274" s="507"/>
      <c r="AT274" s="507"/>
      <c r="AU274" s="507"/>
      <c r="AV274" s="142"/>
    </row>
    <row r="275" spans="1:48" hidden="1">
      <c r="A275" s="145"/>
      <c r="B275" s="157"/>
      <c r="C275" s="156"/>
      <c r="D275" s="147"/>
      <c r="E275" s="154"/>
      <c r="F275" s="979"/>
      <c r="G275" s="147"/>
      <c r="H275" s="146"/>
      <c r="I275" s="976"/>
      <c r="J275" s="982"/>
      <c r="K275" s="970"/>
      <c r="L275" s="155"/>
      <c r="M275" s="976"/>
      <c r="N275" s="147"/>
      <c r="O275" s="146"/>
      <c r="P275" s="379"/>
      <c r="Q275" s="378"/>
      <c r="R275" s="153"/>
      <c r="S275" s="147"/>
      <c r="T275" s="507"/>
      <c r="U275" s="513">
        <v>18</v>
      </c>
      <c r="V275" s="161" t="s">
        <v>1019</v>
      </c>
      <c r="W275" s="629">
        <v>0</v>
      </c>
      <c r="X275" s="641">
        <v>65</v>
      </c>
      <c r="Y275" s="695">
        <v>0</v>
      </c>
      <c r="Z275" s="377">
        <f t="shared" si="4"/>
        <v>65</v>
      </c>
      <c r="AA275" s="147"/>
      <c r="AB275" s="146"/>
      <c r="AC275" s="145"/>
      <c r="AD275" s="144"/>
      <c r="AE275" s="143"/>
      <c r="AF275" s="507"/>
      <c r="AG275" s="507"/>
      <c r="AH275" s="507"/>
      <c r="AI275" s="507"/>
      <c r="AJ275" s="507"/>
      <c r="AK275" s="721">
        <v>550</v>
      </c>
      <c r="AL275" s="507"/>
      <c r="AM275" s="507"/>
      <c r="AN275" s="507"/>
      <c r="AO275" s="507"/>
      <c r="AP275" s="507"/>
      <c r="AQ275" s="507"/>
      <c r="AR275" s="507"/>
      <c r="AS275" s="507"/>
      <c r="AT275" s="507"/>
      <c r="AU275" s="507"/>
      <c r="AV275" s="142"/>
    </row>
    <row r="276" spans="1:48" hidden="1">
      <c r="A276" s="145"/>
      <c r="B276" s="157"/>
      <c r="C276" s="156"/>
      <c r="D276" s="147"/>
      <c r="E276" s="154"/>
      <c r="F276" s="979"/>
      <c r="G276" s="147"/>
      <c r="H276" s="146"/>
      <c r="I276" s="976"/>
      <c r="J276" s="982"/>
      <c r="K276" s="970"/>
      <c r="L276" s="155"/>
      <c r="M276" s="976"/>
      <c r="N276" s="147"/>
      <c r="O276" s="146"/>
      <c r="P276" s="379"/>
      <c r="Q276" s="378"/>
      <c r="R276" s="153"/>
      <c r="S276" s="147"/>
      <c r="T276" s="507"/>
      <c r="U276" s="513">
        <v>19</v>
      </c>
      <c r="V276" s="161" t="s">
        <v>290</v>
      </c>
      <c r="W276" s="629">
        <v>0</v>
      </c>
      <c r="X276" s="641">
        <v>11</v>
      </c>
      <c r="Y276" s="695">
        <v>0</v>
      </c>
      <c r="Z276" s="377">
        <f t="shared" si="4"/>
        <v>11</v>
      </c>
      <c r="AA276" s="147"/>
      <c r="AB276" s="146"/>
      <c r="AC276" s="145"/>
      <c r="AD276" s="144"/>
      <c r="AE276" s="143"/>
      <c r="AF276" s="507"/>
      <c r="AG276" s="507"/>
      <c r="AH276" s="507"/>
      <c r="AI276" s="507"/>
      <c r="AJ276" s="507"/>
      <c r="AK276" s="721">
        <v>31000</v>
      </c>
      <c r="AL276" s="507"/>
      <c r="AM276" s="507"/>
      <c r="AN276" s="507"/>
      <c r="AO276" s="507"/>
      <c r="AP276" s="507"/>
      <c r="AQ276" s="507"/>
      <c r="AR276" s="507"/>
      <c r="AS276" s="507"/>
      <c r="AT276" s="507"/>
      <c r="AU276" s="507"/>
      <c r="AV276" s="142"/>
    </row>
    <row r="277" spans="1:48" hidden="1">
      <c r="A277" s="145"/>
      <c r="B277" s="157"/>
      <c r="C277" s="156"/>
      <c r="D277" s="147"/>
      <c r="E277" s="154"/>
      <c r="F277" s="979"/>
      <c r="G277" s="147"/>
      <c r="H277" s="146"/>
      <c r="I277" s="976"/>
      <c r="J277" s="982"/>
      <c r="K277" s="970"/>
      <c r="L277" s="155"/>
      <c r="M277" s="976"/>
      <c r="N277" s="990"/>
      <c r="O277" s="991"/>
      <c r="P277" s="379"/>
      <c r="Q277" s="378"/>
      <c r="R277" s="153"/>
      <c r="S277" s="147"/>
      <c r="T277" s="507"/>
      <c r="U277" s="513">
        <v>20</v>
      </c>
      <c r="V277" s="161" t="s">
        <v>1020</v>
      </c>
      <c r="W277" s="629">
        <v>0</v>
      </c>
      <c r="X277" s="641">
        <v>7</v>
      </c>
      <c r="Y277" s="695">
        <v>0</v>
      </c>
      <c r="Z277" s="377">
        <f t="shared" si="4"/>
        <v>7</v>
      </c>
      <c r="AA277" s="147"/>
      <c r="AB277" s="146"/>
      <c r="AC277" s="145"/>
      <c r="AD277" s="144"/>
      <c r="AE277" s="143"/>
      <c r="AF277" s="507"/>
      <c r="AG277" s="507"/>
      <c r="AH277" s="507"/>
      <c r="AI277" s="507"/>
      <c r="AJ277" s="507"/>
      <c r="AK277" s="721">
        <v>49500</v>
      </c>
      <c r="AL277" s="507"/>
      <c r="AM277" s="507"/>
      <c r="AN277" s="507"/>
      <c r="AO277" s="507"/>
      <c r="AP277" s="507"/>
      <c r="AQ277" s="507"/>
      <c r="AR277" s="507"/>
      <c r="AS277" s="507"/>
      <c r="AT277" s="507"/>
      <c r="AU277" s="507"/>
      <c r="AV277" s="142"/>
    </row>
    <row r="278" spans="1:48" hidden="1">
      <c r="A278" s="145"/>
      <c r="B278" s="157"/>
      <c r="C278" s="156"/>
      <c r="D278" s="147"/>
      <c r="E278" s="154"/>
      <c r="F278" s="979"/>
      <c r="G278" s="147"/>
      <c r="H278" s="146"/>
      <c r="I278" s="976"/>
      <c r="J278" s="982"/>
      <c r="K278" s="970"/>
      <c r="L278" s="155"/>
      <c r="M278" s="976"/>
      <c r="N278" s="147"/>
      <c r="O278" s="146"/>
      <c r="P278" s="379"/>
      <c r="Q278" s="378"/>
      <c r="R278" s="153"/>
      <c r="S278" s="147"/>
      <c r="T278" s="507"/>
      <c r="U278" s="513">
        <v>21</v>
      </c>
      <c r="V278" s="161" t="s">
        <v>242</v>
      </c>
      <c r="W278" s="629">
        <v>0</v>
      </c>
      <c r="X278" s="641">
        <v>0</v>
      </c>
      <c r="Y278" s="695">
        <v>62</v>
      </c>
      <c r="Z278" s="377">
        <f t="shared" si="4"/>
        <v>62</v>
      </c>
      <c r="AA278" s="147"/>
      <c r="AB278" s="146"/>
      <c r="AC278" s="145"/>
      <c r="AD278" s="144"/>
      <c r="AE278" s="143"/>
      <c r="AF278" s="507"/>
      <c r="AG278" s="507"/>
      <c r="AH278" s="507"/>
      <c r="AI278" s="507"/>
      <c r="AJ278" s="507"/>
      <c r="AK278" s="721"/>
      <c r="AL278" s="507"/>
      <c r="AM278" s="507"/>
      <c r="AN278" s="507"/>
      <c r="AO278" s="507"/>
      <c r="AP278" s="507"/>
      <c r="AQ278" s="507"/>
      <c r="AR278" s="507"/>
      <c r="AS278" s="507"/>
      <c r="AT278" s="507"/>
      <c r="AU278" s="507"/>
      <c r="AV278" s="142"/>
    </row>
    <row r="279" spans="1:48" hidden="1">
      <c r="A279" s="145"/>
      <c r="B279" s="157"/>
      <c r="C279" s="156"/>
      <c r="D279" s="147"/>
      <c r="E279" s="154"/>
      <c r="F279" s="979"/>
      <c r="G279" s="147"/>
      <c r="H279" s="146"/>
      <c r="I279" s="976"/>
      <c r="J279" s="982"/>
      <c r="K279" s="970"/>
      <c r="L279" s="155"/>
      <c r="M279" s="976"/>
      <c r="N279" s="147"/>
      <c r="O279" s="146"/>
      <c r="P279" s="379"/>
      <c r="Q279" s="378"/>
      <c r="R279" s="153"/>
      <c r="S279" s="147"/>
      <c r="T279" s="507"/>
      <c r="U279" s="513">
        <v>22</v>
      </c>
      <c r="V279" s="161" t="s">
        <v>244</v>
      </c>
      <c r="W279" s="629">
        <v>40</v>
      </c>
      <c r="X279" s="641">
        <v>0</v>
      </c>
      <c r="Y279" s="695">
        <v>0</v>
      </c>
      <c r="Z279" s="377">
        <f t="shared" si="4"/>
        <v>40</v>
      </c>
      <c r="AA279" s="147"/>
      <c r="AB279" s="146"/>
      <c r="AC279" s="145"/>
      <c r="AD279" s="144"/>
      <c r="AE279" s="143"/>
      <c r="AF279" s="507"/>
      <c r="AG279" s="507"/>
      <c r="AH279" s="507"/>
      <c r="AI279" s="507"/>
      <c r="AJ279" s="507"/>
      <c r="AK279" s="721">
        <v>6000</v>
      </c>
      <c r="AL279" s="507"/>
      <c r="AM279" s="507"/>
      <c r="AN279" s="507"/>
      <c r="AO279" s="507"/>
      <c r="AP279" s="507"/>
      <c r="AQ279" s="507"/>
      <c r="AR279" s="507"/>
      <c r="AS279" s="507"/>
      <c r="AT279" s="507"/>
      <c r="AU279" s="507"/>
      <c r="AV279" s="142"/>
    </row>
    <row r="280" spans="1:48" hidden="1">
      <c r="A280" s="145"/>
      <c r="B280" s="157"/>
      <c r="C280" s="156"/>
      <c r="D280" s="147"/>
      <c r="E280" s="154"/>
      <c r="F280" s="979"/>
      <c r="G280" s="147"/>
      <c r="H280" s="146"/>
      <c r="I280" s="976"/>
      <c r="J280" s="982"/>
      <c r="K280" s="970"/>
      <c r="L280" s="155"/>
      <c r="M280" s="976"/>
      <c r="N280" s="990"/>
      <c r="O280" s="991"/>
      <c r="P280" s="379"/>
      <c r="Q280" s="378"/>
      <c r="R280" s="153"/>
      <c r="S280" s="147"/>
      <c r="T280" s="507"/>
      <c r="U280" s="513">
        <v>23</v>
      </c>
      <c r="V280" s="161" t="s">
        <v>143</v>
      </c>
      <c r="W280" s="629">
        <v>0</v>
      </c>
      <c r="X280" s="641">
        <v>31</v>
      </c>
      <c r="Y280" s="695">
        <v>0</v>
      </c>
      <c r="Z280" s="377">
        <f t="shared" si="4"/>
        <v>31</v>
      </c>
      <c r="AA280" s="147"/>
      <c r="AB280" s="146"/>
      <c r="AC280" s="145"/>
      <c r="AD280" s="144"/>
      <c r="AE280" s="143"/>
      <c r="AF280" s="507"/>
      <c r="AG280" s="507"/>
      <c r="AH280" s="507"/>
      <c r="AI280" s="507"/>
      <c r="AJ280" s="507"/>
      <c r="AK280" s="721">
        <v>6650</v>
      </c>
      <c r="AL280" s="507"/>
      <c r="AM280" s="507"/>
      <c r="AN280" s="507"/>
      <c r="AO280" s="507"/>
      <c r="AP280" s="507"/>
      <c r="AQ280" s="507"/>
      <c r="AR280" s="507"/>
      <c r="AS280" s="507"/>
      <c r="AT280" s="507"/>
      <c r="AU280" s="507"/>
      <c r="AV280" s="142"/>
    </row>
    <row r="281" spans="1:48">
      <c r="A281" s="145"/>
      <c r="B281" s="157"/>
      <c r="C281" s="156"/>
      <c r="D281" s="147"/>
      <c r="E281" s="154"/>
      <c r="F281" s="979"/>
      <c r="G281" s="147"/>
      <c r="H281" s="146"/>
      <c r="I281" s="976"/>
      <c r="J281" s="982"/>
      <c r="K281" s="970"/>
      <c r="L281" s="155"/>
      <c r="M281" s="976"/>
      <c r="N281" s="147"/>
      <c r="O281" s="146"/>
      <c r="P281" s="379"/>
      <c r="Q281" s="378"/>
      <c r="R281" s="153"/>
      <c r="S281" s="147"/>
      <c r="T281" s="507"/>
      <c r="U281" s="513">
        <v>24</v>
      </c>
      <c r="V281" s="161" t="s">
        <v>134</v>
      </c>
      <c r="W281" s="629">
        <v>0</v>
      </c>
      <c r="X281" s="641">
        <v>50</v>
      </c>
      <c r="Y281" s="695">
        <v>0</v>
      </c>
      <c r="Z281" s="377">
        <f t="shared" si="4"/>
        <v>50</v>
      </c>
      <c r="AA281" s="147"/>
      <c r="AB281" s="146"/>
      <c r="AC281" s="145"/>
      <c r="AD281" s="144"/>
      <c r="AE281" s="143"/>
      <c r="AF281" s="507"/>
      <c r="AG281" s="507"/>
      <c r="AH281" s="507"/>
      <c r="AI281" s="507"/>
      <c r="AJ281" s="507"/>
      <c r="AK281" s="721">
        <v>13250</v>
      </c>
      <c r="AL281" s="507"/>
      <c r="AM281" s="507"/>
      <c r="AN281" s="507"/>
      <c r="AO281" s="507"/>
      <c r="AP281" s="507"/>
      <c r="AQ281" s="507"/>
      <c r="AR281" s="507"/>
      <c r="AS281" s="507"/>
      <c r="AT281" s="507"/>
      <c r="AU281" s="507"/>
      <c r="AV281" s="142"/>
    </row>
    <row r="282" spans="1:48" hidden="1">
      <c r="A282" s="145"/>
      <c r="B282" s="157"/>
      <c r="C282" s="156"/>
      <c r="D282" s="147"/>
      <c r="E282" s="154"/>
      <c r="F282" s="979"/>
      <c r="G282" s="147"/>
      <c r="H282" s="146"/>
      <c r="I282" s="976"/>
      <c r="J282" s="982"/>
      <c r="K282" s="970"/>
      <c r="L282" s="155"/>
      <c r="M282" s="976"/>
      <c r="N282" s="147"/>
      <c r="O282" s="146"/>
      <c r="P282" s="379"/>
      <c r="Q282" s="378"/>
      <c r="R282" s="153"/>
      <c r="S282" s="147"/>
      <c r="T282" s="507"/>
      <c r="U282" s="513">
        <v>25</v>
      </c>
      <c r="V282" s="161" t="s">
        <v>1021</v>
      </c>
      <c r="W282" s="629">
        <v>0</v>
      </c>
      <c r="X282" s="641">
        <v>0</v>
      </c>
      <c r="Y282" s="695">
        <v>41</v>
      </c>
      <c r="Z282" s="377">
        <f t="shared" si="4"/>
        <v>41</v>
      </c>
      <c r="AA282" s="147"/>
      <c r="AB282" s="146"/>
      <c r="AC282" s="145"/>
      <c r="AD282" s="144"/>
      <c r="AE282" s="143"/>
      <c r="AF282" s="507"/>
      <c r="AG282" s="507"/>
      <c r="AH282" s="507"/>
      <c r="AI282" s="507"/>
      <c r="AJ282" s="507"/>
      <c r="AK282" s="721">
        <v>1770</v>
      </c>
      <c r="AL282" s="507"/>
      <c r="AM282" s="507"/>
      <c r="AN282" s="507"/>
      <c r="AO282" s="507"/>
      <c r="AP282" s="507"/>
      <c r="AQ282" s="507"/>
      <c r="AR282" s="507"/>
      <c r="AS282" s="507"/>
      <c r="AT282" s="507"/>
      <c r="AU282" s="507"/>
      <c r="AV282" s="142"/>
    </row>
    <row r="283" spans="1:48" hidden="1">
      <c r="A283" s="129"/>
      <c r="B283" s="137"/>
      <c r="C283" s="141"/>
      <c r="D283" s="131"/>
      <c r="E283" s="140"/>
      <c r="F283" s="992"/>
      <c r="G283" s="131"/>
      <c r="H283" s="130"/>
      <c r="I283" s="977"/>
      <c r="J283" s="993"/>
      <c r="K283" s="971"/>
      <c r="L283" s="139"/>
      <c r="M283" s="977"/>
      <c r="N283" s="131"/>
      <c r="O283" s="130"/>
      <c r="P283" s="136"/>
      <c r="Q283" s="135"/>
      <c r="R283" s="137"/>
      <c r="S283" s="131"/>
      <c r="T283" s="508"/>
      <c r="U283" s="514"/>
      <c r="V283" s="573"/>
      <c r="W283" s="623"/>
      <c r="X283" s="671"/>
      <c r="Y283" s="706"/>
      <c r="Z283" s="376"/>
      <c r="AA283" s="131"/>
      <c r="AB283" s="130"/>
      <c r="AC283" s="129"/>
      <c r="AD283" s="128"/>
      <c r="AE283" s="127"/>
      <c r="AF283" s="508"/>
      <c r="AG283" s="508"/>
      <c r="AH283" s="508"/>
      <c r="AI283" s="508"/>
      <c r="AJ283" s="508"/>
      <c r="AK283" s="723"/>
      <c r="AL283" s="508"/>
      <c r="AM283" s="508"/>
      <c r="AN283" s="508"/>
      <c r="AO283" s="508"/>
      <c r="AP283" s="508"/>
      <c r="AQ283" s="508"/>
      <c r="AR283" s="508"/>
      <c r="AS283" s="508"/>
      <c r="AT283" s="508"/>
      <c r="AU283" s="508"/>
      <c r="AV283" s="126"/>
    </row>
    <row r="284" spans="1:48" hidden="1">
      <c r="A284" s="185" t="s">
        <v>578</v>
      </c>
      <c r="B284" s="176" t="s">
        <v>25</v>
      </c>
      <c r="C284" s="184" t="s">
        <v>730</v>
      </c>
      <c r="D284" s="183"/>
      <c r="E284" s="170"/>
      <c r="F284" s="978"/>
      <c r="G284" s="219" t="s">
        <v>25</v>
      </c>
      <c r="H284" s="154" t="s">
        <v>729</v>
      </c>
      <c r="I284" s="975">
        <v>5842</v>
      </c>
      <c r="J284" s="981"/>
      <c r="K284" s="969" t="s">
        <v>728</v>
      </c>
      <c r="L284" s="180"/>
      <c r="M284" s="975"/>
      <c r="N284" s="988"/>
      <c r="O284" s="989"/>
      <c r="P284" s="175"/>
      <c r="Q284" s="174"/>
      <c r="R284" s="176" t="s">
        <v>25</v>
      </c>
      <c r="S284" s="170" t="s">
        <v>24</v>
      </c>
      <c r="T284" s="506"/>
      <c r="U284" s="512"/>
      <c r="V284" s="567"/>
      <c r="W284" s="651"/>
      <c r="X284" s="672"/>
      <c r="Y284" s="707"/>
      <c r="Z284" s="381"/>
      <c r="AA284" s="170"/>
      <c r="AB284" s="169"/>
      <c r="AC284" s="168"/>
      <c r="AD284" s="167"/>
      <c r="AE284" s="166"/>
      <c r="AF284" s="506"/>
      <c r="AG284" s="506"/>
      <c r="AH284" s="506"/>
      <c r="AI284" s="506"/>
      <c r="AJ284" s="506"/>
      <c r="AK284" s="722"/>
      <c r="AL284" s="506"/>
      <c r="AM284" s="506"/>
      <c r="AN284" s="506"/>
      <c r="AO284" s="506"/>
      <c r="AP284" s="506"/>
      <c r="AQ284" s="506"/>
      <c r="AR284" s="506"/>
      <c r="AS284" s="506"/>
      <c r="AT284" s="506"/>
      <c r="AU284" s="506"/>
      <c r="AV284" s="165"/>
    </row>
    <row r="285" spans="1:48" hidden="1">
      <c r="A285" s="145"/>
      <c r="B285" s="153" t="s">
        <v>16</v>
      </c>
      <c r="C285" s="164" t="s">
        <v>727</v>
      </c>
      <c r="D285" s="147"/>
      <c r="E285" s="163"/>
      <c r="F285" s="979"/>
      <c r="G285" s="147" t="s">
        <v>16</v>
      </c>
      <c r="H285" s="147" t="s">
        <v>726</v>
      </c>
      <c r="I285" s="976"/>
      <c r="J285" s="982"/>
      <c r="K285" s="970"/>
      <c r="L285" s="155"/>
      <c r="M285" s="976"/>
      <c r="N285" s="147"/>
      <c r="O285" s="154"/>
      <c r="P285" s="379"/>
      <c r="Q285" s="380"/>
      <c r="R285" s="153"/>
      <c r="S285" s="147"/>
      <c r="T285" s="507"/>
      <c r="U285" s="513"/>
      <c r="V285" s="161"/>
      <c r="W285" s="622"/>
      <c r="X285" s="673"/>
      <c r="Y285" s="708"/>
      <c r="Z285" s="377"/>
      <c r="AA285" s="147"/>
      <c r="AB285" s="146"/>
      <c r="AC285" s="145"/>
      <c r="AD285" s="144"/>
      <c r="AE285" s="143"/>
      <c r="AF285" s="507"/>
      <c r="AG285" s="507"/>
      <c r="AH285" s="507"/>
      <c r="AI285" s="507"/>
      <c r="AJ285" s="507"/>
      <c r="AK285" s="721"/>
      <c r="AL285" s="507"/>
      <c r="AM285" s="507"/>
      <c r="AN285" s="507"/>
      <c r="AO285" s="507"/>
      <c r="AP285" s="507"/>
      <c r="AQ285" s="507"/>
      <c r="AR285" s="507"/>
      <c r="AS285" s="507"/>
      <c r="AT285" s="507"/>
      <c r="AU285" s="507"/>
      <c r="AV285" s="142"/>
    </row>
    <row r="286" spans="1:48" hidden="1">
      <c r="A286" s="145"/>
      <c r="B286" s="153" t="s">
        <v>18</v>
      </c>
      <c r="C286" s="162" t="s">
        <v>38</v>
      </c>
      <c r="D286" s="147"/>
      <c r="E286" s="147"/>
      <c r="F286" s="979"/>
      <c r="G286" s="147" t="s">
        <v>18</v>
      </c>
      <c r="H286" s="147" t="s">
        <v>19</v>
      </c>
      <c r="I286" s="976"/>
      <c r="J286" s="982"/>
      <c r="K286" s="970"/>
      <c r="L286" s="155"/>
      <c r="M286" s="976"/>
      <c r="N286" s="147"/>
      <c r="O286" s="146"/>
      <c r="P286" s="152"/>
      <c r="Q286" s="151"/>
      <c r="R286" s="153" t="s">
        <v>16</v>
      </c>
      <c r="S286" s="147" t="s">
        <v>15</v>
      </c>
      <c r="T286" s="507"/>
      <c r="U286" s="513"/>
      <c r="V286" s="161"/>
      <c r="W286" s="622"/>
      <c r="X286" s="673"/>
      <c r="Y286" s="708"/>
      <c r="Z286" s="377"/>
      <c r="AA286" s="147"/>
      <c r="AB286" s="146"/>
      <c r="AC286" s="145"/>
      <c r="AD286" s="144"/>
      <c r="AE286" s="143"/>
      <c r="AF286" s="507"/>
      <c r="AG286" s="507"/>
      <c r="AH286" s="507"/>
      <c r="AI286" s="507"/>
      <c r="AJ286" s="507"/>
      <c r="AK286" s="721"/>
      <c r="AL286" s="507"/>
      <c r="AM286" s="507"/>
      <c r="AN286" s="507"/>
      <c r="AO286" s="507"/>
      <c r="AP286" s="507"/>
      <c r="AQ286" s="507"/>
      <c r="AR286" s="507"/>
      <c r="AS286" s="507"/>
      <c r="AT286" s="507"/>
      <c r="AU286" s="507"/>
      <c r="AV286" s="142"/>
    </row>
    <row r="287" spans="1:48" ht="67.5" hidden="1" customHeight="1">
      <c r="A287" s="145"/>
      <c r="B287" s="157" t="s">
        <v>12</v>
      </c>
      <c r="C287" s="156" t="s">
        <v>725</v>
      </c>
      <c r="D287" s="147"/>
      <c r="E287" s="154"/>
      <c r="F287" s="979"/>
      <c r="G287" s="147"/>
      <c r="H287" s="146"/>
      <c r="I287" s="976"/>
      <c r="J287" s="982"/>
      <c r="K287" s="970"/>
      <c r="L287" s="155"/>
      <c r="M287" s="976"/>
      <c r="N287" s="990"/>
      <c r="O287" s="991"/>
      <c r="P287" s="152"/>
      <c r="Q287" s="151"/>
      <c r="R287" s="153"/>
      <c r="S287" s="147"/>
      <c r="T287" s="507"/>
      <c r="U287" s="513"/>
      <c r="V287" s="161"/>
      <c r="W287" s="622"/>
      <c r="X287" s="673"/>
      <c r="Y287" s="708"/>
      <c r="Z287" s="377"/>
      <c r="AA287" s="147"/>
      <c r="AB287" s="146"/>
      <c r="AC287" s="145"/>
      <c r="AD287" s="144"/>
      <c r="AE287" s="143"/>
      <c r="AF287" s="507"/>
      <c r="AG287" s="507"/>
      <c r="AH287" s="507"/>
      <c r="AI287" s="507"/>
      <c r="AJ287" s="507"/>
      <c r="AK287" s="721"/>
      <c r="AL287" s="507"/>
      <c r="AM287" s="507"/>
      <c r="AN287" s="507"/>
      <c r="AO287" s="507"/>
      <c r="AP287" s="507"/>
      <c r="AQ287" s="507"/>
      <c r="AR287" s="507"/>
      <c r="AS287" s="507"/>
      <c r="AT287" s="507"/>
      <c r="AU287" s="507"/>
      <c r="AV287" s="142"/>
    </row>
    <row r="288" spans="1:48" hidden="1">
      <c r="A288" s="145"/>
      <c r="B288" s="157" t="s">
        <v>429</v>
      </c>
      <c r="C288" s="190" t="s">
        <v>724</v>
      </c>
      <c r="D288" s="147"/>
      <c r="E288" s="154"/>
      <c r="F288" s="979"/>
      <c r="G288" s="147"/>
      <c r="H288" s="146"/>
      <c r="I288" s="976"/>
      <c r="J288" s="982"/>
      <c r="K288" s="970"/>
      <c r="L288" s="155"/>
      <c r="M288" s="976"/>
      <c r="N288" s="147"/>
      <c r="O288" s="154"/>
      <c r="P288" s="379"/>
      <c r="Q288" s="378"/>
      <c r="R288" s="153"/>
      <c r="S288" s="147"/>
      <c r="T288" s="507"/>
      <c r="U288" s="513"/>
      <c r="V288" s="161"/>
      <c r="W288" s="622"/>
      <c r="X288" s="673"/>
      <c r="Y288" s="708"/>
      <c r="Z288" s="377"/>
      <c r="AA288" s="147"/>
      <c r="AB288" s="146"/>
      <c r="AC288" s="145"/>
      <c r="AD288" s="144"/>
      <c r="AE288" s="143"/>
      <c r="AF288" s="507"/>
      <c r="AG288" s="507"/>
      <c r="AH288" s="507"/>
      <c r="AI288" s="507"/>
      <c r="AJ288" s="507"/>
      <c r="AK288" s="721"/>
      <c r="AL288" s="507"/>
      <c r="AM288" s="507"/>
      <c r="AN288" s="507"/>
      <c r="AO288" s="507"/>
      <c r="AP288" s="507"/>
      <c r="AQ288" s="507"/>
      <c r="AR288" s="507"/>
      <c r="AS288" s="507"/>
      <c r="AT288" s="507"/>
      <c r="AU288" s="507"/>
      <c r="AV288" s="142"/>
    </row>
    <row r="289" spans="1:49" hidden="1">
      <c r="A289" s="145"/>
      <c r="B289" s="157"/>
      <c r="C289" s="156"/>
      <c r="D289" s="147"/>
      <c r="E289" s="154"/>
      <c r="F289" s="979"/>
      <c r="G289" s="147"/>
      <c r="H289" s="146"/>
      <c r="I289" s="976"/>
      <c r="J289" s="982"/>
      <c r="K289" s="970"/>
      <c r="L289" s="155"/>
      <c r="M289" s="976"/>
      <c r="N289" s="147"/>
      <c r="O289" s="146"/>
      <c r="P289" s="379"/>
      <c r="Q289" s="378"/>
      <c r="R289" s="153"/>
      <c r="S289" s="147"/>
      <c r="T289" s="507"/>
      <c r="U289" s="513"/>
      <c r="V289" s="161"/>
      <c r="W289" s="622"/>
      <c r="X289" s="673"/>
      <c r="Y289" s="708"/>
      <c r="Z289" s="377"/>
      <c r="AA289" s="147"/>
      <c r="AB289" s="146"/>
      <c r="AC289" s="145"/>
      <c r="AD289" s="144"/>
      <c r="AE289" s="143"/>
      <c r="AF289" s="507"/>
      <c r="AG289" s="507"/>
      <c r="AH289" s="507"/>
      <c r="AI289" s="507"/>
      <c r="AJ289" s="507"/>
      <c r="AK289" s="721"/>
      <c r="AL289" s="507"/>
      <c r="AM289" s="507"/>
      <c r="AN289" s="507"/>
      <c r="AO289" s="507"/>
      <c r="AP289" s="507"/>
      <c r="AQ289" s="507"/>
      <c r="AR289" s="507"/>
      <c r="AS289" s="507"/>
      <c r="AT289" s="507"/>
      <c r="AU289" s="507"/>
      <c r="AV289" s="142"/>
    </row>
    <row r="290" spans="1:49" hidden="1">
      <c r="A290" s="129"/>
      <c r="B290" s="137"/>
      <c r="C290" s="141"/>
      <c r="D290" s="131"/>
      <c r="E290" s="140"/>
      <c r="F290" s="992"/>
      <c r="G290" s="131"/>
      <c r="H290" s="130"/>
      <c r="I290" s="977"/>
      <c r="J290" s="993"/>
      <c r="K290" s="971"/>
      <c r="L290" s="139"/>
      <c r="M290" s="977"/>
      <c r="N290" s="227"/>
      <c r="O290" s="138"/>
      <c r="P290" s="136"/>
      <c r="Q290" s="135"/>
      <c r="R290" s="137"/>
      <c r="S290" s="131"/>
      <c r="T290" s="508"/>
      <c r="U290" s="514"/>
      <c r="V290" s="573"/>
      <c r="W290" s="623"/>
      <c r="X290" s="671"/>
      <c r="Y290" s="706"/>
      <c r="Z290" s="376"/>
      <c r="AA290" s="131"/>
      <c r="AB290" s="130"/>
      <c r="AC290" s="129"/>
      <c r="AD290" s="128"/>
      <c r="AE290" s="127"/>
      <c r="AF290" s="508"/>
      <c r="AG290" s="508"/>
      <c r="AH290" s="508"/>
      <c r="AI290" s="508"/>
      <c r="AJ290" s="508"/>
      <c r="AK290" s="723"/>
      <c r="AL290" s="508"/>
      <c r="AM290" s="508"/>
      <c r="AN290" s="508"/>
      <c r="AO290" s="508"/>
      <c r="AP290" s="508"/>
      <c r="AQ290" s="508"/>
      <c r="AR290" s="508"/>
      <c r="AS290" s="508"/>
      <c r="AT290" s="508"/>
      <c r="AU290" s="508"/>
      <c r="AV290" s="126"/>
    </row>
    <row r="291" spans="1:49" hidden="1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318"/>
      <c r="Q291" s="318"/>
      <c r="R291" s="125"/>
      <c r="S291" s="125"/>
      <c r="T291" s="583"/>
      <c r="U291" s="565"/>
      <c r="V291" s="565"/>
      <c r="W291" s="609"/>
      <c r="X291" s="655"/>
      <c r="Y291" s="676"/>
      <c r="Z291" s="374"/>
      <c r="AA291" s="123"/>
      <c r="AB291" s="123"/>
      <c r="AC291" s="123"/>
      <c r="AD291" s="123"/>
      <c r="AE291" s="123"/>
      <c r="AF291" s="123"/>
      <c r="AG291" s="123"/>
      <c r="AH291" s="123"/>
      <c r="AI291" s="123"/>
      <c r="AJ291" s="123"/>
      <c r="AK291" s="720"/>
      <c r="AL291" s="123"/>
      <c r="AM291" s="123"/>
      <c r="AN291" s="123"/>
      <c r="AO291" s="123"/>
      <c r="AP291" s="123"/>
      <c r="AQ291" s="123"/>
      <c r="AR291" s="123"/>
      <c r="AS291" s="123"/>
      <c r="AT291" s="123"/>
      <c r="AU291" s="123"/>
      <c r="AV291" s="123"/>
    </row>
    <row r="292" spans="1:49" hidden="1">
      <c r="A292" s="1"/>
      <c r="B292" s="1"/>
      <c r="C292" s="1"/>
      <c r="D292" s="1"/>
      <c r="E292" s="1"/>
      <c r="F292" s="3"/>
      <c r="G292" s="1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593"/>
      <c r="U292" s="463"/>
      <c r="V292" s="463"/>
      <c r="W292" s="463"/>
      <c r="X292" s="674"/>
      <c r="Y292" s="709"/>
      <c r="Z292" s="1"/>
      <c r="AA292" s="1"/>
      <c r="AB292" s="1"/>
      <c r="AC292" s="1" t="s">
        <v>1806</v>
      </c>
      <c r="AD292" s="1"/>
      <c r="AE292" s="1"/>
      <c r="AF292" s="1"/>
      <c r="AG292" s="1"/>
      <c r="AH292" s="1"/>
      <c r="AI292" s="1"/>
      <c r="AJ292" s="1"/>
      <c r="AK292" s="714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375"/>
    </row>
    <row r="293" spans="1:49" hidden="1">
      <c r="A293" s="1"/>
      <c r="B293" s="1"/>
      <c r="C293" s="1"/>
      <c r="D293" s="1"/>
      <c r="E293" s="1"/>
      <c r="F293" s="3"/>
      <c r="G293" s="1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593"/>
      <c r="U293" s="463"/>
      <c r="V293" s="463"/>
      <c r="W293" s="463"/>
      <c r="X293" s="674"/>
      <c r="Y293" s="70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714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9" hidden="1">
      <c r="A294" s="930" t="s">
        <v>562</v>
      </c>
      <c r="B294" s="930"/>
      <c r="C294" s="930"/>
      <c r="D294" s="930"/>
      <c r="E294" s="930"/>
      <c r="F294" s="930"/>
      <c r="G294" s="930"/>
      <c r="H294" s="930"/>
      <c r="I294" s="930"/>
      <c r="J294" s="930"/>
      <c r="K294" s="930"/>
      <c r="L294" s="930"/>
      <c r="M294" s="930"/>
      <c r="N294" s="930"/>
      <c r="O294" s="930"/>
      <c r="P294" s="930"/>
      <c r="Q294" s="930"/>
      <c r="R294" s="930"/>
      <c r="S294" s="930"/>
      <c r="T294" s="930"/>
      <c r="U294" s="930"/>
      <c r="V294" s="930"/>
      <c r="W294" s="930"/>
      <c r="X294" s="930"/>
      <c r="Y294" s="930"/>
      <c r="Z294" s="930"/>
      <c r="AA294" s="930"/>
      <c r="AB294" s="930"/>
      <c r="AC294" s="930"/>
      <c r="AD294" s="930"/>
      <c r="AE294" s="930"/>
      <c r="AF294" s="930"/>
      <c r="AG294" s="930"/>
      <c r="AH294" s="930"/>
      <c r="AI294" s="930"/>
      <c r="AJ294" s="930"/>
      <c r="AK294" s="930"/>
      <c r="AL294" s="930"/>
      <c r="AM294" s="930"/>
      <c r="AN294" s="930"/>
      <c r="AO294" s="930"/>
      <c r="AP294" s="930"/>
      <c r="AQ294" s="930"/>
      <c r="AR294" s="930"/>
      <c r="AS294" s="930"/>
      <c r="AT294" s="930"/>
      <c r="AU294" s="930"/>
      <c r="AV294" s="930"/>
    </row>
    <row r="295" spans="1:49" hidden="1">
      <c r="A295" s="1"/>
      <c r="B295" s="1"/>
      <c r="C295" s="1"/>
      <c r="D295" s="1"/>
      <c r="E295" s="500" t="s">
        <v>1536</v>
      </c>
      <c r="F295" s="3"/>
      <c r="G295" s="1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593"/>
      <c r="U295" s="463"/>
      <c r="V295" s="463"/>
      <c r="W295" s="463"/>
      <c r="X295" s="674"/>
      <c r="Y295" s="710"/>
      <c r="Z295" s="1"/>
      <c r="AA295" s="500" t="s">
        <v>1535</v>
      </c>
      <c r="AB295" s="1"/>
      <c r="AC295" s="1"/>
      <c r="AD295" s="1"/>
      <c r="AE295" s="1"/>
      <c r="AF295" s="1"/>
      <c r="AG295" s="1"/>
      <c r="AH295" s="1"/>
      <c r="AI295" s="1"/>
      <c r="AJ295" s="1"/>
      <c r="AK295" s="714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9" hidden="1">
      <c r="A296" s="1"/>
      <c r="B296" s="1"/>
      <c r="C296" s="1"/>
      <c r="D296" s="1"/>
      <c r="E296" s="500" t="s">
        <v>559</v>
      </c>
      <c r="F296" s="3"/>
      <c r="G296" s="1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593"/>
      <c r="U296" s="463"/>
      <c r="V296" s="463"/>
      <c r="W296" s="463"/>
      <c r="X296" s="674"/>
      <c r="Y296" s="710"/>
      <c r="Z296" s="1"/>
      <c r="AA296" s="500" t="s">
        <v>559</v>
      </c>
      <c r="AB296" s="1"/>
      <c r="AC296" s="1"/>
      <c r="AD296" s="1"/>
      <c r="AE296" s="1"/>
      <c r="AF296" s="1"/>
      <c r="AG296" s="1"/>
      <c r="AH296" s="1"/>
      <c r="AI296" s="1"/>
      <c r="AJ296" s="1"/>
      <c r="AK296" s="714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9" hidden="1">
      <c r="A297" s="1"/>
      <c r="B297" s="1"/>
      <c r="C297" s="1"/>
      <c r="D297" s="1"/>
      <c r="E297" s="500"/>
      <c r="F297" s="3"/>
      <c r="G297" s="1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593"/>
      <c r="U297" s="463"/>
      <c r="V297" s="463"/>
      <c r="W297" s="463"/>
      <c r="X297" s="674"/>
      <c r="Y297" s="710"/>
      <c r="Z297" s="1"/>
      <c r="AA297" s="500"/>
      <c r="AB297" s="1"/>
      <c r="AC297" s="1"/>
      <c r="AD297" s="1"/>
      <c r="AE297" s="1"/>
      <c r="AF297" s="1"/>
      <c r="AG297" s="1"/>
      <c r="AH297" s="1"/>
      <c r="AI297" s="1"/>
      <c r="AJ297" s="1"/>
      <c r="AK297" s="714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9" hidden="1">
      <c r="A298" s="1"/>
      <c r="B298" s="1"/>
      <c r="C298" s="1"/>
      <c r="D298" s="1"/>
      <c r="E298" s="500"/>
      <c r="F298" s="3"/>
      <c r="G298" s="1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593"/>
      <c r="U298" s="463"/>
      <c r="V298" s="463"/>
      <c r="W298" s="463"/>
      <c r="X298" s="674"/>
      <c r="Y298" s="710"/>
      <c r="Z298" s="1"/>
      <c r="AA298" s="500"/>
      <c r="AB298" s="1"/>
      <c r="AC298" s="1"/>
      <c r="AD298" s="1"/>
      <c r="AE298" s="1"/>
      <c r="AF298" s="1"/>
      <c r="AG298" s="1"/>
      <c r="AH298" s="1"/>
      <c r="AI298" s="1"/>
      <c r="AJ298" s="1"/>
      <c r="AK298" s="714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9" hidden="1">
      <c r="A299" s="1"/>
      <c r="B299" s="1"/>
      <c r="C299" s="1"/>
      <c r="D299" s="1"/>
      <c r="E299" s="500" t="s">
        <v>1805</v>
      </c>
      <c r="F299" s="3"/>
      <c r="G299" s="1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593"/>
      <c r="U299" s="463"/>
      <c r="V299" s="463"/>
      <c r="W299" s="463"/>
      <c r="X299" s="674"/>
      <c r="Y299" s="710"/>
      <c r="Z299" s="1"/>
      <c r="AA299" s="500" t="s">
        <v>1805</v>
      </c>
      <c r="AB299" s="1"/>
      <c r="AC299" s="1"/>
      <c r="AD299" s="1"/>
      <c r="AE299" s="1"/>
      <c r="AF299" s="1"/>
      <c r="AG299" s="1"/>
      <c r="AH299" s="1"/>
      <c r="AI299" s="1"/>
      <c r="AJ299" s="1"/>
      <c r="AK299" s="714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9" hidden="1">
      <c r="A300" s="1"/>
      <c r="B300" s="1"/>
      <c r="C300" s="1"/>
      <c r="D300" s="1"/>
      <c r="E300" s="500"/>
      <c r="F300" s="3"/>
      <c r="G300" s="1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593"/>
      <c r="U300" s="463"/>
      <c r="V300" s="463"/>
      <c r="W300" s="463"/>
      <c r="X300" s="674"/>
      <c r="Y300" s="710"/>
      <c r="Z300" s="1"/>
      <c r="AA300" s="500"/>
      <c r="AB300" s="1"/>
      <c r="AC300" s="1"/>
      <c r="AD300" s="1"/>
      <c r="AE300" s="1"/>
      <c r="AF300" s="1"/>
      <c r="AG300" s="1"/>
      <c r="AH300" s="1"/>
      <c r="AI300" s="1"/>
      <c r="AJ300" s="1"/>
      <c r="AK300" s="714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9" hidden="1">
      <c r="A301" s="1"/>
      <c r="B301" s="1"/>
      <c r="C301" s="1"/>
      <c r="D301" s="1"/>
      <c r="E301" s="500"/>
      <c r="F301" s="3"/>
      <c r="G301" s="1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593"/>
      <c r="U301" s="463"/>
      <c r="V301" s="463"/>
      <c r="W301" s="463"/>
      <c r="X301" s="674"/>
      <c r="Y301" s="710"/>
      <c r="Z301" s="1"/>
      <c r="AA301" s="500"/>
      <c r="AB301" s="1"/>
      <c r="AC301" s="1"/>
      <c r="AD301" s="1"/>
      <c r="AE301" s="1"/>
      <c r="AF301" s="1"/>
      <c r="AG301" s="1"/>
      <c r="AH301" s="1"/>
      <c r="AI301" s="1"/>
      <c r="AJ301" s="1"/>
      <c r="AK301" s="714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9" hidden="1">
      <c r="A302" s="1"/>
      <c r="B302" s="1"/>
      <c r="C302" s="1"/>
      <c r="D302" s="1"/>
      <c r="E302" s="500"/>
      <c r="F302" s="3"/>
      <c r="G302" s="1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593"/>
      <c r="U302" s="463"/>
      <c r="V302" s="463"/>
      <c r="W302" s="463"/>
      <c r="X302" s="674"/>
      <c r="Y302" s="710"/>
      <c r="Z302" s="1"/>
      <c r="AA302" s="500"/>
      <c r="AB302" s="1"/>
      <c r="AC302" s="1"/>
      <c r="AD302" s="1"/>
      <c r="AE302" s="1"/>
      <c r="AF302" s="1"/>
      <c r="AG302" s="1"/>
      <c r="AH302" s="1"/>
      <c r="AI302" s="1"/>
      <c r="AJ302" s="1"/>
      <c r="AK302" s="714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9" hidden="1">
      <c r="A303" s="1"/>
      <c r="B303" s="1"/>
      <c r="C303" s="1"/>
      <c r="D303" s="1"/>
      <c r="E303" s="434" t="s">
        <v>1534</v>
      </c>
      <c r="F303" s="3"/>
      <c r="G303" s="1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593"/>
      <c r="U303" s="463"/>
      <c r="V303" s="463"/>
      <c r="W303" s="463"/>
      <c r="X303" s="674"/>
      <c r="Y303" s="711"/>
      <c r="Z303" s="1"/>
      <c r="AA303" s="434" t="s">
        <v>1801</v>
      </c>
      <c r="AB303" s="1"/>
      <c r="AC303" s="1"/>
      <c r="AD303" s="1"/>
      <c r="AE303" s="1"/>
      <c r="AF303" s="1"/>
      <c r="AG303" s="1"/>
      <c r="AH303" s="1"/>
      <c r="AI303" s="1"/>
      <c r="AJ303" s="1"/>
      <c r="AK303" s="714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9" hidden="1">
      <c r="A304" s="1"/>
      <c r="B304" s="1"/>
      <c r="C304" s="1"/>
      <c r="D304" s="1"/>
      <c r="E304" s="500" t="s">
        <v>556</v>
      </c>
      <c r="F304" s="3"/>
      <c r="G304" s="1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593"/>
      <c r="U304" s="463"/>
      <c r="V304" s="463"/>
      <c r="W304" s="463"/>
      <c r="X304" s="674"/>
      <c r="Y304" s="710"/>
      <c r="Z304" s="1"/>
      <c r="AA304" s="493" t="s">
        <v>1802</v>
      </c>
      <c r="AB304" s="1"/>
      <c r="AC304" s="1"/>
      <c r="AD304" s="1"/>
      <c r="AE304" s="1"/>
      <c r="AF304" s="1"/>
      <c r="AG304" s="1"/>
      <c r="AH304" s="1"/>
      <c r="AI304" s="1"/>
      <c r="AJ304" s="1"/>
      <c r="AK304" s="714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hidden="1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318"/>
      <c r="Q305" s="318"/>
      <c r="R305" s="123"/>
      <c r="S305" s="123"/>
      <c r="T305" s="583"/>
      <c r="U305" s="565"/>
      <c r="V305" s="565"/>
      <c r="W305" s="609"/>
      <c r="X305" s="655"/>
      <c r="Y305" s="676"/>
      <c r="Z305" s="374"/>
      <c r="AA305" s="123"/>
      <c r="AB305" s="123"/>
      <c r="AC305" s="123"/>
      <c r="AD305" s="123"/>
      <c r="AE305" s="123"/>
      <c r="AF305" s="123"/>
      <c r="AG305" s="123"/>
      <c r="AH305" s="123"/>
      <c r="AI305" s="123"/>
      <c r="AJ305" s="123"/>
      <c r="AK305" s="720"/>
      <c r="AL305" s="123"/>
      <c r="AM305" s="123"/>
      <c r="AN305" s="123"/>
      <c r="AO305" s="123"/>
      <c r="AP305" s="123"/>
      <c r="AQ305" s="123"/>
      <c r="AR305" s="123"/>
      <c r="AS305" s="123"/>
      <c r="AT305" s="123"/>
      <c r="AU305" s="123"/>
      <c r="AV305" s="123"/>
    </row>
    <row r="306" spans="1:48" hidden="1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318"/>
      <c r="Q306" s="318"/>
      <c r="R306" s="123"/>
      <c r="S306" s="123"/>
      <c r="T306" s="583"/>
      <c r="U306" s="565"/>
      <c r="V306" s="565"/>
      <c r="W306" s="609"/>
      <c r="X306" s="655"/>
      <c r="Y306" s="676"/>
      <c r="Z306" s="374"/>
      <c r="AA306" s="123"/>
      <c r="AB306" s="123"/>
      <c r="AC306" s="123"/>
      <c r="AD306" s="123"/>
      <c r="AE306" s="123"/>
      <c r="AF306" s="123"/>
      <c r="AG306" s="123"/>
      <c r="AH306" s="123"/>
      <c r="AI306" s="123"/>
      <c r="AJ306" s="123"/>
      <c r="AK306" s="720"/>
      <c r="AL306" s="123"/>
      <c r="AM306" s="123"/>
      <c r="AN306" s="123"/>
      <c r="AO306" s="123"/>
      <c r="AP306" s="123"/>
      <c r="AQ306" s="123"/>
      <c r="AR306" s="123"/>
      <c r="AS306" s="123"/>
      <c r="AT306" s="123"/>
      <c r="AU306" s="123"/>
      <c r="AV306" s="123"/>
    </row>
    <row r="307" spans="1:48" hidden="1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318"/>
      <c r="Q307" s="318"/>
      <c r="R307" s="123"/>
      <c r="S307" s="123"/>
      <c r="T307" s="583"/>
      <c r="U307" s="565"/>
      <c r="V307" s="565"/>
      <c r="W307" s="609"/>
      <c r="X307" s="655"/>
      <c r="Y307" s="676"/>
      <c r="Z307" s="374"/>
      <c r="AA307" s="123"/>
      <c r="AB307" s="123"/>
      <c r="AC307" s="123"/>
      <c r="AD307" s="123"/>
      <c r="AE307" s="123"/>
      <c r="AF307" s="123"/>
      <c r="AG307" s="123"/>
      <c r="AH307" s="123"/>
      <c r="AI307" s="123"/>
      <c r="AJ307" s="123"/>
      <c r="AK307" s="720"/>
      <c r="AL307" s="123"/>
      <c r="AM307" s="123"/>
      <c r="AN307" s="123"/>
      <c r="AO307" s="123"/>
      <c r="AP307" s="123"/>
      <c r="AQ307" s="123"/>
      <c r="AR307" s="123"/>
      <c r="AS307" s="123"/>
      <c r="AT307" s="123"/>
      <c r="AU307" s="123"/>
      <c r="AV307" s="123"/>
    </row>
    <row r="308" spans="1:48" hidden="1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318"/>
      <c r="Q308" s="318"/>
      <c r="R308" s="123"/>
      <c r="S308" s="123"/>
      <c r="T308" s="583"/>
      <c r="U308" s="565"/>
      <c r="V308" s="565"/>
      <c r="W308" s="609"/>
      <c r="X308" s="655"/>
      <c r="Y308" s="676"/>
      <c r="Z308" s="374"/>
      <c r="AA308" s="123"/>
      <c r="AB308" s="123"/>
      <c r="AC308" s="123"/>
      <c r="AD308" s="123"/>
      <c r="AE308" s="123"/>
      <c r="AF308" s="123"/>
      <c r="AG308" s="123"/>
      <c r="AH308" s="123"/>
      <c r="AI308" s="123"/>
      <c r="AJ308" s="123"/>
      <c r="AK308" s="720"/>
      <c r="AL308" s="123"/>
      <c r="AM308" s="123"/>
      <c r="AN308" s="123"/>
      <c r="AO308" s="123"/>
      <c r="AP308" s="123"/>
      <c r="AQ308" s="123"/>
      <c r="AR308" s="123"/>
      <c r="AS308" s="123"/>
      <c r="AT308" s="123"/>
      <c r="AU308" s="123"/>
      <c r="AV308" s="123"/>
    </row>
    <row r="309" spans="1:48" hidden="1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318"/>
      <c r="Q309" s="318"/>
      <c r="R309" s="123"/>
      <c r="S309" s="123"/>
      <c r="T309" s="583"/>
      <c r="U309" s="565"/>
      <c r="V309" s="565"/>
      <c r="W309" s="609"/>
      <c r="X309" s="655"/>
      <c r="Y309" s="676"/>
      <c r="Z309" s="374"/>
      <c r="AA309" s="123"/>
      <c r="AB309" s="123"/>
      <c r="AC309" s="123"/>
      <c r="AD309" s="123"/>
      <c r="AE309" s="123"/>
      <c r="AF309" s="123"/>
      <c r="AG309" s="123"/>
      <c r="AH309" s="123"/>
      <c r="AI309" s="123"/>
      <c r="AJ309" s="123"/>
      <c r="AK309" s="720"/>
      <c r="AL309" s="123"/>
      <c r="AM309" s="123"/>
      <c r="AN309" s="123"/>
      <c r="AO309" s="123"/>
      <c r="AP309" s="123"/>
      <c r="AQ309" s="123"/>
      <c r="AR309" s="123"/>
      <c r="AS309" s="123"/>
      <c r="AT309" s="123"/>
      <c r="AU309" s="123"/>
      <c r="AV309" s="123"/>
    </row>
    <row r="310" spans="1:48" hidden="1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318"/>
      <c r="Q310" s="318"/>
      <c r="R310" s="123"/>
      <c r="S310" s="123"/>
      <c r="T310" s="583"/>
      <c r="U310" s="565"/>
      <c r="V310" s="565"/>
      <c r="W310" s="609"/>
      <c r="X310" s="655"/>
      <c r="Y310" s="676"/>
      <c r="Z310" s="374"/>
      <c r="AA310" s="123"/>
      <c r="AB310" s="123"/>
      <c r="AC310" s="123"/>
      <c r="AD310" s="123"/>
      <c r="AE310" s="123"/>
      <c r="AF310" s="123"/>
      <c r="AG310" s="123"/>
      <c r="AH310" s="123"/>
      <c r="AI310" s="123"/>
      <c r="AJ310" s="123"/>
      <c r="AK310" s="720"/>
      <c r="AL310" s="123"/>
      <c r="AM310" s="123"/>
      <c r="AN310" s="123"/>
      <c r="AO310" s="123"/>
      <c r="AP310" s="123"/>
      <c r="AQ310" s="123"/>
      <c r="AR310" s="123"/>
      <c r="AS310" s="123"/>
      <c r="AT310" s="123"/>
      <c r="AU310" s="123"/>
      <c r="AV310" s="123"/>
    </row>
    <row r="311" spans="1:48" hidden="1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318"/>
      <c r="Q311" s="318"/>
      <c r="R311" s="123"/>
      <c r="S311" s="123"/>
      <c r="T311" s="583"/>
      <c r="U311" s="565"/>
      <c r="V311" s="565"/>
      <c r="W311" s="609"/>
      <c r="X311" s="655"/>
      <c r="Y311" s="676"/>
      <c r="Z311" s="374"/>
      <c r="AA311" s="123"/>
      <c r="AB311" s="123"/>
      <c r="AC311" s="123"/>
      <c r="AD311" s="123"/>
      <c r="AE311" s="123"/>
      <c r="AF311" s="123"/>
      <c r="AG311" s="123"/>
      <c r="AH311" s="123"/>
      <c r="AI311" s="123"/>
      <c r="AJ311" s="123"/>
      <c r="AK311" s="720"/>
      <c r="AL311" s="123"/>
      <c r="AM311" s="123"/>
      <c r="AN311" s="123"/>
      <c r="AO311" s="123"/>
      <c r="AP311" s="123"/>
      <c r="AQ311" s="123"/>
      <c r="AR311" s="123"/>
      <c r="AS311" s="123"/>
      <c r="AT311" s="123"/>
      <c r="AU311" s="123"/>
      <c r="AV311" s="123"/>
    </row>
    <row r="312" spans="1:48" hidden="1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318"/>
      <c r="Q312" s="318"/>
      <c r="R312" s="123"/>
      <c r="S312" s="123"/>
      <c r="T312" s="583"/>
      <c r="U312" s="565"/>
      <c r="V312" s="565"/>
      <c r="W312" s="609"/>
      <c r="X312" s="655"/>
      <c r="Y312" s="676"/>
      <c r="Z312" s="374"/>
      <c r="AA312" s="123"/>
      <c r="AB312" s="123"/>
      <c r="AC312" s="123"/>
      <c r="AD312" s="123"/>
      <c r="AE312" s="123"/>
      <c r="AF312" s="123"/>
      <c r="AG312" s="123"/>
      <c r="AH312" s="123"/>
      <c r="AI312" s="123"/>
      <c r="AJ312" s="123"/>
      <c r="AK312" s="720"/>
      <c r="AL312" s="123"/>
      <c r="AM312" s="123"/>
      <c r="AN312" s="123"/>
      <c r="AO312" s="123"/>
      <c r="AP312" s="123"/>
      <c r="AQ312" s="123"/>
      <c r="AR312" s="123"/>
      <c r="AS312" s="123"/>
      <c r="AT312" s="123"/>
      <c r="AU312" s="123"/>
      <c r="AV312" s="123"/>
    </row>
    <row r="313" spans="1:48" hidden="1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318"/>
      <c r="Q313" s="318"/>
      <c r="R313" s="123"/>
      <c r="S313" s="123"/>
      <c r="T313" s="583"/>
      <c r="U313" s="565"/>
      <c r="V313" s="565"/>
      <c r="W313" s="609"/>
      <c r="X313" s="655"/>
      <c r="Y313" s="676"/>
      <c r="Z313" s="374"/>
      <c r="AA313" s="123"/>
      <c r="AB313" s="123"/>
      <c r="AC313" s="123"/>
      <c r="AD313" s="123"/>
      <c r="AE313" s="123"/>
      <c r="AF313" s="123"/>
      <c r="AG313" s="123"/>
      <c r="AH313" s="123"/>
      <c r="AI313" s="123"/>
      <c r="AJ313" s="123"/>
      <c r="AK313" s="720"/>
      <c r="AL313" s="123"/>
      <c r="AM313" s="123"/>
      <c r="AN313" s="123"/>
      <c r="AO313" s="123"/>
      <c r="AP313" s="123"/>
      <c r="AQ313" s="123"/>
      <c r="AR313" s="123"/>
      <c r="AS313" s="123"/>
      <c r="AT313" s="123"/>
      <c r="AU313" s="123"/>
      <c r="AV313" s="123"/>
    </row>
    <row r="314" spans="1:48" hidden="1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318"/>
      <c r="Q314" s="318"/>
      <c r="R314" s="123"/>
      <c r="S314" s="123"/>
      <c r="T314" s="583"/>
      <c r="U314" s="565"/>
      <c r="V314" s="565"/>
      <c r="W314" s="609"/>
      <c r="X314" s="655"/>
      <c r="Y314" s="676"/>
      <c r="Z314" s="374"/>
      <c r="AA314" s="123"/>
      <c r="AB314" s="123"/>
      <c r="AC314" s="123"/>
      <c r="AD314" s="123"/>
      <c r="AE314" s="123"/>
      <c r="AF314" s="123"/>
      <c r="AG314" s="123"/>
      <c r="AH314" s="123"/>
      <c r="AI314" s="123"/>
      <c r="AJ314" s="123"/>
      <c r="AK314" s="720"/>
      <c r="AL314" s="123"/>
      <c r="AM314" s="123"/>
      <c r="AN314" s="123"/>
      <c r="AO314" s="123"/>
      <c r="AP314" s="123"/>
      <c r="AQ314" s="123"/>
      <c r="AR314" s="123"/>
      <c r="AS314" s="123"/>
      <c r="AT314" s="123"/>
      <c r="AU314" s="123"/>
      <c r="AV314" s="123"/>
    </row>
  </sheetData>
  <autoFilter ref="V1:V314">
    <filterColumn colId="0">
      <filters>
        <filter val="Wijaya Kusumah"/>
      </filters>
    </filterColumn>
  </autoFilter>
  <mergeCells count="231">
    <mergeCell ref="AF11:AT11"/>
    <mergeCell ref="AU11:AU14"/>
    <mergeCell ref="AF12:AN12"/>
    <mergeCell ref="AO12:AS12"/>
    <mergeCell ref="AF13:AG13"/>
    <mergeCell ref="AH13:AJ13"/>
    <mergeCell ref="AK13:AM13"/>
    <mergeCell ref="AN13:AN14"/>
    <mergeCell ref="AO13:AP13"/>
    <mergeCell ref="AQ13:AR13"/>
    <mergeCell ref="N271:O271"/>
    <mergeCell ref="N274:O274"/>
    <mergeCell ref="N277:O277"/>
    <mergeCell ref="N217:O217"/>
    <mergeCell ref="N287:O287"/>
    <mergeCell ref="A294:AV294"/>
    <mergeCell ref="F284:F290"/>
    <mergeCell ref="I284:I290"/>
    <mergeCell ref="J284:J290"/>
    <mergeCell ref="K284:K290"/>
    <mergeCell ref="M284:M290"/>
    <mergeCell ref="N280:O280"/>
    <mergeCell ref="N284:O284"/>
    <mergeCell ref="F243:F248"/>
    <mergeCell ref="I243:I248"/>
    <mergeCell ref="J243:J248"/>
    <mergeCell ref="K243:K248"/>
    <mergeCell ref="M243:M248"/>
    <mergeCell ref="F249:F283"/>
    <mergeCell ref="I249:I283"/>
    <mergeCell ref="J249:J283"/>
    <mergeCell ref="K249:K283"/>
    <mergeCell ref="M249:M283"/>
    <mergeCell ref="AV224:AV235"/>
    <mergeCell ref="F236:F242"/>
    <mergeCell ref="I236:I242"/>
    <mergeCell ref="J236:J242"/>
    <mergeCell ref="K236:K242"/>
    <mergeCell ref="L236:L242"/>
    <mergeCell ref="M236:M242"/>
    <mergeCell ref="AE217:AE223"/>
    <mergeCell ref="AV217:AV223"/>
    <mergeCell ref="K224:K235"/>
    <mergeCell ref="L224:L235"/>
    <mergeCell ref="M224:M235"/>
    <mergeCell ref="AD224:AD235"/>
    <mergeCell ref="AE224:AE235"/>
    <mergeCell ref="F217:F223"/>
    <mergeCell ref="I217:I223"/>
    <mergeCell ref="J217:J223"/>
    <mergeCell ref="K217:K223"/>
    <mergeCell ref="L217:L223"/>
    <mergeCell ref="M217:M223"/>
    <mergeCell ref="F224:F235"/>
    <mergeCell ref="I224:I235"/>
    <mergeCell ref="J224:J235"/>
    <mergeCell ref="AD217:AD223"/>
    <mergeCell ref="AE212:AE216"/>
    <mergeCell ref="AV212:AV216"/>
    <mergeCell ref="M206:M211"/>
    <mergeCell ref="F212:F216"/>
    <mergeCell ref="I212:I216"/>
    <mergeCell ref="J212:J216"/>
    <mergeCell ref="K212:K216"/>
    <mergeCell ref="L212:L216"/>
    <mergeCell ref="M212:M216"/>
    <mergeCell ref="AD212:AD216"/>
    <mergeCell ref="AD206:AD211"/>
    <mergeCell ref="AE206:AE211"/>
    <mergeCell ref="AV206:AV211"/>
    <mergeCell ref="F206:F211"/>
    <mergeCell ref="I206:I211"/>
    <mergeCell ref="J206:J211"/>
    <mergeCell ref="K206:K211"/>
    <mergeCell ref="L206:L211"/>
    <mergeCell ref="AE200:AE205"/>
    <mergeCell ref="AV200:AV205"/>
    <mergeCell ref="M200:M205"/>
    <mergeCell ref="M192:M199"/>
    <mergeCell ref="F185:F191"/>
    <mergeCell ref="I185:I191"/>
    <mergeCell ref="K185:K191"/>
    <mergeCell ref="M185:M191"/>
    <mergeCell ref="AV192:AV199"/>
    <mergeCell ref="AV185:AV191"/>
    <mergeCell ref="F200:F205"/>
    <mergeCell ref="I200:I205"/>
    <mergeCell ref="J200:J205"/>
    <mergeCell ref="K200:K205"/>
    <mergeCell ref="L200:L205"/>
    <mergeCell ref="AE192:AE199"/>
    <mergeCell ref="F192:F199"/>
    <mergeCell ref="I192:I199"/>
    <mergeCell ref="J192:J199"/>
    <mergeCell ref="K192:K199"/>
    <mergeCell ref="L192:L199"/>
    <mergeCell ref="AD192:AD199"/>
    <mergeCell ref="AD200:AD205"/>
    <mergeCell ref="N200:O200"/>
    <mergeCell ref="F156:F160"/>
    <mergeCell ref="I156:I160"/>
    <mergeCell ref="K156:K160"/>
    <mergeCell ref="L156:L160"/>
    <mergeCell ref="M156:M160"/>
    <mergeCell ref="AD156:AD160"/>
    <mergeCell ref="AV175:AV184"/>
    <mergeCell ref="F166:F174"/>
    <mergeCell ref="I166:I174"/>
    <mergeCell ref="K166:K174"/>
    <mergeCell ref="L166:L174"/>
    <mergeCell ref="M166:M174"/>
    <mergeCell ref="AD166:AD174"/>
    <mergeCell ref="AE166:AE174"/>
    <mergeCell ref="AV166:AV174"/>
    <mergeCell ref="F175:F184"/>
    <mergeCell ref="I175:I184"/>
    <mergeCell ref="K175:K184"/>
    <mergeCell ref="L175:L184"/>
    <mergeCell ref="M175:M184"/>
    <mergeCell ref="AD175:AD184"/>
    <mergeCell ref="AE175:AE184"/>
    <mergeCell ref="N175:O175"/>
    <mergeCell ref="AD115:AD124"/>
    <mergeCell ref="AE156:AE160"/>
    <mergeCell ref="AV156:AV160"/>
    <mergeCell ref="N156:O156"/>
    <mergeCell ref="AD72:AD114"/>
    <mergeCell ref="AE72:AE114"/>
    <mergeCell ref="AV72:AV114"/>
    <mergeCell ref="AE115:AE124"/>
    <mergeCell ref="AV115:AV124"/>
    <mergeCell ref="F72:F114"/>
    <mergeCell ref="I72:I114"/>
    <mergeCell ref="J72:J114"/>
    <mergeCell ref="K72:K114"/>
    <mergeCell ref="L72:L114"/>
    <mergeCell ref="M72:M114"/>
    <mergeCell ref="F115:F124"/>
    <mergeCell ref="I115:I124"/>
    <mergeCell ref="K115:K124"/>
    <mergeCell ref="L115:L124"/>
    <mergeCell ref="M115:M124"/>
    <mergeCell ref="F37:F55"/>
    <mergeCell ref="I37:I55"/>
    <mergeCell ref="J37:J55"/>
    <mergeCell ref="K37:K55"/>
    <mergeCell ref="L37:L55"/>
    <mergeCell ref="M37:M55"/>
    <mergeCell ref="AD56:AD71"/>
    <mergeCell ref="AE56:AE71"/>
    <mergeCell ref="AV56:AV71"/>
    <mergeCell ref="N56:O56"/>
    <mergeCell ref="N62:O62"/>
    <mergeCell ref="N66:O66"/>
    <mergeCell ref="AD37:AD55"/>
    <mergeCell ref="AE37:AE55"/>
    <mergeCell ref="AV37:AV55"/>
    <mergeCell ref="F56:F71"/>
    <mergeCell ref="I56:I71"/>
    <mergeCell ref="J56:J71"/>
    <mergeCell ref="K56:K71"/>
    <mergeCell ref="L56:L71"/>
    <mergeCell ref="M56:M71"/>
    <mergeCell ref="AV27:AV36"/>
    <mergeCell ref="AV20:AV24"/>
    <mergeCell ref="N37:O37"/>
    <mergeCell ref="N43:O43"/>
    <mergeCell ref="AD15:AD19"/>
    <mergeCell ref="AE15:AE19"/>
    <mergeCell ref="AV15:AV19"/>
    <mergeCell ref="T17:T19"/>
    <mergeCell ref="AD20:AD24"/>
    <mergeCell ref="AE20:AE24"/>
    <mergeCell ref="F20:F24"/>
    <mergeCell ref="I20:I24"/>
    <mergeCell ref="J20:J24"/>
    <mergeCell ref="K20:K24"/>
    <mergeCell ref="L20:L24"/>
    <mergeCell ref="M20:M24"/>
    <mergeCell ref="M27:M36"/>
    <mergeCell ref="AD27:AD36"/>
    <mergeCell ref="AE27:AE36"/>
    <mergeCell ref="N20:O20"/>
    <mergeCell ref="N22:O22"/>
    <mergeCell ref="F27:F36"/>
    <mergeCell ref="I27:I36"/>
    <mergeCell ref="J27:J36"/>
    <mergeCell ref="K27:K36"/>
    <mergeCell ref="L27:L36"/>
    <mergeCell ref="U12:Y12"/>
    <mergeCell ref="Z12:Z13"/>
    <mergeCell ref="AA12:AB13"/>
    <mergeCell ref="N14:O14"/>
    <mergeCell ref="R14:S14"/>
    <mergeCell ref="AA14:AB14"/>
    <mergeCell ref="AC12:AC13"/>
    <mergeCell ref="A15:A19"/>
    <mergeCell ref="F15:F19"/>
    <mergeCell ref="J15:J19"/>
    <mergeCell ref="K15:K19"/>
    <mergeCell ref="L15:L19"/>
    <mergeCell ref="M15:M19"/>
    <mergeCell ref="J12:J13"/>
    <mergeCell ref="K12:K13"/>
    <mergeCell ref="L12:L13"/>
    <mergeCell ref="M12:M13"/>
    <mergeCell ref="I12:I13"/>
    <mergeCell ref="A6:AV6"/>
    <mergeCell ref="A7:AV7"/>
    <mergeCell ref="A8:AV8"/>
    <mergeCell ref="A9:AV9"/>
    <mergeCell ref="A11:A13"/>
    <mergeCell ref="B11:E11"/>
    <mergeCell ref="F11:K11"/>
    <mergeCell ref="L11:M11"/>
    <mergeCell ref="N11:Q11"/>
    <mergeCell ref="R11:T11"/>
    <mergeCell ref="N12:O13"/>
    <mergeCell ref="P12:P13"/>
    <mergeCell ref="Q12:Q13"/>
    <mergeCell ref="R12:S13"/>
    <mergeCell ref="T12:T13"/>
    <mergeCell ref="U11:Z11"/>
    <mergeCell ref="AA11:AC11"/>
    <mergeCell ref="AD11:AD13"/>
    <mergeCell ref="AE11:AE13"/>
    <mergeCell ref="AV11:AV13"/>
    <mergeCell ref="B12:C13"/>
    <mergeCell ref="D12:E13"/>
    <mergeCell ref="F12:F13"/>
    <mergeCell ref="G12:H13"/>
  </mergeCells>
  <printOptions horizontalCentered="1"/>
  <pageMargins left="0.19685039370078741" right="0.19685039370078741" top="0.74803149606299213" bottom="0.19685039370078741" header="0.19685039370078741" footer="0.19685039370078741"/>
  <pageSetup paperSize="8" scale="40" fitToHeight="0" orientation="landscape" horizontalDpi="4294967293" verticalDpi="4294967293" r:id="rId1"/>
  <headerFooter>
    <oddHeader>&amp;RPage &amp;P of &amp;N</oddHeader>
  </headerFooter>
  <rowBreaks count="4" manualBreakCount="4">
    <brk id="55" max="16383" man="1"/>
    <brk id="114" max="16383" man="1"/>
    <brk id="184" max="16383" man="1"/>
    <brk id="24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AV204"/>
  <sheetViews>
    <sheetView view="pageBreakPreview" topLeftCell="I1" zoomScale="60" zoomScaleNormal="85" workbookViewId="0">
      <selection activeCell="V10" sqref="V1:V1048576"/>
    </sheetView>
  </sheetViews>
  <sheetFormatPr defaultColWidth="9.109375" defaultRowHeight="14.4"/>
  <cols>
    <col min="1" max="1" width="6.6640625" style="123" customWidth="1"/>
    <col min="2" max="2" width="4.109375" style="123" customWidth="1"/>
    <col min="3" max="3" width="32" style="123" customWidth="1"/>
    <col min="4" max="4" width="3.44140625" style="123" hidden="1" customWidth="1"/>
    <col min="5" max="5" width="26.6640625" style="123" hidden="1" customWidth="1"/>
    <col min="6" max="6" width="7.6640625" style="123" customWidth="1"/>
    <col min="7" max="7" width="3.88671875" style="123" hidden="1" customWidth="1"/>
    <col min="8" max="8" width="18.88671875" style="123" hidden="1" customWidth="1"/>
    <col min="9" max="9" width="13.88671875" style="123" customWidth="1"/>
    <col min="10" max="10" width="11" style="123" customWidth="1"/>
    <col min="11" max="11" width="18" style="123" customWidth="1"/>
    <col min="12" max="12" width="11.5546875" style="123" hidden="1" customWidth="1"/>
    <col min="13" max="13" width="7.6640625" style="123" hidden="1" customWidth="1"/>
    <col min="14" max="14" width="3.88671875" style="123" customWidth="1"/>
    <col min="15" max="15" width="18.109375" style="124" customWidth="1"/>
    <col min="16" max="16" width="7.5546875" style="123" customWidth="1"/>
    <col min="17" max="17" width="9.44140625" style="123" customWidth="1"/>
    <col min="18" max="18" width="3.6640625" style="123" customWidth="1"/>
    <col min="19" max="19" width="12.44140625" style="123" customWidth="1"/>
    <col min="20" max="20" width="7.6640625" style="123" customWidth="1"/>
    <col min="21" max="21" width="6.109375" style="123" customWidth="1"/>
    <col min="22" max="22" width="23" style="123" customWidth="1"/>
    <col min="23" max="23" width="7.6640625" style="123" customWidth="1"/>
    <col min="24" max="24" width="10.6640625" style="123" customWidth="1"/>
    <col min="25" max="25" width="10.33203125" style="123" customWidth="1"/>
    <col min="26" max="26" width="10.33203125" style="123" hidden="1" customWidth="1"/>
    <col min="27" max="27" width="3.44140625" style="123" hidden="1" customWidth="1"/>
    <col min="28" max="28" width="15.44140625" style="123" hidden="1" customWidth="1"/>
    <col min="29" max="29" width="7.5546875" style="123" hidden="1" customWidth="1"/>
    <col min="30" max="30" width="16.88671875" style="123" hidden="1" customWidth="1"/>
    <col min="31" max="31" width="16.109375" style="123" hidden="1" customWidth="1"/>
    <col min="32" max="47" width="16.109375" style="123" customWidth="1"/>
    <col min="48" max="48" width="16.5546875" style="123" hidden="1" customWidth="1"/>
    <col min="49" max="52" width="9.109375" style="123"/>
    <col min="53" max="53" width="12.5546875" style="123" bestFit="1" customWidth="1"/>
    <col min="54" max="16384" width="9.109375" style="123"/>
  </cols>
  <sheetData>
    <row r="1" spans="1:48" ht="15" customHeight="1">
      <c r="A1" s="123" t="s">
        <v>554</v>
      </c>
    </row>
    <row r="2" spans="1:48" ht="15" customHeight="1">
      <c r="A2" s="123" t="s">
        <v>553</v>
      </c>
    </row>
    <row r="3" spans="1:48" ht="15" customHeight="1">
      <c r="A3" s="123" t="s">
        <v>552</v>
      </c>
    </row>
    <row r="4" spans="1:48" ht="15" customHeight="1">
      <c r="A4" s="123" t="s">
        <v>551</v>
      </c>
    </row>
    <row r="5" spans="1:48" ht="15" customHeight="1">
      <c r="A5" s="123" t="s">
        <v>550</v>
      </c>
    </row>
    <row r="6" spans="1:48" ht="22.5" customHeight="1">
      <c r="A6" s="956" t="s">
        <v>549</v>
      </c>
      <c r="B6" s="956"/>
      <c r="C6" s="956"/>
      <c r="D6" s="956"/>
      <c r="E6" s="956"/>
      <c r="F6" s="956"/>
      <c r="G6" s="956"/>
      <c r="H6" s="956"/>
      <c r="I6" s="956"/>
      <c r="J6" s="956"/>
      <c r="K6" s="956"/>
      <c r="L6" s="956"/>
      <c r="M6" s="956"/>
      <c r="N6" s="956"/>
      <c r="O6" s="956"/>
      <c r="P6" s="956"/>
      <c r="Q6" s="956"/>
      <c r="R6" s="956"/>
      <c r="S6" s="956"/>
      <c r="T6" s="956"/>
      <c r="U6" s="956"/>
      <c r="V6" s="956"/>
      <c r="W6" s="956"/>
      <c r="X6" s="956"/>
      <c r="Y6" s="956"/>
      <c r="Z6" s="956"/>
      <c r="AA6" s="956"/>
      <c r="AB6" s="956"/>
      <c r="AC6" s="956"/>
      <c r="AD6" s="956"/>
      <c r="AE6" s="956"/>
      <c r="AF6" s="956"/>
      <c r="AG6" s="956"/>
      <c r="AH6" s="956"/>
      <c r="AI6" s="956"/>
      <c r="AJ6" s="956"/>
      <c r="AK6" s="956"/>
      <c r="AL6" s="956"/>
      <c r="AM6" s="956"/>
      <c r="AN6" s="956"/>
      <c r="AO6" s="956"/>
      <c r="AP6" s="956"/>
      <c r="AQ6" s="956"/>
      <c r="AR6" s="956"/>
      <c r="AS6" s="956"/>
      <c r="AT6" s="956"/>
      <c r="AU6" s="956"/>
      <c r="AV6" s="956"/>
    </row>
    <row r="7" spans="1:48" ht="23.4">
      <c r="A7" s="956" t="s">
        <v>722</v>
      </c>
      <c r="B7" s="956"/>
      <c r="C7" s="956"/>
      <c r="D7" s="956"/>
      <c r="E7" s="956"/>
      <c r="F7" s="956"/>
      <c r="G7" s="956"/>
      <c r="H7" s="956"/>
      <c r="I7" s="956"/>
      <c r="J7" s="956"/>
      <c r="K7" s="956"/>
      <c r="L7" s="956"/>
      <c r="M7" s="956"/>
      <c r="N7" s="956"/>
      <c r="O7" s="956"/>
      <c r="P7" s="956"/>
      <c r="Q7" s="956"/>
      <c r="R7" s="956"/>
      <c r="S7" s="956"/>
      <c r="T7" s="956"/>
      <c r="U7" s="956"/>
      <c r="V7" s="956"/>
      <c r="W7" s="956"/>
      <c r="X7" s="956"/>
      <c r="Y7" s="956"/>
      <c r="Z7" s="956"/>
      <c r="AA7" s="956"/>
      <c r="AB7" s="956"/>
      <c r="AC7" s="956"/>
      <c r="AD7" s="956"/>
      <c r="AE7" s="956"/>
      <c r="AF7" s="956"/>
      <c r="AG7" s="956"/>
      <c r="AH7" s="956"/>
      <c r="AI7" s="956"/>
      <c r="AJ7" s="956"/>
      <c r="AK7" s="956"/>
      <c r="AL7" s="956"/>
      <c r="AM7" s="956"/>
      <c r="AN7" s="956"/>
      <c r="AO7" s="956"/>
      <c r="AP7" s="956"/>
      <c r="AQ7" s="956"/>
      <c r="AR7" s="956"/>
      <c r="AS7" s="956"/>
      <c r="AT7" s="956"/>
      <c r="AU7" s="956"/>
      <c r="AV7" s="956"/>
    </row>
    <row r="8" spans="1:48" ht="17.399999999999999">
      <c r="A8" s="915" t="s">
        <v>1808</v>
      </c>
      <c r="B8" s="915"/>
      <c r="C8" s="915"/>
      <c r="D8" s="915"/>
      <c r="E8" s="915"/>
      <c r="F8" s="915"/>
      <c r="G8" s="915"/>
      <c r="H8" s="915"/>
      <c r="I8" s="915"/>
      <c r="J8" s="915"/>
      <c r="K8" s="915"/>
      <c r="L8" s="915"/>
      <c r="M8" s="915"/>
      <c r="N8" s="915"/>
      <c r="O8" s="915"/>
      <c r="P8" s="915"/>
      <c r="Q8" s="915"/>
      <c r="R8" s="915"/>
      <c r="S8" s="915"/>
      <c r="T8" s="915"/>
      <c r="U8" s="915"/>
      <c r="V8" s="915"/>
      <c r="W8" s="915"/>
      <c r="X8" s="915"/>
      <c r="Y8" s="915"/>
      <c r="Z8" s="915"/>
      <c r="AA8" s="915"/>
      <c r="AB8" s="915"/>
      <c r="AC8" s="915"/>
      <c r="AD8" s="915"/>
      <c r="AE8" s="915"/>
      <c r="AF8" s="915"/>
      <c r="AG8" s="915"/>
      <c r="AH8" s="915"/>
      <c r="AI8" s="915"/>
      <c r="AJ8" s="915"/>
      <c r="AK8" s="915"/>
      <c r="AL8" s="915"/>
      <c r="AM8" s="915"/>
      <c r="AN8" s="915"/>
      <c r="AO8" s="915"/>
      <c r="AP8" s="915"/>
      <c r="AQ8" s="915"/>
      <c r="AR8" s="915"/>
      <c r="AS8" s="915"/>
      <c r="AT8" s="915"/>
      <c r="AU8" s="915"/>
      <c r="AV8" s="915"/>
    </row>
    <row r="9" spans="1:48" ht="17.399999999999999">
      <c r="A9" s="915" t="s">
        <v>1807</v>
      </c>
      <c r="B9" s="915"/>
      <c r="C9" s="915"/>
      <c r="D9" s="915"/>
      <c r="E9" s="915"/>
      <c r="F9" s="915"/>
      <c r="G9" s="915"/>
      <c r="H9" s="915"/>
      <c r="I9" s="915"/>
      <c r="J9" s="915"/>
      <c r="K9" s="915"/>
      <c r="L9" s="915"/>
      <c r="M9" s="915"/>
      <c r="N9" s="915"/>
      <c r="O9" s="915"/>
      <c r="P9" s="915"/>
      <c r="Q9" s="915"/>
      <c r="R9" s="915"/>
      <c r="S9" s="915"/>
      <c r="T9" s="915"/>
      <c r="U9" s="915"/>
      <c r="V9" s="915"/>
      <c r="W9" s="915"/>
      <c r="X9" s="915"/>
      <c r="Y9" s="915"/>
      <c r="Z9" s="915"/>
      <c r="AA9" s="915"/>
      <c r="AB9" s="915"/>
      <c r="AC9" s="915"/>
      <c r="AD9" s="915"/>
      <c r="AE9" s="915"/>
      <c r="AF9" s="915"/>
      <c r="AG9" s="915"/>
      <c r="AH9" s="915"/>
      <c r="AI9" s="915"/>
      <c r="AJ9" s="915"/>
      <c r="AK9" s="915"/>
      <c r="AL9" s="915"/>
      <c r="AM9" s="915"/>
      <c r="AN9" s="915"/>
      <c r="AO9" s="915"/>
      <c r="AP9" s="915"/>
      <c r="AQ9" s="915"/>
      <c r="AR9" s="915"/>
      <c r="AS9" s="915"/>
      <c r="AT9" s="915"/>
      <c r="AU9" s="915"/>
      <c r="AV9" s="915"/>
    </row>
    <row r="10" spans="1:48" ht="20.25" customHeight="1"/>
    <row r="11" spans="1:48" s="324" customFormat="1" ht="26.25" customHeight="1">
      <c r="A11" s="957" t="s">
        <v>547</v>
      </c>
      <c r="B11" s="957" t="s">
        <v>546</v>
      </c>
      <c r="C11" s="957"/>
      <c r="D11" s="957"/>
      <c r="E11" s="957"/>
      <c r="F11" s="957" t="s">
        <v>545</v>
      </c>
      <c r="G11" s="957"/>
      <c r="H11" s="957"/>
      <c r="I11" s="957"/>
      <c r="J11" s="957"/>
      <c r="K11" s="957"/>
      <c r="L11" s="957" t="s">
        <v>544</v>
      </c>
      <c r="M11" s="957"/>
      <c r="N11" s="957" t="s">
        <v>543</v>
      </c>
      <c r="O11" s="957"/>
      <c r="P11" s="957"/>
      <c r="Q11" s="957"/>
      <c r="R11" s="957" t="s">
        <v>542</v>
      </c>
      <c r="S11" s="957"/>
      <c r="T11" s="957"/>
      <c r="U11" s="957" t="s">
        <v>541</v>
      </c>
      <c r="V11" s="957"/>
      <c r="W11" s="957"/>
      <c r="X11" s="957"/>
      <c r="Y11" s="957"/>
      <c r="Z11" s="957"/>
      <c r="AA11" s="957" t="s">
        <v>540</v>
      </c>
      <c r="AB11" s="957"/>
      <c r="AC11" s="957"/>
      <c r="AD11" s="957" t="s">
        <v>539</v>
      </c>
      <c r="AE11" s="957" t="s">
        <v>538</v>
      </c>
      <c r="AF11" s="908" t="s">
        <v>1813</v>
      </c>
      <c r="AG11" s="913"/>
      <c r="AH11" s="913"/>
      <c r="AI11" s="913"/>
      <c r="AJ11" s="913"/>
      <c r="AK11" s="913"/>
      <c r="AL11" s="913"/>
      <c r="AM11" s="913"/>
      <c r="AN11" s="913"/>
      <c r="AO11" s="913"/>
      <c r="AP11" s="913"/>
      <c r="AQ11" s="913"/>
      <c r="AR11" s="913"/>
      <c r="AS11" s="913"/>
      <c r="AT11" s="909"/>
      <c r="AU11" s="910" t="s">
        <v>1828</v>
      </c>
      <c r="AV11" s="957" t="s">
        <v>537</v>
      </c>
    </row>
    <row r="12" spans="1:48" s="124" customFormat="1">
      <c r="A12" s="957"/>
      <c r="B12" s="957" t="s">
        <v>536</v>
      </c>
      <c r="C12" s="957"/>
      <c r="D12" s="957" t="s">
        <v>535</v>
      </c>
      <c r="E12" s="957"/>
      <c r="F12" s="957" t="s">
        <v>534</v>
      </c>
      <c r="G12" s="957" t="s">
        <v>533</v>
      </c>
      <c r="H12" s="957"/>
      <c r="I12" s="957" t="s">
        <v>532</v>
      </c>
      <c r="J12" s="957" t="s">
        <v>531</v>
      </c>
      <c r="K12" s="957" t="s">
        <v>530</v>
      </c>
      <c r="L12" s="957" t="s">
        <v>529</v>
      </c>
      <c r="M12" s="957" t="s">
        <v>528</v>
      </c>
      <c r="N12" s="957" t="s">
        <v>525</v>
      </c>
      <c r="O12" s="957"/>
      <c r="P12" s="957" t="s">
        <v>524</v>
      </c>
      <c r="Q12" s="957" t="s">
        <v>528</v>
      </c>
      <c r="R12" s="958" t="s">
        <v>522</v>
      </c>
      <c r="S12" s="959"/>
      <c r="T12" s="957" t="s">
        <v>527</v>
      </c>
      <c r="U12" s="957" t="s">
        <v>526</v>
      </c>
      <c r="V12" s="957"/>
      <c r="W12" s="957"/>
      <c r="X12" s="957"/>
      <c r="Y12" s="957"/>
      <c r="Z12" s="957" t="s">
        <v>524</v>
      </c>
      <c r="AA12" s="957" t="s">
        <v>525</v>
      </c>
      <c r="AB12" s="957"/>
      <c r="AC12" s="957" t="s">
        <v>524</v>
      </c>
      <c r="AD12" s="957"/>
      <c r="AE12" s="957"/>
      <c r="AF12" s="908" t="s">
        <v>1814</v>
      </c>
      <c r="AG12" s="913"/>
      <c r="AH12" s="913"/>
      <c r="AI12" s="913"/>
      <c r="AJ12" s="913"/>
      <c r="AK12" s="913"/>
      <c r="AL12" s="913"/>
      <c r="AM12" s="913"/>
      <c r="AN12" s="909"/>
      <c r="AO12" s="908" t="s">
        <v>1818</v>
      </c>
      <c r="AP12" s="913"/>
      <c r="AQ12" s="913"/>
      <c r="AR12" s="913"/>
      <c r="AS12" s="909"/>
      <c r="AT12" s="492"/>
      <c r="AU12" s="911"/>
      <c r="AV12" s="957"/>
    </row>
    <row r="13" spans="1:48" s="124" customFormat="1" ht="69.75" customHeight="1">
      <c r="A13" s="957"/>
      <c r="B13" s="957"/>
      <c r="C13" s="957"/>
      <c r="D13" s="962"/>
      <c r="E13" s="962"/>
      <c r="F13" s="957"/>
      <c r="G13" s="962"/>
      <c r="H13" s="962"/>
      <c r="I13" s="957"/>
      <c r="J13" s="957"/>
      <c r="K13" s="957"/>
      <c r="L13" s="957"/>
      <c r="M13" s="957"/>
      <c r="N13" s="957"/>
      <c r="O13" s="957"/>
      <c r="P13" s="957"/>
      <c r="Q13" s="957"/>
      <c r="R13" s="960"/>
      <c r="S13" s="961"/>
      <c r="T13" s="957"/>
      <c r="U13" s="323" t="s">
        <v>523</v>
      </c>
      <c r="V13" s="323" t="s">
        <v>522</v>
      </c>
      <c r="W13" s="323" t="s">
        <v>521</v>
      </c>
      <c r="X13" s="323" t="s">
        <v>520</v>
      </c>
      <c r="Y13" s="323" t="s">
        <v>519</v>
      </c>
      <c r="Z13" s="957"/>
      <c r="AA13" s="957"/>
      <c r="AB13" s="957"/>
      <c r="AC13" s="957"/>
      <c r="AD13" s="957"/>
      <c r="AE13" s="957"/>
      <c r="AF13" s="908" t="s">
        <v>545</v>
      </c>
      <c r="AG13" s="909"/>
      <c r="AH13" s="908" t="s">
        <v>543</v>
      </c>
      <c r="AI13" s="913"/>
      <c r="AJ13" s="909"/>
      <c r="AK13" s="908" t="s">
        <v>542</v>
      </c>
      <c r="AL13" s="913"/>
      <c r="AM13" s="909"/>
      <c r="AN13" s="910" t="s">
        <v>1819</v>
      </c>
      <c r="AO13" s="908" t="s">
        <v>1820</v>
      </c>
      <c r="AP13" s="909"/>
      <c r="AQ13" s="908" t="s">
        <v>1823</v>
      </c>
      <c r="AR13" s="909"/>
      <c r="AS13" s="494" t="s">
        <v>1826</v>
      </c>
      <c r="AT13" s="494" t="s">
        <v>1827</v>
      </c>
      <c r="AU13" s="911"/>
      <c r="AV13" s="957"/>
    </row>
    <row r="14" spans="1:48" s="318" customFormat="1">
      <c r="A14" s="319">
        <v>1</v>
      </c>
      <c r="B14" s="319"/>
      <c r="C14" s="321">
        <v>2</v>
      </c>
      <c r="D14" s="321"/>
      <c r="E14" s="320">
        <v>3</v>
      </c>
      <c r="F14" s="322">
        <v>4</v>
      </c>
      <c r="G14" s="321"/>
      <c r="H14" s="320">
        <v>5</v>
      </c>
      <c r="I14" s="320">
        <v>6</v>
      </c>
      <c r="J14" s="319">
        <v>7</v>
      </c>
      <c r="K14" s="319">
        <v>8</v>
      </c>
      <c r="L14" s="319">
        <v>9</v>
      </c>
      <c r="M14" s="319">
        <v>10</v>
      </c>
      <c r="N14" s="965">
        <v>11</v>
      </c>
      <c r="O14" s="965"/>
      <c r="P14" s="319">
        <v>12</v>
      </c>
      <c r="Q14" s="319">
        <v>13</v>
      </c>
      <c r="R14" s="965">
        <v>14</v>
      </c>
      <c r="S14" s="965"/>
      <c r="T14" s="319">
        <v>15</v>
      </c>
      <c r="U14" s="319">
        <v>16</v>
      </c>
      <c r="V14" s="319">
        <v>17</v>
      </c>
      <c r="W14" s="319">
        <v>18</v>
      </c>
      <c r="X14" s="319">
        <v>19</v>
      </c>
      <c r="Y14" s="319">
        <v>20</v>
      </c>
      <c r="Z14" s="319">
        <v>21</v>
      </c>
      <c r="AA14" s="965">
        <v>22</v>
      </c>
      <c r="AB14" s="965"/>
      <c r="AC14" s="319">
        <v>23</v>
      </c>
      <c r="AD14" s="319">
        <v>24</v>
      </c>
      <c r="AE14" s="319">
        <v>25</v>
      </c>
      <c r="AF14" s="491" t="s">
        <v>1815</v>
      </c>
      <c r="AG14" s="491" t="s">
        <v>1816</v>
      </c>
      <c r="AH14" s="491" t="s">
        <v>1815</v>
      </c>
      <c r="AI14" s="491" t="s">
        <v>1817</v>
      </c>
      <c r="AJ14" s="491" t="s">
        <v>1816</v>
      </c>
      <c r="AK14" s="519" t="s">
        <v>1829</v>
      </c>
      <c r="AL14" s="518" t="s">
        <v>1817</v>
      </c>
      <c r="AM14" s="491" t="s">
        <v>1816</v>
      </c>
      <c r="AN14" s="912"/>
      <c r="AO14" s="491" t="s">
        <v>1821</v>
      </c>
      <c r="AP14" s="491" t="s">
        <v>1822</v>
      </c>
      <c r="AQ14" s="491" t="s">
        <v>1824</v>
      </c>
      <c r="AR14" s="491" t="s">
        <v>1825</v>
      </c>
      <c r="AS14" s="491"/>
      <c r="AT14" s="491"/>
      <c r="AU14" s="912"/>
      <c r="AV14" s="319">
        <v>26</v>
      </c>
    </row>
    <row r="15" spans="1:48" s="316" customFormat="1">
      <c r="A15" s="966"/>
      <c r="B15" s="176" t="s">
        <v>25</v>
      </c>
      <c r="C15" s="170" t="s">
        <v>518</v>
      </c>
      <c r="D15" s="207" t="s">
        <v>25</v>
      </c>
      <c r="E15" s="184" t="s">
        <v>518</v>
      </c>
      <c r="F15" s="966"/>
      <c r="G15" s="153" t="s">
        <v>25</v>
      </c>
      <c r="H15" s="162" t="s">
        <v>721</v>
      </c>
      <c r="I15" s="174"/>
      <c r="J15" s="969" t="s">
        <v>720</v>
      </c>
      <c r="K15" s="969" t="s">
        <v>515</v>
      </c>
      <c r="L15" s="972"/>
      <c r="M15" s="975"/>
      <c r="N15" s="253" t="s">
        <v>25</v>
      </c>
      <c r="O15" s="296" t="s">
        <v>514</v>
      </c>
      <c r="P15" s="169"/>
      <c r="Q15" s="168"/>
      <c r="R15" s="170" t="s">
        <v>25</v>
      </c>
      <c r="S15" s="170" t="s">
        <v>24</v>
      </c>
      <c r="T15" s="304"/>
      <c r="U15" s="304"/>
      <c r="V15" s="170"/>
      <c r="W15" s="304"/>
      <c r="X15" s="170"/>
      <c r="Y15" s="304"/>
      <c r="Z15" s="170"/>
      <c r="AA15" s="207" t="s">
        <v>25</v>
      </c>
      <c r="AB15" s="296" t="s">
        <v>513</v>
      </c>
      <c r="AC15" s="168"/>
      <c r="AD15" s="995"/>
      <c r="AE15" s="966"/>
      <c r="AF15" s="506"/>
      <c r="AG15" s="506"/>
      <c r="AH15" s="506"/>
      <c r="AI15" s="506"/>
      <c r="AJ15" s="506"/>
      <c r="AK15" s="506"/>
      <c r="AL15" s="506"/>
      <c r="AM15" s="506"/>
      <c r="AN15" s="506"/>
      <c r="AO15" s="506"/>
      <c r="AP15" s="506"/>
      <c r="AQ15" s="506"/>
      <c r="AR15" s="506"/>
      <c r="AS15" s="506"/>
      <c r="AT15" s="506"/>
      <c r="AU15" s="506"/>
      <c r="AV15" s="966"/>
    </row>
    <row r="16" spans="1:48" s="316" customFormat="1">
      <c r="A16" s="967"/>
      <c r="B16" s="153" t="s">
        <v>16</v>
      </c>
      <c r="C16" s="163" t="s">
        <v>512</v>
      </c>
      <c r="D16" s="317" t="s">
        <v>16</v>
      </c>
      <c r="E16" s="162" t="s">
        <v>512</v>
      </c>
      <c r="F16" s="967"/>
      <c r="G16" s="317" t="s">
        <v>16</v>
      </c>
      <c r="H16" s="162" t="s">
        <v>511</v>
      </c>
      <c r="I16" s="151"/>
      <c r="J16" s="970"/>
      <c r="K16" s="970"/>
      <c r="L16" s="973"/>
      <c r="M16" s="976"/>
      <c r="N16" s="239" t="s">
        <v>16</v>
      </c>
      <c r="O16" s="164" t="s">
        <v>510</v>
      </c>
      <c r="P16" s="146"/>
      <c r="Q16" s="145"/>
      <c r="R16" s="147" t="s">
        <v>16</v>
      </c>
      <c r="S16" s="147" t="s">
        <v>15</v>
      </c>
      <c r="T16" s="256"/>
      <c r="U16" s="256"/>
      <c r="V16" s="147"/>
      <c r="W16" s="256"/>
      <c r="X16" s="147"/>
      <c r="Y16" s="256"/>
      <c r="Z16" s="147"/>
      <c r="AA16" s="157" t="s">
        <v>16</v>
      </c>
      <c r="AB16" s="156" t="s">
        <v>509</v>
      </c>
      <c r="AC16" s="145"/>
      <c r="AD16" s="986"/>
      <c r="AE16" s="967"/>
      <c r="AF16" s="507"/>
      <c r="AG16" s="507"/>
      <c r="AH16" s="507"/>
      <c r="AI16" s="507"/>
      <c r="AJ16" s="507"/>
      <c r="AK16" s="507"/>
      <c r="AL16" s="507"/>
      <c r="AM16" s="507"/>
      <c r="AN16" s="507"/>
      <c r="AO16" s="507"/>
      <c r="AP16" s="507"/>
      <c r="AQ16" s="507"/>
      <c r="AR16" s="507"/>
      <c r="AS16" s="507"/>
      <c r="AT16" s="507"/>
      <c r="AU16" s="507"/>
      <c r="AV16" s="967"/>
    </row>
    <row r="17" spans="1:48" s="316" customFormat="1">
      <c r="A17" s="967"/>
      <c r="B17" s="153" t="s">
        <v>18</v>
      </c>
      <c r="C17" s="147" t="s">
        <v>508</v>
      </c>
      <c r="D17" s="153" t="s">
        <v>18</v>
      </c>
      <c r="E17" s="162" t="s">
        <v>508</v>
      </c>
      <c r="F17" s="967"/>
      <c r="G17" s="153" t="s">
        <v>18</v>
      </c>
      <c r="H17" s="162" t="s">
        <v>507</v>
      </c>
      <c r="I17" s="151"/>
      <c r="J17" s="970"/>
      <c r="K17" s="970"/>
      <c r="L17" s="973"/>
      <c r="M17" s="976"/>
      <c r="N17" s="239" t="s">
        <v>18</v>
      </c>
      <c r="O17" s="164" t="s">
        <v>506</v>
      </c>
      <c r="P17" s="146"/>
      <c r="Q17" s="145"/>
      <c r="R17" s="147"/>
      <c r="S17" s="147"/>
      <c r="T17" s="976"/>
      <c r="U17" s="152"/>
      <c r="V17" s="151"/>
      <c r="W17" s="152"/>
      <c r="X17" s="151"/>
      <c r="Y17" s="152"/>
      <c r="Z17" s="151"/>
      <c r="AA17" s="153" t="s">
        <v>18</v>
      </c>
      <c r="AB17" s="164" t="s">
        <v>505</v>
      </c>
      <c r="AC17" s="145"/>
      <c r="AD17" s="986"/>
      <c r="AE17" s="967"/>
      <c r="AF17" s="507"/>
      <c r="AG17" s="507"/>
      <c r="AH17" s="507"/>
      <c r="AI17" s="507"/>
      <c r="AJ17" s="507"/>
      <c r="AK17" s="507"/>
      <c r="AL17" s="507"/>
      <c r="AM17" s="507"/>
      <c r="AN17" s="507"/>
      <c r="AO17" s="507"/>
      <c r="AP17" s="507"/>
      <c r="AQ17" s="507"/>
      <c r="AR17" s="507"/>
      <c r="AS17" s="507"/>
      <c r="AT17" s="507"/>
      <c r="AU17" s="507"/>
      <c r="AV17" s="967"/>
    </row>
    <row r="18" spans="1:48" s="316" customFormat="1">
      <c r="A18" s="967"/>
      <c r="B18" s="153" t="s">
        <v>12</v>
      </c>
      <c r="C18" s="147" t="s">
        <v>504</v>
      </c>
      <c r="D18" s="153" t="s">
        <v>12</v>
      </c>
      <c r="E18" s="162" t="s">
        <v>504</v>
      </c>
      <c r="F18" s="967"/>
      <c r="G18" s="157"/>
      <c r="H18" s="286"/>
      <c r="I18" s="151"/>
      <c r="J18" s="970"/>
      <c r="K18" s="970"/>
      <c r="L18" s="973"/>
      <c r="M18" s="976"/>
      <c r="N18" s="239" t="s">
        <v>12</v>
      </c>
      <c r="O18" s="164" t="s">
        <v>503</v>
      </c>
      <c r="P18" s="146"/>
      <c r="Q18" s="145"/>
      <c r="R18" s="147"/>
      <c r="S18" s="147"/>
      <c r="T18" s="976"/>
      <c r="U18" s="152"/>
      <c r="V18" s="151"/>
      <c r="W18" s="152"/>
      <c r="X18" s="151"/>
      <c r="Y18" s="152"/>
      <c r="Z18" s="151"/>
      <c r="AA18" s="153" t="s">
        <v>12</v>
      </c>
      <c r="AB18" s="164" t="s">
        <v>502</v>
      </c>
      <c r="AC18" s="145"/>
      <c r="AD18" s="986"/>
      <c r="AE18" s="967"/>
      <c r="AF18" s="507"/>
      <c r="AG18" s="507"/>
      <c r="AH18" s="507"/>
      <c r="AI18" s="507"/>
      <c r="AJ18" s="507"/>
      <c r="AK18" s="507"/>
      <c r="AL18" s="507"/>
      <c r="AM18" s="507"/>
      <c r="AN18" s="507"/>
      <c r="AO18" s="507"/>
      <c r="AP18" s="507"/>
      <c r="AQ18" s="507"/>
      <c r="AR18" s="507"/>
      <c r="AS18" s="507"/>
      <c r="AT18" s="507"/>
      <c r="AU18" s="507"/>
      <c r="AV18" s="967"/>
    </row>
    <row r="19" spans="1:48" s="313" customFormat="1">
      <c r="A19" s="968"/>
      <c r="B19" s="131" t="s">
        <v>8</v>
      </c>
      <c r="C19" s="131" t="s">
        <v>501</v>
      </c>
      <c r="D19" s="137" t="s">
        <v>8</v>
      </c>
      <c r="E19" s="254" t="s">
        <v>501</v>
      </c>
      <c r="F19" s="968"/>
      <c r="G19" s="197"/>
      <c r="H19" s="314"/>
      <c r="I19" s="135"/>
      <c r="J19" s="971"/>
      <c r="K19" s="971"/>
      <c r="L19" s="974"/>
      <c r="M19" s="977"/>
      <c r="N19" s="236"/>
      <c r="O19" s="315"/>
      <c r="P19" s="130"/>
      <c r="Q19" s="129"/>
      <c r="R19" s="131"/>
      <c r="S19" s="131"/>
      <c r="T19" s="977"/>
      <c r="U19" s="136"/>
      <c r="V19" s="135"/>
      <c r="W19" s="136"/>
      <c r="X19" s="135"/>
      <c r="Y19" s="136"/>
      <c r="Z19" s="135"/>
      <c r="AA19" s="197"/>
      <c r="AB19" s="314"/>
      <c r="AC19" s="129"/>
      <c r="AD19" s="987"/>
      <c r="AE19" s="968"/>
      <c r="AF19" s="508"/>
      <c r="AG19" s="508"/>
      <c r="AH19" s="508"/>
      <c r="AI19" s="508"/>
      <c r="AJ19" s="508"/>
      <c r="AK19" s="508"/>
      <c r="AL19" s="508"/>
      <c r="AM19" s="508"/>
      <c r="AN19" s="508"/>
      <c r="AO19" s="508"/>
      <c r="AP19" s="508"/>
      <c r="AQ19" s="508"/>
      <c r="AR19" s="508"/>
      <c r="AS19" s="508"/>
      <c r="AT19" s="508"/>
      <c r="AU19" s="508"/>
      <c r="AV19" s="968"/>
    </row>
    <row r="20" spans="1:48">
      <c r="A20" s="221" t="s">
        <v>719</v>
      </c>
      <c r="B20" s="218" t="s">
        <v>25</v>
      </c>
      <c r="C20" s="162" t="s">
        <v>718</v>
      </c>
      <c r="D20" s="217"/>
      <c r="E20" s="147"/>
      <c r="F20" s="1000" t="s">
        <v>717</v>
      </c>
      <c r="G20" s="219" t="s">
        <v>25</v>
      </c>
      <c r="H20" s="154" t="s">
        <v>650</v>
      </c>
      <c r="I20" s="979">
        <v>824</v>
      </c>
      <c r="J20" s="982" t="s">
        <v>46</v>
      </c>
      <c r="K20" s="970" t="s">
        <v>716</v>
      </c>
      <c r="L20" s="997" t="s">
        <v>46</v>
      </c>
      <c r="M20" s="976"/>
      <c r="N20" s="217"/>
      <c r="O20" s="163" t="s">
        <v>825</v>
      </c>
      <c r="P20" s="432"/>
      <c r="Q20" s="433"/>
      <c r="R20" s="218" t="s">
        <v>25</v>
      </c>
      <c r="S20" s="147" t="s">
        <v>24</v>
      </c>
      <c r="T20" s="152">
        <v>1</v>
      </c>
      <c r="U20" s="151">
        <v>1</v>
      </c>
      <c r="V20" s="150" t="s">
        <v>61</v>
      </c>
      <c r="W20" s="261">
        <v>2</v>
      </c>
      <c r="X20" s="261">
        <v>0</v>
      </c>
      <c r="Y20" s="261"/>
      <c r="Z20" s="222">
        <f>W20+X20+Y20</f>
        <v>2</v>
      </c>
      <c r="AA20" s="217"/>
      <c r="AB20" s="154"/>
      <c r="AC20" s="145"/>
      <c r="AD20" s="986"/>
      <c r="AE20" s="967"/>
      <c r="AF20" s="507"/>
      <c r="AG20" s="507"/>
      <c r="AH20" s="507"/>
      <c r="AI20" s="507"/>
      <c r="AJ20" s="507"/>
      <c r="AK20" s="507"/>
      <c r="AL20" s="507"/>
      <c r="AM20" s="507"/>
      <c r="AN20" s="507"/>
      <c r="AO20" s="507"/>
      <c r="AP20" s="507"/>
      <c r="AQ20" s="507"/>
      <c r="AR20" s="507"/>
      <c r="AS20" s="507"/>
      <c r="AT20" s="507"/>
      <c r="AU20" s="507"/>
      <c r="AV20" s="970"/>
    </row>
    <row r="21" spans="1:48">
      <c r="A21" s="145"/>
      <c r="B21" s="153" t="s">
        <v>16</v>
      </c>
      <c r="C21" s="164" t="s">
        <v>715</v>
      </c>
      <c r="D21" s="147"/>
      <c r="E21" s="163"/>
      <c r="F21" s="979"/>
      <c r="G21" s="147" t="s">
        <v>16</v>
      </c>
      <c r="H21" s="147" t="s">
        <v>565</v>
      </c>
      <c r="I21" s="979"/>
      <c r="J21" s="982"/>
      <c r="K21" s="970"/>
      <c r="L21" s="984"/>
      <c r="M21" s="980"/>
      <c r="N21" s="147" t="s">
        <v>25</v>
      </c>
      <c r="O21" s="163" t="s">
        <v>59</v>
      </c>
      <c r="P21" s="230">
        <v>1</v>
      </c>
      <c r="Q21" s="229">
        <v>40</v>
      </c>
      <c r="R21" s="153"/>
      <c r="S21" s="147"/>
      <c r="T21" s="152"/>
      <c r="U21" s="504"/>
      <c r="V21" s="150" t="s">
        <v>61</v>
      </c>
      <c r="W21" s="258"/>
      <c r="X21" s="258">
        <v>0</v>
      </c>
      <c r="Y21" s="258">
        <v>5</v>
      </c>
      <c r="Z21" s="201"/>
      <c r="AA21" s="147"/>
      <c r="AB21" s="154"/>
      <c r="AC21" s="145"/>
      <c r="AD21" s="986"/>
      <c r="AE21" s="967"/>
      <c r="AF21" s="507"/>
      <c r="AG21" s="507"/>
      <c r="AH21" s="507"/>
      <c r="AI21" s="507"/>
      <c r="AJ21" s="507"/>
      <c r="AK21" s="507"/>
      <c r="AL21" s="507"/>
      <c r="AM21" s="507"/>
      <c r="AN21" s="507"/>
      <c r="AO21" s="507"/>
      <c r="AP21" s="507"/>
      <c r="AQ21" s="507"/>
      <c r="AR21" s="507"/>
      <c r="AS21" s="507"/>
      <c r="AT21" s="507"/>
      <c r="AU21" s="507"/>
      <c r="AV21" s="970"/>
    </row>
    <row r="22" spans="1:48">
      <c r="A22" s="145"/>
      <c r="B22" s="153" t="s">
        <v>18</v>
      </c>
      <c r="C22" s="162" t="s">
        <v>633</v>
      </c>
      <c r="D22" s="147"/>
      <c r="E22" s="147"/>
      <c r="F22" s="979"/>
      <c r="G22" s="147" t="s">
        <v>18</v>
      </c>
      <c r="H22" s="147" t="s">
        <v>19</v>
      </c>
      <c r="I22" s="979"/>
      <c r="J22" s="982"/>
      <c r="K22" s="970"/>
      <c r="L22" s="984"/>
      <c r="M22" s="980"/>
      <c r="N22" s="147"/>
      <c r="O22" s="154"/>
      <c r="P22" s="145"/>
      <c r="Q22" s="146"/>
      <c r="R22" s="153" t="s">
        <v>16</v>
      </c>
      <c r="S22" s="147" t="s">
        <v>15</v>
      </c>
      <c r="T22" s="152">
        <v>1</v>
      </c>
      <c r="U22" s="151">
        <v>1</v>
      </c>
      <c r="V22" s="150" t="s">
        <v>654</v>
      </c>
      <c r="W22" s="258">
        <v>0</v>
      </c>
      <c r="X22" s="258">
        <v>0</v>
      </c>
      <c r="Y22" s="258">
        <v>7</v>
      </c>
      <c r="Z22" s="222">
        <f>W22+X22+Y22</f>
        <v>7</v>
      </c>
      <c r="AA22" s="147"/>
      <c r="AB22" s="154"/>
      <c r="AC22" s="145"/>
      <c r="AD22" s="986"/>
      <c r="AE22" s="967"/>
      <c r="AF22" s="507"/>
      <c r="AG22" s="507"/>
      <c r="AH22" s="507"/>
      <c r="AI22" s="507"/>
      <c r="AJ22" s="507"/>
      <c r="AK22" s="507"/>
      <c r="AL22" s="507"/>
      <c r="AM22" s="507"/>
      <c r="AN22" s="507"/>
      <c r="AO22" s="507"/>
      <c r="AP22" s="507"/>
      <c r="AQ22" s="507"/>
      <c r="AR22" s="507"/>
      <c r="AS22" s="507"/>
      <c r="AT22" s="507"/>
      <c r="AU22" s="507"/>
      <c r="AV22" s="970"/>
    </row>
    <row r="23" spans="1:48" ht="49.5" customHeight="1">
      <c r="A23" s="145"/>
      <c r="B23" s="157" t="s">
        <v>12</v>
      </c>
      <c r="C23" s="156" t="s">
        <v>689</v>
      </c>
      <c r="D23" s="147"/>
      <c r="E23" s="154"/>
      <c r="F23" s="979"/>
      <c r="G23" s="147"/>
      <c r="H23" s="146"/>
      <c r="I23" s="979"/>
      <c r="J23" s="982"/>
      <c r="K23" s="970"/>
      <c r="L23" s="984"/>
      <c r="M23" s="980"/>
      <c r="N23" s="217"/>
      <c r="O23" s="163" t="s">
        <v>824</v>
      </c>
      <c r="P23" s="432"/>
      <c r="Q23" s="433"/>
      <c r="R23" s="153"/>
      <c r="S23" s="163"/>
      <c r="T23" s="226"/>
      <c r="U23" s="312"/>
      <c r="V23" s="298"/>
      <c r="W23" s="301"/>
      <c r="X23" s="222"/>
      <c r="Y23" s="300"/>
      <c r="Z23" s="222"/>
      <c r="AA23" s="147"/>
      <c r="AB23" s="163"/>
      <c r="AC23" s="152"/>
      <c r="AD23" s="986"/>
      <c r="AE23" s="967"/>
      <c r="AF23" s="507"/>
      <c r="AG23" s="507"/>
      <c r="AH23" s="507"/>
      <c r="AI23" s="507"/>
      <c r="AJ23" s="507"/>
      <c r="AK23" s="507"/>
      <c r="AL23" s="507"/>
      <c r="AM23" s="507"/>
      <c r="AN23" s="507"/>
      <c r="AO23" s="507"/>
      <c r="AP23" s="507"/>
      <c r="AQ23" s="507"/>
      <c r="AR23" s="507"/>
      <c r="AS23" s="507"/>
      <c r="AT23" s="507"/>
      <c r="AU23" s="507"/>
      <c r="AV23" s="970"/>
    </row>
    <row r="24" spans="1:48">
      <c r="A24" s="145"/>
      <c r="B24" s="157" t="s">
        <v>8</v>
      </c>
      <c r="C24" s="156" t="s">
        <v>714</v>
      </c>
      <c r="D24" s="147"/>
      <c r="E24" s="154"/>
      <c r="F24" s="979"/>
      <c r="G24" s="147"/>
      <c r="H24" s="146"/>
      <c r="I24" s="979"/>
      <c r="J24" s="982"/>
      <c r="K24" s="970"/>
      <c r="L24" s="984"/>
      <c r="M24" s="980"/>
      <c r="N24" s="147" t="s">
        <v>25</v>
      </c>
      <c r="O24" s="163" t="s">
        <v>59</v>
      </c>
      <c r="P24" s="230">
        <v>1</v>
      </c>
      <c r="Q24" s="229">
        <v>96</v>
      </c>
      <c r="R24" s="153"/>
      <c r="S24" s="163"/>
      <c r="T24" s="226"/>
      <c r="U24" s="312"/>
      <c r="V24" s="298"/>
      <c r="W24" s="297"/>
      <c r="X24" s="222"/>
      <c r="Y24" s="297"/>
      <c r="Z24" s="222"/>
      <c r="AA24" s="147"/>
      <c r="AB24" s="163"/>
      <c r="AC24" s="152"/>
      <c r="AD24" s="986"/>
      <c r="AE24" s="967"/>
      <c r="AF24" s="507"/>
      <c r="AG24" s="507"/>
      <c r="AH24" s="507"/>
      <c r="AI24" s="507"/>
      <c r="AJ24" s="507"/>
      <c r="AK24" s="507"/>
      <c r="AL24" s="507"/>
      <c r="AM24" s="507"/>
      <c r="AN24" s="507"/>
      <c r="AO24" s="507"/>
      <c r="AP24" s="507"/>
      <c r="AQ24" s="507"/>
      <c r="AR24" s="507"/>
      <c r="AS24" s="507"/>
      <c r="AT24" s="507"/>
      <c r="AU24" s="507"/>
      <c r="AV24" s="970"/>
    </row>
    <row r="25" spans="1:48">
      <c r="A25" s="145"/>
      <c r="B25" s="157"/>
      <c r="C25" s="156"/>
      <c r="D25" s="147"/>
      <c r="E25" s="154"/>
      <c r="F25" s="979"/>
      <c r="G25" s="147"/>
      <c r="H25" s="146"/>
      <c r="I25" s="979"/>
      <c r="J25" s="982"/>
      <c r="K25" s="970"/>
      <c r="L25" s="984"/>
      <c r="M25" s="980"/>
      <c r="N25" s="217"/>
      <c r="O25" s="163"/>
      <c r="P25" s="152"/>
      <c r="Q25" s="151"/>
      <c r="R25" s="153"/>
      <c r="S25" s="163"/>
      <c r="T25" s="226"/>
      <c r="U25" s="312"/>
      <c r="V25" s="298"/>
      <c r="W25" s="297"/>
      <c r="X25" s="222"/>
      <c r="Y25" s="297"/>
      <c r="Z25" s="222"/>
      <c r="AA25" s="147"/>
      <c r="AB25" s="163"/>
      <c r="AC25" s="152"/>
      <c r="AD25" s="986"/>
      <c r="AE25" s="967"/>
      <c r="AF25" s="507"/>
      <c r="AG25" s="507"/>
      <c r="AH25" s="507"/>
      <c r="AI25" s="507"/>
      <c r="AJ25" s="507"/>
      <c r="AK25" s="507"/>
      <c r="AL25" s="507"/>
      <c r="AM25" s="507"/>
      <c r="AN25" s="507"/>
      <c r="AO25" s="507"/>
      <c r="AP25" s="507"/>
      <c r="AQ25" s="507"/>
      <c r="AR25" s="507"/>
      <c r="AS25" s="507"/>
      <c r="AT25" s="507"/>
      <c r="AU25" s="507"/>
      <c r="AV25" s="970"/>
    </row>
    <row r="26" spans="1:48" ht="19.5" customHeight="1">
      <c r="A26" s="129"/>
      <c r="B26" s="197"/>
      <c r="C26" s="311"/>
      <c r="D26" s="131"/>
      <c r="E26" s="140"/>
      <c r="F26" s="992"/>
      <c r="G26" s="131"/>
      <c r="H26" s="130"/>
      <c r="I26" s="992"/>
      <c r="J26" s="993"/>
      <c r="K26" s="971"/>
      <c r="L26" s="994"/>
      <c r="M26" s="985"/>
      <c r="N26" s="131"/>
      <c r="O26" s="138"/>
      <c r="P26" s="129"/>
      <c r="Q26" s="130"/>
      <c r="R26" s="137"/>
      <c r="S26" s="227"/>
      <c r="T26" s="282"/>
      <c r="U26" s="310"/>
      <c r="V26" s="309"/>
      <c r="W26" s="308"/>
      <c r="X26" s="232"/>
      <c r="Y26" s="308"/>
      <c r="Z26" s="232"/>
      <c r="AA26" s="131"/>
      <c r="AB26" s="227"/>
      <c r="AC26" s="136"/>
      <c r="AD26" s="987"/>
      <c r="AE26" s="968"/>
      <c r="AF26" s="508"/>
      <c r="AG26" s="508"/>
      <c r="AH26" s="508"/>
      <c r="AI26" s="508"/>
      <c r="AJ26" s="508"/>
      <c r="AK26" s="508"/>
      <c r="AL26" s="508"/>
      <c r="AM26" s="508"/>
      <c r="AN26" s="508"/>
      <c r="AO26" s="508"/>
      <c r="AP26" s="508"/>
      <c r="AQ26" s="508"/>
      <c r="AR26" s="508"/>
      <c r="AS26" s="508"/>
      <c r="AT26" s="508"/>
      <c r="AU26" s="508"/>
      <c r="AV26" s="971"/>
    </row>
    <row r="27" spans="1:48">
      <c r="A27" s="185" t="s">
        <v>713</v>
      </c>
      <c r="B27" s="176" t="s">
        <v>25</v>
      </c>
      <c r="C27" s="184" t="s">
        <v>686</v>
      </c>
      <c r="D27" s="183"/>
      <c r="E27" s="170"/>
      <c r="F27" s="998" t="e">
        <f>#REF!</f>
        <v>#REF!</v>
      </c>
      <c r="G27" s="182" t="s">
        <v>25</v>
      </c>
      <c r="H27" s="181" t="s">
        <v>650</v>
      </c>
      <c r="I27" s="998">
        <v>1420</v>
      </c>
      <c r="J27" s="981" t="s">
        <v>46</v>
      </c>
      <c r="K27" s="969" t="s">
        <v>712</v>
      </c>
      <c r="L27" s="1001" t="s">
        <v>46</v>
      </c>
      <c r="M27" s="996"/>
      <c r="N27" s="147"/>
      <c r="O27" s="154" t="s">
        <v>823</v>
      </c>
      <c r="P27" s="291"/>
      <c r="Q27" s="285"/>
      <c r="R27" s="176"/>
      <c r="S27" s="170"/>
      <c r="T27" s="175"/>
      <c r="U27" s="174"/>
      <c r="V27" s="173"/>
      <c r="W27" s="206"/>
      <c r="X27" s="205"/>
      <c r="Y27" s="206"/>
      <c r="Z27" s="201"/>
      <c r="AA27" s="183"/>
      <c r="AB27" s="181"/>
      <c r="AC27" s="168"/>
      <c r="AD27" s="995"/>
      <c r="AE27" s="966"/>
      <c r="AF27" s="506"/>
      <c r="AG27" s="506"/>
      <c r="AH27" s="506"/>
      <c r="AI27" s="506"/>
      <c r="AJ27" s="506"/>
      <c r="AK27" s="506"/>
      <c r="AL27" s="506"/>
      <c r="AM27" s="506"/>
      <c r="AN27" s="506"/>
      <c r="AO27" s="506"/>
      <c r="AP27" s="506"/>
      <c r="AQ27" s="506"/>
      <c r="AR27" s="506"/>
      <c r="AS27" s="506"/>
      <c r="AT27" s="506"/>
      <c r="AU27" s="506"/>
      <c r="AV27" s="969"/>
    </row>
    <row r="28" spans="1:48">
      <c r="A28" s="145"/>
      <c r="B28" s="153" t="s">
        <v>16</v>
      </c>
      <c r="C28" s="164" t="s">
        <v>684</v>
      </c>
      <c r="D28" s="147"/>
      <c r="E28" s="163"/>
      <c r="F28" s="979"/>
      <c r="G28" s="147" t="s">
        <v>16</v>
      </c>
      <c r="H28" s="147" t="s">
        <v>565</v>
      </c>
      <c r="I28" s="979"/>
      <c r="J28" s="982"/>
      <c r="K28" s="970"/>
      <c r="L28" s="984"/>
      <c r="M28" s="980"/>
      <c r="N28" s="147" t="s">
        <v>25</v>
      </c>
      <c r="O28" s="154" t="s">
        <v>52</v>
      </c>
      <c r="P28" s="291">
        <v>1</v>
      </c>
      <c r="Q28" s="285">
        <v>33</v>
      </c>
      <c r="R28" s="153"/>
      <c r="S28" s="147"/>
      <c r="T28" s="152"/>
      <c r="U28" s="151"/>
      <c r="V28" s="150"/>
      <c r="W28" s="202"/>
      <c r="X28" s="201"/>
      <c r="Y28" s="202"/>
      <c r="Z28" s="201"/>
      <c r="AA28" s="147"/>
      <c r="AB28" s="154"/>
      <c r="AC28" s="145"/>
      <c r="AD28" s="986"/>
      <c r="AE28" s="967"/>
      <c r="AF28" s="507"/>
      <c r="AG28" s="507"/>
      <c r="AH28" s="507"/>
      <c r="AI28" s="507"/>
      <c r="AJ28" s="507"/>
      <c r="AK28" s="507"/>
      <c r="AL28" s="507"/>
      <c r="AM28" s="507"/>
      <c r="AN28" s="507"/>
      <c r="AO28" s="507"/>
      <c r="AP28" s="507"/>
      <c r="AQ28" s="507"/>
      <c r="AR28" s="507"/>
      <c r="AS28" s="507"/>
      <c r="AT28" s="507"/>
      <c r="AU28" s="507"/>
      <c r="AV28" s="970"/>
    </row>
    <row r="29" spans="1:48">
      <c r="A29" s="145"/>
      <c r="B29" s="153" t="s">
        <v>18</v>
      </c>
      <c r="C29" s="162" t="s">
        <v>633</v>
      </c>
      <c r="D29" s="147"/>
      <c r="E29" s="147"/>
      <c r="F29" s="979"/>
      <c r="G29" s="147" t="s">
        <v>18</v>
      </c>
      <c r="H29" s="147" t="s">
        <v>19</v>
      </c>
      <c r="I29" s="979"/>
      <c r="J29" s="982"/>
      <c r="K29" s="970"/>
      <c r="L29" s="984"/>
      <c r="M29" s="980"/>
      <c r="N29" s="147"/>
      <c r="O29" s="154"/>
      <c r="P29" s="291"/>
      <c r="Q29" s="285"/>
      <c r="R29" s="153"/>
      <c r="S29" s="147"/>
      <c r="T29" s="152"/>
      <c r="U29" s="214"/>
      <c r="V29" s="150"/>
      <c r="W29" s="202"/>
      <c r="X29" s="201"/>
      <c r="Y29" s="202"/>
      <c r="Z29" s="222"/>
      <c r="AA29" s="147"/>
      <c r="AB29" s="154"/>
      <c r="AC29" s="145"/>
      <c r="AD29" s="986"/>
      <c r="AE29" s="967"/>
      <c r="AF29" s="507"/>
      <c r="AG29" s="507"/>
      <c r="AH29" s="507"/>
      <c r="AI29" s="507"/>
      <c r="AJ29" s="507"/>
      <c r="AK29" s="507"/>
      <c r="AL29" s="507"/>
      <c r="AM29" s="507"/>
      <c r="AN29" s="507"/>
      <c r="AO29" s="507"/>
      <c r="AP29" s="507"/>
      <c r="AQ29" s="507"/>
      <c r="AR29" s="507"/>
      <c r="AS29" s="507"/>
      <c r="AT29" s="507"/>
      <c r="AU29" s="507"/>
      <c r="AV29" s="970"/>
    </row>
    <row r="30" spans="1:48" ht="51" customHeight="1">
      <c r="A30" s="145"/>
      <c r="B30" s="157"/>
      <c r="C30" s="156" t="s">
        <v>683</v>
      </c>
      <c r="D30" s="147"/>
      <c r="E30" s="154"/>
      <c r="F30" s="979"/>
      <c r="G30" s="147"/>
      <c r="H30" s="146"/>
      <c r="I30" s="979"/>
      <c r="J30" s="982"/>
      <c r="K30" s="970"/>
      <c r="L30" s="984"/>
      <c r="M30" s="980"/>
      <c r="N30" s="147"/>
      <c r="O30" s="154" t="s">
        <v>822</v>
      </c>
      <c r="P30" s="291"/>
      <c r="Q30" s="285"/>
      <c r="R30" s="218"/>
      <c r="S30" s="163"/>
      <c r="T30" s="152"/>
      <c r="U30" s="214"/>
      <c r="V30" s="150"/>
      <c r="W30" s="202"/>
      <c r="X30" s="201"/>
      <c r="Y30" s="202"/>
      <c r="Z30" s="222"/>
      <c r="AA30" s="147"/>
      <c r="AB30" s="163"/>
      <c r="AC30" s="152"/>
      <c r="AD30" s="986"/>
      <c r="AE30" s="967"/>
      <c r="AF30" s="507"/>
      <c r="AG30" s="507"/>
      <c r="AH30" s="507"/>
      <c r="AI30" s="507"/>
      <c r="AJ30" s="507"/>
      <c r="AK30" s="507"/>
      <c r="AL30" s="507"/>
      <c r="AM30" s="507"/>
      <c r="AN30" s="507"/>
      <c r="AO30" s="507"/>
      <c r="AP30" s="507"/>
      <c r="AQ30" s="507"/>
      <c r="AR30" s="507"/>
      <c r="AS30" s="507"/>
      <c r="AT30" s="507"/>
      <c r="AU30" s="507"/>
      <c r="AV30" s="970"/>
    </row>
    <row r="31" spans="1:48">
      <c r="A31" s="145"/>
      <c r="B31" s="153" t="s">
        <v>8</v>
      </c>
      <c r="C31" s="220" t="s">
        <v>682</v>
      </c>
      <c r="D31" s="147"/>
      <c r="E31" s="154"/>
      <c r="F31" s="979"/>
      <c r="G31" s="147"/>
      <c r="H31" s="146"/>
      <c r="I31" s="979"/>
      <c r="J31" s="982"/>
      <c r="K31" s="970"/>
      <c r="L31" s="984"/>
      <c r="M31" s="980"/>
      <c r="N31" s="147" t="s">
        <v>25</v>
      </c>
      <c r="O31" s="154" t="s">
        <v>59</v>
      </c>
      <c r="P31" s="291">
        <v>1</v>
      </c>
      <c r="Q31" s="285">
        <v>19.8</v>
      </c>
      <c r="R31" s="218"/>
      <c r="S31" s="163"/>
      <c r="T31" s="152"/>
      <c r="U31" s="214"/>
      <c r="V31" s="150"/>
      <c r="W31" s="202"/>
      <c r="X31" s="201"/>
      <c r="Y31" s="202"/>
      <c r="Z31" s="222"/>
      <c r="AA31" s="147"/>
      <c r="AB31" s="163"/>
      <c r="AC31" s="152"/>
      <c r="AD31" s="986"/>
      <c r="AE31" s="967"/>
      <c r="AF31" s="507"/>
      <c r="AG31" s="507"/>
      <c r="AH31" s="507"/>
      <c r="AI31" s="507"/>
      <c r="AJ31" s="507"/>
      <c r="AK31" s="507"/>
      <c r="AL31" s="507"/>
      <c r="AM31" s="507"/>
      <c r="AN31" s="507"/>
      <c r="AO31" s="507"/>
      <c r="AP31" s="507"/>
      <c r="AQ31" s="507"/>
      <c r="AR31" s="507"/>
      <c r="AS31" s="507"/>
      <c r="AT31" s="507"/>
      <c r="AU31" s="507"/>
      <c r="AV31" s="970"/>
    </row>
    <row r="32" spans="1:48">
      <c r="A32" s="145"/>
      <c r="B32" s="157"/>
      <c r="C32" s="156"/>
      <c r="D32" s="147"/>
      <c r="E32" s="154"/>
      <c r="F32" s="979"/>
      <c r="G32" s="147"/>
      <c r="H32" s="146"/>
      <c r="I32" s="979"/>
      <c r="J32" s="982"/>
      <c r="K32" s="970"/>
      <c r="L32" s="984"/>
      <c r="M32" s="980"/>
      <c r="N32" s="147"/>
      <c r="O32" s="154"/>
      <c r="P32" s="291"/>
      <c r="Q32" s="285"/>
      <c r="R32" s="218"/>
      <c r="S32" s="163"/>
      <c r="T32" s="152"/>
      <c r="U32" s="214"/>
      <c r="V32" s="150"/>
      <c r="W32" s="202"/>
      <c r="X32" s="201"/>
      <c r="Y32" s="202"/>
      <c r="Z32" s="222"/>
      <c r="AA32" s="147"/>
      <c r="AB32" s="163"/>
      <c r="AC32" s="152"/>
      <c r="AD32" s="986"/>
      <c r="AE32" s="967"/>
      <c r="AF32" s="507"/>
      <c r="AG32" s="507"/>
      <c r="AH32" s="507"/>
      <c r="AI32" s="507"/>
      <c r="AJ32" s="507"/>
      <c r="AK32" s="507"/>
      <c r="AL32" s="507"/>
      <c r="AM32" s="507"/>
      <c r="AN32" s="507"/>
      <c r="AO32" s="507"/>
      <c r="AP32" s="507"/>
      <c r="AQ32" s="507"/>
      <c r="AR32" s="507"/>
      <c r="AS32" s="507"/>
      <c r="AT32" s="507"/>
      <c r="AU32" s="507"/>
      <c r="AV32" s="970"/>
    </row>
    <row r="33" spans="1:48">
      <c r="A33" s="145"/>
      <c r="B33" s="157"/>
      <c r="C33" s="156"/>
      <c r="D33" s="147"/>
      <c r="E33" s="154"/>
      <c r="F33" s="979"/>
      <c r="G33" s="147"/>
      <c r="H33" s="146"/>
      <c r="I33" s="979"/>
      <c r="J33" s="982"/>
      <c r="K33" s="970"/>
      <c r="L33" s="984"/>
      <c r="M33" s="980"/>
      <c r="N33" s="147"/>
      <c r="O33" s="154" t="s">
        <v>821</v>
      </c>
      <c r="P33" s="291"/>
      <c r="Q33" s="285"/>
      <c r="R33" s="218"/>
      <c r="S33" s="163"/>
      <c r="T33" s="152"/>
      <c r="U33" s="214"/>
      <c r="V33" s="150"/>
      <c r="W33" s="202"/>
      <c r="X33" s="201"/>
      <c r="Y33" s="202"/>
      <c r="Z33" s="222"/>
      <c r="AA33" s="147"/>
      <c r="AB33" s="163"/>
      <c r="AC33" s="152"/>
      <c r="AD33" s="986"/>
      <c r="AE33" s="967"/>
      <c r="AF33" s="507"/>
      <c r="AG33" s="507"/>
      <c r="AH33" s="507"/>
      <c r="AI33" s="507"/>
      <c r="AJ33" s="507"/>
      <c r="AK33" s="507"/>
      <c r="AL33" s="507"/>
      <c r="AM33" s="507"/>
      <c r="AN33" s="507"/>
      <c r="AO33" s="507"/>
      <c r="AP33" s="507"/>
      <c r="AQ33" s="507"/>
      <c r="AR33" s="507"/>
      <c r="AS33" s="507"/>
      <c r="AT33" s="507"/>
      <c r="AU33" s="507"/>
      <c r="AV33" s="970"/>
    </row>
    <row r="34" spans="1:48">
      <c r="A34" s="145"/>
      <c r="B34" s="157"/>
      <c r="C34" s="156"/>
      <c r="D34" s="147"/>
      <c r="E34" s="154"/>
      <c r="F34" s="979"/>
      <c r="G34" s="147"/>
      <c r="H34" s="146"/>
      <c r="I34" s="979"/>
      <c r="J34" s="982"/>
      <c r="K34" s="970"/>
      <c r="L34" s="984"/>
      <c r="M34" s="980"/>
      <c r="N34" s="147" t="s">
        <v>25</v>
      </c>
      <c r="O34" s="154" t="s">
        <v>59</v>
      </c>
      <c r="P34" s="291">
        <v>1</v>
      </c>
      <c r="Q34" s="285">
        <v>15</v>
      </c>
      <c r="R34" s="218"/>
      <c r="S34" s="163"/>
      <c r="T34" s="152"/>
      <c r="U34" s="214"/>
      <c r="V34" s="150"/>
      <c r="W34" s="202"/>
      <c r="X34" s="201"/>
      <c r="Y34" s="202"/>
      <c r="Z34" s="222"/>
      <c r="AA34" s="147"/>
      <c r="AB34" s="163"/>
      <c r="AC34" s="152"/>
      <c r="AD34" s="986"/>
      <c r="AE34" s="967"/>
      <c r="AF34" s="507"/>
      <c r="AG34" s="507"/>
      <c r="AH34" s="507"/>
      <c r="AI34" s="507"/>
      <c r="AJ34" s="507"/>
      <c r="AK34" s="507"/>
      <c r="AL34" s="507"/>
      <c r="AM34" s="507"/>
      <c r="AN34" s="507"/>
      <c r="AO34" s="507"/>
      <c r="AP34" s="507"/>
      <c r="AQ34" s="507"/>
      <c r="AR34" s="507"/>
      <c r="AS34" s="507"/>
      <c r="AT34" s="507"/>
      <c r="AU34" s="507"/>
      <c r="AV34" s="970"/>
    </row>
    <row r="35" spans="1:48">
      <c r="A35" s="145"/>
      <c r="B35" s="157"/>
      <c r="C35" s="156"/>
      <c r="D35" s="147"/>
      <c r="E35" s="154"/>
      <c r="F35" s="979"/>
      <c r="G35" s="147"/>
      <c r="H35" s="146"/>
      <c r="I35" s="979"/>
      <c r="J35" s="982"/>
      <c r="K35" s="970"/>
      <c r="L35" s="984"/>
      <c r="M35" s="980"/>
      <c r="N35" s="147"/>
      <c r="O35" s="154"/>
      <c r="P35" s="291"/>
      <c r="Q35" s="285"/>
      <c r="R35" s="218"/>
      <c r="S35" s="163"/>
      <c r="T35" s="152"/>
      <c r="U35" s="214"/>
      <c r="V35" s="150"/>
      <c r="W35" s="202"/>
      <c r="X35" s="201"/>
      <c r="Y35" s="202"/>
      <c r="Z35" s="222"/>
      <c r="AA35" s="147"/>
      <c r="AB35" s="163"/>
      <c r="AC35" s="152"/>
      <c r="AD35" s="986"/>
      <c r="AE35" s="967"/>
      <c r="AF35" s="507"/>
      <c r="AG35" s="507"/>
      <c r="AH35" s="507"/>
      <c r="AI35" s="507"/>
      <c r="AJ35" s="507"/>
      <c r="AK35" s="507"/>
      <c r="AL35" s="507"/>
      <c r="AM35" s="507"/>
      <c r="AN35" s="507"/>
      <c r="AO35" s="507"/>
      <c r="AP35" s="507"/>
      <c r="AQ35" s="507"/>
      <c r="AR35" s="507"/>
      <c r="AS35" s="507"/>
      <c r="AT35" s="507"/>
      <c r="AU35" s="507"/>
      <c r="AV35" s="970"/>
    </row>
    <row r="36" spans="1:48">
      <c r="A36" s="129"/>
      <c r="B36" s="137"/>
      <c r="C36" s="141"/>
      <c r="D36" s="131"/>
      <c r="E36" s="140"/>
      <c r="F36" s="992"/>
      <c r="G36" s="131"/>
      <c r="H36" s="130"/>
      <c r="I36" s="992"/>
      <c r="J36" s="993"/>
      <c r="K36" s="971"/>
      <c r="L36" s="994"/>
      <c r="M36" s="985"/>
      <c r="N36" s="131"/>
      <c r="O36" s="138"/>
      <c r="P36" s="306"/>
      <c r="Q36" s="305"/>
      <c r="R36" s="137"/>
      <c r="S36" s="131"/>
      <c r="T36" s="136"/>
      <c r="U36" s="210"/>
      <c r="V36" s="134"/>
      <c r="W36" s="133"/>
      <c r="X36" s="132"/>
      <c r="Y36" s="133"/>
      <c r="Z36" s="232"/>
      <c r="AA36" s="131"/>
      <c r="AB36" s="227"/>
      <c r="AC36" s="136"/>
      <c r="AD36" s="987"/>
      <c r="AE36" s="968"/>
      <c r="AF36" s="508"/>
      <c r="AG36" s="508"/>
      <c r="AH36" s="508"/>
      <c r="AI36" s="508"/>
      <c r="AJ36" s="508"/>
      <c r="AK36" s="508"/>
      <c r="AL36" s="508"/>
      <c r="AM36" s="508"/>
      <c r="AN36" s="508"/>
      <c r="AO36" s="508"/>
      <c r="AP36" s="508"/>
      <c r="AQ36" s="508"/>
      <c r="AR36" s="508"/>
      <c r="AS36" s="508"/>
      <c r="AT36" s="508"/>
      <c r="AU36" s="508"/>
      <c r="AV36" s="971"/>
    </row>
    <row r="37" spans="1:48">
      <c r="A37" s="185" t="s">
        <v>711</v>
      </c>
      <c r="B37" s="176" t="s">
        <v>25</v>
      </c>
      <c r="C37" s="184" t="s">
        <v>710</v>
      </c>
      <c r="D37" s="183"/>
      <c r="E37" s="170"/>
      <c r="F37" s="978" t="s">
        <v>709</v>
      </c>
      <c r="G37" s="182" t="s">
        <v>25</v>
      </c>
      <c r="H37" s="181" t="s">
        <v>650</v>
      </c>
      <c r="I37" s="998">
        <v>2212</v>
      </c>
      <c r="J37" s="981" t="s">
        <v>46</v>
      </c>
      <c r="K37" s="969" t="s">
        <v>708</v>
      </c>
      <c r="L37" s="997" t="s">
        <v>46</v>
      </c>
      <c r="M37" s="996"/>
      <c r="N37" s="147"/>
      <c r="O37" s="154" t="s">
        <v>821</v>
      </c>
      <c r="P37" s="291"/>
      <c r="Q37" s="285"/>
      <c r="R37" s="218" t="s">
        <v>25</v>
      </c>
      <c r="S37" s="147" t="s">
        <v>24</v>
      </c>
      <c r="T37" s="175"/>
      <c r="U37" s="174"/>
      <c r="V37" s="173"/>
      <c r="W37" s="206"/>
      <c r="X37" s="205"/>
      <c r="Y37" s="206"/>
      <c r="Z37" s="201"/>
      <c r="AA37" s="183"/>
      <c r="AB37" s="270"/>
      <c r="AC37" s="168"/>
      <c r="AD37" s="995"/>
      <c r="AE37" s="966"/>
      <c r="AF37" s="506"/>
      <c r="AG37" s="506"/>
      <c r="AH37" s="506"/>
      <c r="AI37" s="506"/>
      <c r="AJ37" s="506"/>
      <c r="AK37" s="506"/>
      <c r="AL37" s="506"/>
      <c r="AM37" s="506"/>
      <c r="AN37" s="506"/>
      <c r="AO37" s="506"/>
      <c r="AP37" s="506"/>
      <c r="AQ37" s="506"/>
      <c r="AR37" s="506"/>
      <c r="AS37" s="506"/>
      <c r="AT37" s="506"/>
      <c r="AU37" s="506"/>
      <c r="AV37" s="969"/>
    </row>
    <row r="38" spans="1:48">
      <c r="A38" s="145"/>
      <c r="B38" s="153" t="s">
        <v>16</v>
      </c>
      <c r="C38" s="164" t="s">
        <v>707</v>
      </c>
      <c r="D38" s="147"/>
      <c r="E38" s="163"/>
      <c r="F38" s="979"/>
      <c r="G38" s="147" t="s">
        <v>16</v>
      </c>
      <c r="H38" s="147" t="s">
        <v>565</v>
      </c>
      <c r="I38" s="979"/>
      <c r="J38" s="982"/>
      <c r="K38" s="970"/>
      <c r="L38" s="984"/>
      <c r="M38" s="980"/>
      <c r="N38" s="147" t="s">
        <v>25</v>
      </c>
      <c r="O38" s="154" t="s">
        <v>59</v>
      </c>
      <c r="P38" s="291">
        <v>1</v>
      </c>
      <c r="Q38" s="285">
        <v>15</v>
      </c>
      <c r="R38" s="153"/>
      <c r="S38" s="147"/>
      <c r="T38" s="152"/>
      <c r="U38" s="151"/>
      <c r="V38" s="150"/>
      <c r="W38" s="241"/>
      <c r="X38" s="201"/>
      <c r="Y38" s="257"/>
      <c r="Z38" s="222"/>
      <c r="AA38" s="147"/>
      <c r="AB38" s="154"/>
      <c r="AC38" s="145"/>
      <c r="AD38" s="986"/>
      <c r="AE38" s="967"/>
      <c r="AF38" s="507"/>
      <c r="AG38" s="507"/>
      <c r="AH38" s="507"/>
      <c r="AI38" s="507"/>
      <c r="AJ38" s="507"/>
      <c r="AK38" s="507"/>
      <c r="AL38" s="507"/>
      <c r="AM38" s="507"/>
      <c r="AN38" s="507"/>
      <c r="AO38" s="507"/>
      <c r="AP38" s="507"/>
      <c r="AQ38" s="507"/>
      <c r="AR38" s="507"/>
      <c r="AS38" s="507"/>
      <c r="AT38" s="507"/>
      <c r="AU38" s="507"/>
      <c r="AV38" s="970"/>
    </row>
    <row r="39" spans="1:48">
      <c r="A39" s="145"/>
      <c r="B39" s="153" t="s">
        <v>18</v>
      </c>
      <c r="C39" s="162" t="s">
        <v>633</v>
      </c>
      <c r="D39" s="147"/>
      <c r="E39" s="147"/>
      <c r="F39" s="979"/>
      <c r="G39" s="147" t="s">
        <v>18</v>
      </c>
      <c r="H39" s="147" t="s">
        <v>19</v>
      </c>
      <c r="I39" s="979"/>
      <c r="J39" s="982"/>
      <c r="K39" s="970"/>
      <c r="L39" s="984"/>
      <c r="M39" s="980"/>
      <c r="N39" s="147"/>
      <c r="O39" s="154"/>
      <c r="P39" s="256"/>
      <c r="Q39" s="285"/>
      <c r="R39" s="153" t="s">
        <v>16</v>
      </c>
      <c r="S39" s="147" t="s">
        <v>15</v>
      </c>
      <c r="T39" s="152">
        <v>1</v>
      </c>
      <c r="U39" s="214">
        <v>1</v>
      </c>
      <c r="V39" s="150" t="s">
        <v>654</v>
      </c>
      <c r="W39" s="258">
        <v>0</v>
      </c>
      <c r="X39" s="258">
        <v>0</v>
      </c>
      <c r="Y39" s="258">
        <v>21</v>
      </c>
      <c r="Z39" s="222">
        <f>W39+X39+Y39</f>
        <v>21</v>
      </c>
      <c r="AA39" s="147"/>
      <c r="AB39" s="154"/>
      <c r="AC39" s="145"/>
      <c r="AD39" s="986"/>
      <c r="AE39" s="967"/>
      <c r="AF39" s="507"/>
      <c r="AG39" s="507"/>
      <c r="AH39" s="507"/>
      <c r="AI39" s="507"/>
      <c r="AJ39" s="507"/>
      <c r="AK39" s="507"/>
      <c r="AL39" s="507"/>
      <c r="AM39" s="507"/>
      <c r="AN39" s="507"/>
      <c r="AO39" s="507"/>
      <c r="AP39" s="507"/>
      <c r="AQ39" s="507"/>
      <c r="AR39" s="507"/>
      <c r="AS39" s="507"/>
      <c r="AT39" s="507"/>
      <c r="AU39" s="507"/>
      <c r="AV39" s="970"/>
    </row>
    <row r="40" spans="1:48" ht="54.75" customHeight="1">
      <c r="A40" s="145"/>
      <c r="B40" s="153" t="s">
        <v>12</v>
      </c>
      <c r="C40" s="156" t="s">
        <v>706</v>
      </c>
      <c r="D40" s="146"/>
      <c r="E40" s="154"/>
      <c r="F40" s="979"/>
      <c r="G40" s="147"/>
      <c r="H40" s="146"/>
      <c r="I40" s="979"/>
      <c r="J40" s="982"/>
      <c r="K40" s="970"/>
      <c r="L40" s="984"/>
      <c r="M40" s="980"/>
      <c r="N40" s="147"/>
      <c r="O40" s="196"/>
      <c r="P40" s="291"/>
      <c r="Q40" s="285"/>
      <c r="R40" s="218"/>
      <c r="S40" s="163"/>
      <c r="T40" s="152"/>
      <c r="U40" s="214"/>
      <c r="V40" s="150"/>
      <c r="W40" s="241"/>
      <c r="X40" s="201"/>
      <c r="Y40" s="257"/>
      <c r="Z40" s="222"/>
      <c r="AA40" s="147"/>
      <c r="AB40" s="154"/>
      <c r="AC40" s="145"/>
      <c r="AD40" s="986"/>
      <c r="AE40" s="967"/>
      <c r="AF40" s="507"/>
      <c r="AG40" s="507"/>
      <c r="AH40" s="507"/>
      <c r="AI40" s="507"/>
      <c r="AJ40" s="507"/>
      <c r="AK40" s="507"/>
      <c r="AL40" s="507"/>
      <c r="AM40" s="507"/>
      <c r="AN40" s="507"/>
      <c r="AO40" s="507"/>
      <c r="AP40" s="507"/>
      <c r="AQ40" s="507"/>
      <c r="AR40" s="507"/>
      <c r="AS40" s="507"/>
      <c r="AT40" s="507"/>
      <c r="AU40" s="507"/>
      <c r="AV40" s="970"/>
    </row>
    <row r="41" spans="1:48">
      <c r="A41" s="145"/>
      <c r="B41" s="153" t="s">
        <v>8</v>
      </c>
      <c r="C41" s="220" t="s">
        <v>705</v>
      </c>
      <c r="D41" s="146"/>
      <c r="E41" s="154"/>
      <c r="F41" s="979"/>
      <c r="G41" s="147"/>
      <c r="H41" s="146"/>
      <c r="I41" s="979"/>
      <c r="J41" s="982"/>
      <c r="K41" s="970"/>
      <c r="L41" s="984"/>
      <c r="M41" s="980"/>
      <c r="N41" s="147"/>
      <c r="O41" s="154"/>
      <c r="P41" s="291"/>
      <c r="Q41" s="285"/>
      <c r="R41" s="218"/>
      <c r="S41" s="163"/>
      <c r="T41" s="152"/>
      <c r="U41" s="214"/>
      <c r="V41" s="150"/>
      <c r="W41" s="202"/>
      <c r="X41" s="201"/>
      <c r="Y41" s="202"/>
      <c r="Z41" s="222"/>
      <c r="AA41" s="147"/>
      <c r="AB41" s="154"/>
      <c r="AC41" s="145"/>
      <c r="AD41" s="986"/>
      <c r="AE41" s="967"/>
      <c r="AF41" s="507"/>
      <c r="AG41" s="507"/>
      <c r="AH41" s="507"/>
      <c r="AI41" s="507"/>
      <c r="AJ41" s="507"/>
      <c r="AK41" s="507"/>
      <c r="AL41" s="507"/>
      <c r="AM41" s="507"/>
      <c r="AN41" s="507"/>
      <c r="AO41" s="507"/>
      <c r="AP41" s="507"/>
      <c r="AQ41" s="507"/>
      <c r="AR41" s="507"/>
      <c r="AS41" s="507"/>
      <c r="AT41" s="507"/>
      <c r="AU41" s="507"/>
      <c r="AV41" s="970"/>
    </row>
    <row r="42" spans="1:48">
      <c r="A42" s="145"/>
      <c r="B42" s="153"/>
      <c r="C42" s="156"/>
      <c r="D42" s="146"/>
      <c r="E42" s="154"/>
      <c r="F42" s="979"/>
      <c r="G42" s="147"/>
      <c r="H42" s="146"/>
      <c r="I42" s="979"/>
      <c r="J42" s="982"/>
      <c r="K42" s="970"/>
      <c r="L42" s="984"/>
      <c r="M42" s="980"/>
      <c r="N42" s="147"/>
      <c r="O42" s="154"/>
      <c r="P42" s="256"/>
      <c r="Q42" s="285"/>
      <c r="R42" s="218"/>
      <c r="S42" s="163"/>
      <c r="T42" s="152"/>
      <c r="U42" s="214"/>
      <c r="V42" s="150"/>
      <c r="W42" s="202"/>
      <c r="X42" s="201"/>
      <c r="Y42" s="202"/>
      <c r="Z42" s="222"/>
      <c r="AA42" s="147"/>
      <c r="AB42" s="154"/>
      <c r="AC42" s="145"/>
      <c r="AD42" s="986"/>
      <c r="AE42" s="967"/>
      <c r="AF42" s="507"/>
      <c r="AG42" s="507"/>
      <c r="AH42" s="507"/>
      <c r="AI42" s="507"/>
      <c r="AJ42" s="507"/>
      <c r="AK42" s="507"/>
      <c r="AL42" s="507"/>
      <c r="AM42" s="507"/>
      <c r="AN42" s="507"/>
      <c r="AO42" s="507"/>
      <c r="AP42" s="507"/>
      <c r="AQ42" s="507"/>
      <c r="AR42" s="507"/>
      <c r="AS42" s="507"/>
      <c r="AT42" s="507"/>
      <c r="AU42" s="507"/>
      <c r="AV42" s="970"/>
    </row>
    <row r="43" spans="1:48">
      <c r="A43" s="129"/>
      <c r="B43" s="137"/>
      <c r="C43" s="141"/>
      <c r="D43" s="130"/>
      <c r="E43" s="138"/>
      <c r="F43" s="992"/>
      <c r="G43" s="131"/>
      <c r="H43" s="130"/>
      <c r="I43" s="992"/>
      <c r="J43" s="993"/>
      <c r="K43" s="971"/>
      <c r="L43" s="994"/>
      <c r="M43" s="985"/>
      <c r="N43" s="131"/>
      <c r="O43" s="138"/>
      <c r="P43" s="306"/>
      <c r="Q43" s="305"/>
      <c r="R43" s="137"/>
      <c r="S43" s="131"/>
      <c r="T43" s="136"/>
      <c r="U43" s="210"/>
      <c r="V43" s="134"/>
      <c r="W43" s="133"/>
      <c r="X43" s="132"/>
      <c r="Y43" s="133"/>
      <c r="Z43" s="232"/>
      <c r="AA43" s="131"/>
      <c r="AB43" s="138"/>
      <c r="AC43" s="129"/>
      <c r="AD43" s="987"/>
      <c r="AE43" s="968"/>
      <c r="AF43" s="508"/>
      <c r="AG43" s="508"/>
      <c r="AH43" s="508"/>
      <c r="AI43" s="508"/>
      <c r="AJ43" s="508"/>
      <c r="AK43" s="508"/>
      <c r="AL43" s="508"/>
      <c r="AM43" s="508"/>
      <c r="AN43" s="508"/>
      <c r="AO43" s="508"/>
      <c r="AP43" s="508"/>
      <c r="AQ43" s="508"/>
      <c r="AR43" s="508"/>
      <c r="AS43" s="508"/>
      <c r="AT43" s="508"/>
      <c r="AU43" s="508"/>
      <c r="AV43" s="971"/>
    </row>
    <row r="44" spans="1:48">
      <c r="A44" s="185" t="s">
        <v>704</v>
      </c>
      <c r="B44" s="176" t="s">
        <v>25</v>
      </c>
      <c r="C44" s="184" t="s">
        <v>703</v>
      </c>
      <c r="D44" s="176" t="s">
        <v>25</v>
      </c>
      <c r="E44" s="170" t="s">
        <v>702</v>
      </c>
      <c r="F44" s="978" t="s">
        <v>701</v>
      </c>
      <c r="G44" s="182" t="s">
        <v>25</v>
      </c>
      <c r="H44" s="181" t="s">
        <v>650</v>
      </c>
      <c r="I44" s="998">
        <v>1038</v>
      </c>
      <c r="J44" s="981" t="s">
        <v>46</v>
      </c>
      <c r="K44" s="969" t="s">
        <v>700</v>
      </c>
      <c r="L44" s="983" t="s">
        <v>46</v>
      </c>
      <c r="M44" s="996"/>
      <c r="N44" s="183"/>
      <c r="O44" s="270"/>
      <c r="P44" s="304"/>
      <c r="Q44" s="170"/>
      <c r="R44" s="176" t="s">
        <v>25</v>
      </c>
      <c r="S44" s="170" t="s">
        <v>24</v>
      </c>
      <c r="T44" s="175"/>
      <c r="U44" s="303"/>
      <c r="V44" s="173"/>
      <c r="W44" s="206"/>
      <c r="X44" s="205"/>
      <c r="Y44" s="206"/>
      <c r="Z44" s="201"/>
      <c r="AA44" s="183"/>
      <c r="AB44" s="270"/>
      <c r="AC44" s="168"/>
      <c r="AD44" s="995"/>
      <c r="AE44" s="966"/>
      <c r="AF44" s="506"/>
      <c r="AG44" s="506"/>
      <c r="AH44" s="506"/>
      <c r="AI44" s="506"/>
      <c r="AJ44" s="506"/>
      <c r="AK44" s="506"/>
      <c r="AL44" s="506"/>
      <c r="AM44" s="506"/>
      <c r="AN44" s="506"/>
      <c r="AO44" s="506"/>
      <c r="AP44" s="506"/>
      <c r="AQ44" s="506"/>
      <c r="AR44" s="506"/>
      <c r="AS44" s="506"/>
      <c r="AT44" s="506"/>
      <c r="AU44" s="506"/>
      <c r="AV44" s="969"/>
    </row>
    <row r="45" spans="1:48">
      <c r="A45" s="145"/>
      <c r="B45" s="153" t="s">
        <v>16</v>
      </c>
      <c r="C45" s="164" t="s">
        <v>699</v>
      </c>
      <c r="D45" s="153" t="s">
        <v>16</v>
      </c>
      <c r="E45" s="163" t="s">
        <v>698</v>
      </c>
      <c r="F45" s="979"/>
      <c r="G45" s="147" t="s">
        <v>16</v>
      </c>
      <c r="H45" s="147" t="s">
        <v>565</v>
      </c>
      <c r="I45" s="979"/>
      <c r="J45" s="982"/>
      <c r="K45" s="970"/>
      <c r="L45" s="984"/>
      <c r="M45" s="980"/>
      <c r="N45" s="147"/>
      <c r="O45" s="163"/>
      <c r="P45" s="256"/>
      <c r="Q45" s="147"/>
      <c r="R45" s="153"/>
      <c r="S45" s="147"/>
      <c r="T45" s="152"/>
      <c r="U45" s="302"/>
      <c r="V45" s="150"/>
      <c r="W45" s="241"/>
      <c r="X45" s="201"/>
      <c r="Y45" s="257"/>
      <c r="Z45" s="201"/>
      <c r="AA45" s="147"/>
      <c r="AB45" s="154"/>
      <c r="AC45" s="145"/>
      <c r="AD45" s="986"/>
      <c r="AE45" s="967"/>
      <c r="AF45" s="507"/>
      <c r="AG45" s="507"/>
      <c r="AH45" s="507"/>
      <c r="AI45" s="507"/>
      <c r="AJ45" s="507"/>
      <c r="AK45" s="507"/>
      <c r="AL45" s="507"/>
      <c r="AM45" s="507"/>
      <c r="AN45" s="507"/>
      <c r="AO45" s="507"/>
      <c r="AP45" s="507"/>
      <c r="AQ45" s="507"/>
      <c r="AR45" s="507"/>
      <c r="AS45" s="507"/>
      <c r="AT45" s="507"/>
      <c r="AU45" s="507"/>
      <c r="AV45" s="970"/>
    </row>
    <row r="46" spans="1:48">
      <c r="A46" s="145"/>
      <c r="B46" s="153" t="s">
        <v>18</v>
      </c>
      <c r="C46" s="162" t="s">
        <v>107</v>
      </c>
      <c r="D46" s="153" t="s">
        <v>18</v>
      </c>
      <c r="E46" s="147" t="s">
        <v>38</v>
      </c>
      <c r="F46" s="979"/>
      <c r="G46" s="147" t="s">
        <v>18</v>
      </c>
      <c r="H46" s="147" t="s">
        <v>19</v>
      </c>
      <c r="I46" s="979"/>
      <c r="J46" s="982"/>
      <c r="K46" s="970"/>
      <c r="L46" s="984"/>
      <c r="M46" s="980"/>
      <c r="N46" s="147"/>
      <c r="O46" s="163"/>
      <c r="P46" s="256"/>
      <c r="Q46" s="147"/>
      <c r="R46" s="153" t="s">
        <v>16</v>
      </c>
      <c r="S46" s="147" t="s">
        <v>15</v>
      </c>
      <c r="T46" s="152">
        <v>1</v>
      </c>
      <c r="U46" s="302">
        <v>1</v>
      </c>
      <c r="V46" s="150" t="s">
        <v>654</v>
      </c>
      <c r="W46" s="258">
        <v>0</v>
      </c>
      <c r="X46" s="258">
        <v>0</v>
      </c>
      <c r="Y46" s="258">
        <v>5</v>
      </c>
      <c r="Z46" s="222">
        <f>W46+X46+Y46</f>
        <v>5</v>
      </c>
      <c r="AA46" s="147"/>
      <c r="AB46" s="163"/>
      <c r="AC46" s="145"/>
      <c r="AD46" s="986"/>
      <c r="AE46" s="967"/>
      <c r="AF46" s="507"/>
      <c r="AG46" s="507"/>
      <c r="AH46" s="507"/>
      <c r="AI46" s="507"/>
      <c r="AJ46" s="507"/>
      <c r="AK46" s="507"/>
      <c r="AL46" s="507"/>
      <c r="AM46" s="507"/>
      <c r="AN46" s="507"/>
      <c r="AO46" s="507"/>
      <c r="AP46" s="507"/>
      <c r="AQ46" s="507"/>
      <c r="AR46" s="507"/>
      <c r="AS46" s="507"/>
      <c r="AT46" s="507"/>
      <c r="AU46" s="507"/>
      <c r="AV46" s="970"/>
    </row>
    <row r="47" spans="1:48" ht="84" customHeight="1">
      <c r="A47" s="145"/>
      <c r="B47" s="157" t="s">
        <v>12</v>
      </c>
      <c r="C47" s="156" t="s">
        <v>689</v>
      </c>
      <c r="D47" s="157" t="s">
        <v>12</v>
      </c>
      <c r="E47" s="154" t="s">
        <v>697</v>
      </c>
      <c r="F47" s="979"/>
      <c r="G47" s="147"/>
      <c r="H47" s="146"/>
      <c r="I47" s="979"/>
      <c r="J47" s="982"/>
      <c r="K47" s="970"/>
      <c r="L47" s="984"/>
      <c r="M47" s="980"/>
      <c r="N47" s="147"/>
      <c r="O47" s="163"/>
      <c r="P47" s="256"/>
      <c r="Q47" s="147"/>
      <c r="R47" s="153"/>
      <c r="S47" s="163"/>
      <c r="T47" s="226"/>
      <c r="U47" s="299"/>
      <c r="V47" s="298"/>
      <c r="W47" s="301"/>
      <c r="X47" s="222"/>
      <c r="Y47" s="300"/>
      <c r="Z47" s="222"/>
      <c r="AA47" s="147"/>
      <c r="AB47" s="163"/>
      <c r="AC47" s="152"/>
      <c r="AD47" s="986"/>
      <c r="AE47" s="967"/>
      <c r="AF47" s="507"/>
      <c r="AG47" s="507"/>
      <c r="AH47" s="507"/>
      <c r="AI47" s="507"/>
      <c r="AJ47" s="507"/>
      <c r="AK47" s="507"/>
      <c r="AL47" s="507"/>
      <c r="AM47" s="507"/>
      <c r="AN47" s="507"/>
      <c r="AO47" s="507"/>
      <c r="AP47" s="507"/>
      <c r="AQ47" s="507"/>
      <c r="AR47" s="507"/>
      <c r="AS47" s="507"/>
      <c r="AT47" s="507"/>
      <c r="AU47" s="507"/>
      <c r="AV47" s="970"/>
    </row>
    <row r="48" spans="1:48">
      <c r="A48" s="145"/>
      <c r="B48" s="153" t="s">
        <v>8</v>
      </c>
      <c r="C48" s="162" t="s">
        <v>696</v>
      </c>
      <c r="D48" s="153" t="s">
        <v>8</v>
      </c>
      <c r="E48" s="271" t="s">
        <v>695</v>
      </c>
      <c r="F48" s="979"/>
      <c r="G48" s="147"/>
      <c r="H48" s="146"/>
      <c r="I48" s="979"/>
      <c r="J48" s="982"/>
      <c r="K48" s="970"/>
      <c r="L48" s="984"/>
      <c r="M48" s="980"/>
      <c r="N48" s="147"/>
      <c r="O48" s="163"/>
      <c r="P48" s="256"/>
      <c r="Q48" s="147"/>
      <c r="R48" s="153"/>
      <c r="S48" s="163"/>
      <c r="T48" s="226"/>
      <c r="U48" s="299"/>
      <c r="V48" s="298"/>
      <c r="W48" s="297"/>
      <c r="X48" s="222"/>
      <c r="Y48" s="297"/>
      <c r="Z48" s="222"/>
      <c r="AA48" s="147"/>
      <c r="AB48" s="163"/>
      <c r="AC48" s="152"/>
      <c r="AD48" s="986"/>
      <c r="AE48" s="967"/>
      <c r="AF48" s="507"/>
      <c r="AG48" s="507"/>
      <c r="AH48" s="507"/>
      <c r="AI48" s="507"/>
      <c r="AJ48" s="507"/>
      <c r="AK48" s="507"/>
      <c r="AL48" s="507"/>
      <c r="AM48" s="507"/>
      <c r="AN48" s="507"/>
      <c r="AO48" s="507"/>
      <c r="AP48" s="507"/>
      <c r="AQ48" s="507"/>
      <c r="AR48" s="507"/>
      <c r="AS48" s="507"/>
      <c r="AT48" s="507"/>
      <c r="AU48" s="507"/>
      <c r="AV48" s="970"/>
    </row>
    <row r="49" spans="1:48">
      <c r="A49" s="145"/>
      <c r="B49" s="157"/>
      <c r="C49" s="156"/>
      <c r="D49" s="157"/>
      <c r="E49" s="156"/>
      <c r="F49" s="979"/>
      <c r="G49" s="147"/>
      <c r="H49" s="146"/>
      <c r="I49" s="979"/>
      <c r="J49" s="982"/>
      <c r="K49" s="970"/>
      <c r="L49" s="984"/>
      <c r="M49" s="980"/>
      <c r="N49" s="147"/>
      <c r="O49" s="163"/>
      <c r="P49" s="256"/>
      <c r="Q49" s="147"/>
      <c r="R49" s="153"/>
      <c r="S49" s="163"/>
      <c r="T49" s="226"/>
      <c r="U49" s="299"/>
      <c r="V49" s="298"/>
      <c r="W49" s="297"/>
      <c r="X49" s="222"/>
      <c r="Y49" s="297"/>
      <c r="Z49" s="222"/>
      <c r="AA49" s="147"/>
      <c r="AB49" s="163"/>
      <c r="AC49" s="152"/>
      <c r="AD49" s="986"/>
      <c r="AE49" s="967"/>
      <c r="AF49" s="507"/>
      <c r="AG49" s="507"/>
      <c r="AH49" s="507"/>
      <c r="AI49" s="507"/>
      <c r="AJ49" s="507"/>
      <c r="AK49" s="507"/>
      <c r="AL49" s="507"/>
      <c r="AM49" s="507"/>
      <c r="AN49" s="507"/>
      <c r="AO49" s="507"/>
      <c r="AP49" s="507"/>
      <c r="AQ49" s="507"/>
      <c r="AR49" s="507"/>
      <c r="AS49" s="507"/>
      <c r="AT49" s="507"/>
      <c r="AU49" s="507"/>
      <c r="AV49" s="970"/>
    </row>
    <row r="50" spans="1:48">
      <c r="A50" s="145"/>
      <c r="B50" s="157"/>
      <c r="C50" s="156"/>
      <c r="D50" s="146"/>
      <c r="E50" s="154"/>
      <c r="F50" s="979"/>
      <c r="G50" s="147"/>
      <c r="H50" s="146"/>
      <c r="I50" s="992"/>
      <c r="J50" s="993"/>
      <c r="K50" s="971"/>
      <c r="L50" s="994"/>
      <c r="M50" s="985"/>
      <c r="N50" s="131"/>
      <c r="O50" s="138"/>
      <c r="P50" s="129"/>
      <c r="Q50" s="130"/>
      <c r="R50" s="137"/>
      <c r="S50" s="163"/>
      <c r="T50" s="226"/>
      <c r="U50" s="299"/>
      <c r="V50" s="298"/>
      <c r="W50" s="297"/>
      <c r="X50" s="222"/>
      <c r="Y50" s="297"/>
      <c r="Z50" s="222"/>
      <c r="AA50" s="147"/>
      <c r="AB50" s="163"/>
      <c r="AC50" s="152"/>
      <c r="AD50" s="986"/>
      <c r="AE50" s="967"/>
      <c r="AF50" s="507"/>
      <c r="AG50" s="507"/>
      <c r="AH50" s="507"/>
      <c r="AI50" s="507"/>
      <c r="AJ50" s="507"/>
      <c r="AK50" s="507"/>
      <c r="AL50" s="507"/>
      <c r="AM50" s="507"/>
      <c r="AN50" s="507"/>
      <c r="AO50" s="507"/>
      <c r="AP50" s="507"/>
      <c r="AQ50" s="507"/>
      <c r="AR50" s="507"/>
      <c r="AS50" s="507"/>
      <c r="AT50" s="507"/>
      <c r="AU50" s="507"/>
      <c r="AV50" s="970"/>
    </row>
    <row r="51" spans="1:48">
      <c r="A51" s="185" t="s">
        <v>694</v>
      </c>
      <c r="B51" s="176" t="s">
        <v>25</v>
      </c>
      <c r="C51" s="184" t="s">
        <v>693</v>
      </c>
      <c r="D51" s="183"/>
      <c r="E51" s="170"/>
      <c r="F51" s="978" t="s">
        <v>692</v>
      </c>
      <c r="G51" s="182" t="s">
        <v>25</v>
      </c>
      <c r="H51" s="181" t="s">
        <v>650</v>
      </c>
      <c r="I51" s="979">
        <v>2198</v>
      </c>
      <c r="J51" s="982" t="s">
        <v>46</v>
      </c>
      <c r="K51" s="970" t="s">
        <v>691</v>
      </c>
      <c r="L51" s="997" t="s">
        <v>46</v>
      </c>
      <c r="M51" s="980"/>
      <c r="N51" s="147"/>
      <c r="O51" s="163" t="s">
        <v>820</v>
      </c>
      <c r="P51" s="256"/>
      <c r="Q51" s="147"/>
      <c r="R51" s="218" t="s">
        <v>25</v>
      </c>
      <c r="S51" s="170" t="s">
        <v>24</v>
      </c>
      <c r="T51" s="175"/>
      <c r="U51" s="174"/>
      <c r="V51" s="173"/>
      <c r="W51" s="206"/>
      <c r="X51" s="205"/>
      <c r="Y51" s="206"/>
      <c r="Z51" s="205"/>
      <c r="AA51" s="183"/>
      <c r="AB51" s="296"/>
      <c r="AC51" s="168"/>
      <c r="AD51" s="995"/>
      <c r="AE51" s="966"/>
      <c r="AF51" s="506"/>
      <c r="AG51" s="506"/>
      <c r="AH51" s="506"/>
      <c r="AI51" s="506"/>
      <c r="AJ51" s="506"/>
      <c r="AK51" s="506"/>
      <c r="AL51" s="506"/>
      <c r="AM51" s="506"/>
      <c r="AN51" s="506"/>
      <c r="AO51" s="506"/>
      <c r="AP51" s="506"/>
      <c r="AQ51" s="506"/>
      <c r="AR51" s="506"/>
      <c r="AS51" s="506"/>
      <c r="AT51" s="506"/>
      <c r="AU51" s="506"/>
      <c r="AV51" s="969"/>
    </row>
    <row r="52" spans="1:48">
      <c r="A52" s="145"/>
      <c r="B52" s="153" t="s">
        <v>16</v>
      </c>
      <c r="C52" s="164" t="s">
        <v>690</v>
      </c>
      <c r="D52" s="147"/>
      <c r="E52" s="163"/>
      <c r="F52" s="979"/>
      <c r="G52" s="147" t="s">
        <v>16</v>
      </c>
      <c r="H52" s="147" t="s">
        <v>565</v>
      </c>
      <c r="I52" s="979"/>
      <c r="J52" s="982"/>
      <c r="K52" s="970"/>
      <c r="L52" s="984"/>
      <c r="M52" s="980"/>
      <c r="N52" s="147" t="s">
        <v>25</v>
      </c>
      <c r="O52" s="163" t="s">
        <v>52</v>
      </c>
      <c r="P52" s="256">
        <v>1</v>
      </c>
      <c r="Q52" s="194">
        <v>6.48</v>
      </c>
      <c r="R52" s="153"/>
      <c r="S52" s="147"/>
      <c r="T52" s="152"/>
      <c r="U52" s="151"/>
      <c r="V52" s="150"/>
      <c r="W52" s="241"/>
      <c r="X52" s="201"/>
      <c r="Y52" s="257"/>
      <c r="Z52" s="201"/>
      <c r="AA52" s="147"/>
      <c r="AB52" s="154"/>
      <c r="AC52" s="145"/>
      <c r="AD52" s="986"/>
      <c r="AE52" s="967"/>
      <c r="AF52" s="507"/>
      <c r="AG52" s="507"/>
      <c r="AH52" s="507"/>
      <c r="AI52" s="507"/>
      <c r="AJ52" s="507"/>
      <c r="AK52" s="507"/>
      <c r="AL52" s="507"/>
      <c r="AM52" s="507"/>
      <c r="AN52" s="507"/>
      <c r="AO52" s="507"/>
      <c r="AP52" s="507"/>
      <c r="AQ52" s="507"/>
      <c r="AR52" s="507"/>
      <c r="AS52" s="507"/>
      <c r="AT52" s="507"/>
      <c r="AU52" s="507"/>
      <c r="AV52" s="970"/>
    </row>
    <row r="53" spans="1:48">
      <c r="A53" s="145"/>
      <c r="B53" s="153" t="s">
        <v>18</v>
      </c>
      <c r="C53" s="162" t="s">
        <v>601</v>
      </c>
      <c r="D53" s="147"/>
      <c r="E53" s="147"/>
      <c r="F53" s="979"/>
      <c r="G53" s="147" t="s">
        <v>18</v>
      </c>
      <c r="H53" s="147" t="s">
        <v>19</v>
      </c>
      <c r="I53" s="979"/>
      <c r="J53" s="982"/>
      <c r="K53" s="970"/>
      <c r="L53" s="984"/>
      <c r="M53" s="980"/>
      <c r="N53" s="147"/>
      <c r="O53" s="163"/>
      <c r="P53" s="256"/>
      <c r="Q53" s="147"/>
      <c r="R53" s="153" t="s">
        <v>16</v>
      </c>
      <c r="S53" s="147" t="s">
        <v>15</v>
      </c>
      <c r="T53" s="152">
        <v>1</v>
      </c>
      <c r="U53" s="151">
        <v>1</v>
      </c>
      <c r="V53" s="150" t="s">
        <v>654</v>
      </c>
      <c r="W53" s="258">
        <v>0</v>
      </c>
      <c r="X53" s="258">
        <v>0</v>
      </c>
      <c r="Y53" s="258">
        <v>8</v>
      </c>
      <c r="Z53" s="222">
        <f>W53+X53+Y53</f>
        <v>8</v>
      </c>
      <c r="AA53" s="147"/>
      <c r="AB53" s="163"/>
      <c r="AC53" s="145"/>
      <c r="AD53" s="986"/>
      <c r="AE53" s="967"/>
      <c r="AF53" s="507"/>
      <c r="AG53" s="507"/>
      <c r="AH53" s="507"/>
      <c r="AI53" s="507"/>
      <c r="AJ53" s="507"/>
      <c r="AK53" s="507"/>
      <c r="AL53" s="507"/>
      <c r="AM53" s="507"/>
      <c r="AN53" s="507"/>
      <c r="AO53" s="507"/>
      <c r="AP53" s="507"/>
      <c r="AQ53" s="507"/>
      <c r="AR53" s="507"/>
      <c r="AS53" s="507"/>
      <c r="AT53" s="507"/>
      <c r="AU53" s="507"/>
      <c r="AV53" s="970"/>
    </row>
    <row r="54" spans="1:48" ht="52.5" customHeight="1">
      <c r="A54" s="145"/>
      <c r="B54" s="153" t="s">
        <v>12</v>
      </c>
      <c r="C54" s="156" t="s">
        <v>689</v>
      </c>
      <c r="D54" s="147"/>
      <c r="E54" s="154"/>
      <c r="F54" s="979"/>
      <c r="G54" s="147"/>
      <c r="H54" s="146"/>
      <c r="I54" s="979"/>
      <c r="J54" s="982"/>
      <c r="K54" s="970"/>
      <c r="L54" s="984"/>
      <c r="M54" s="980"/>
      <c r="N54" s="147"/>
      <c r="O54" s="154"/>
      <c r="P54" s="145"/>
      <c r="Q54" s="146"/>
      <c r="R54" s="218"/>
      <c r="S54" s="163"/>
      <c r="T54" s="152"/>
      <c r="U54" s="214"/>
      <c r="V54" s="150"/>
      <c r="W54" s="241"/>
      <c r="X54" s="201"/>
      <c r="Y54" s="257"/>
      <c r="Z54" s="222"/>
      <c r="AA54" s="147"/>
      <c r="AB54" s="163"/>
      <c r="AC54" s="152"/>
      <c r="AD54" s="986"/>
      <c r="AE54" s="967"/>
      <c r="AF54" s="507"/>
      <c r="AG54" s="507"/>
      <c r="AH54" s="507"/>
      <c r="AI54" s="507"/>
      <c r="AJ54" s="507"/>
      <c r="AK54" s="507"/>
      <c r="AL54" s="507"/>
      <c r="AM54" s="507"/>
      <c r="AN54" s="507"/>
      <c r="AO54" s="507"/>
      <c r="AP54" s="507"/>
      <c r="AQ54" s="507"/>
      <c r="AR54" s="507"/>
      <c r="AS54" s="507"/>
      <c r="AT54" s="507"/>
      <c r="AU54" s="507"/>
      <c r="AV54" s="970"/>
    </row>
    <row r="55" spans="1:48">
      <c r="A55" s="145"/>
      <c r="B55" s="153" t="s">
        <v>8</v>
      </c>
      <c r="C55" s="156" t="s">
        <v>688</v>
      </c>
      <c r="D55" s="147"/>
      <c r="E55" s="154"/>
      <c r="F55" s="979"/>
      <c r="G55" s="147"/>
      <c r="H55" s="146"/>
      <c r="I55" s="979"/>
      <c r="J55" s="982"/>
      <c r="K55" s="970"/>
      <c r="L55" s="984"/>
      <c r="M55" s="980"/>
      <c r="N55" s="147"/>
      <c r="O55" s="163"/>
      <c r="P55" s="256"/>
      <c r="Q55" s="147"/>
      <c r="R55" s="218"/>
      <c r="S55" s="163"/>
      <c r="T55" s="152"/>
      <c r="U55" s="214"/>
      <c r="V55" s="150"/>
      <c r="W55" s="202"/>
      <c r="X55" s="201"/>
      <c r="Y55" s="202"/>
      <c r="Z55" s="222"/>
      <c r="AA55" s="147"/>
      <c r="AB55" s="163"/>
      <c r="AC55" s="152"/>
      <c r="AD55" s="986"/>
      <c r="AE55" s="967"/>
      <c r="AF55" s="507"/>
      <c r="AG55" s="507"/>
      <c r="AH55" s="507"/>
      <c r="AI55" s="507"/>
      <c r="AJ55" s="507"/>
      <c r="AK55" s="507"/>
      <c r="AL55" s="507"/>
      <c r="AM55" s="507"/>
      <c r="AN55" s="507"/>
      <c r="AO55" s="507"/>
      <c r="AP55" s="507"/>
      <c r="AQ55" s="507"/>
      <c r="AR55" s="507"/>
      <c r="AS55" s="507"/>
      <c r="AT55" s="507"/>
      <c r="AU55" s="507"/>
      <c r="AV55" s="970"/>
    </row>
    <row r="56" spans="1:48">
      <c r="A56" s="145"/>
      <c r="B56" s="153"/>
      <c r="C56" s="156"/>
      <c r="D56" s="147"/>
      <c r="E56" s="154"/>
      <c r="F56" s="979"/>
      <c r="G56" s="147"/>
      <c r="H56" s="146"/>
      <c r="I56" s="979"/>
      <c r="J56" s="982"/>
      <c r="K56" s="970"/>
      <c r="L56" s="984"/>
      <c r="M56" s="980"/>
      <c r="N56" s="147"/>
      <c r="O56" s="163"/>
      <c r="P56" s="256"/>
      <c r="Q56" s="194"/>
      <c r="R56" s="218"/>
      <c r="S56" s="163"/>
      <c r="T56" s="152"/>
      <c r="U56" s="214"/>
      <c r="V56" s="150"/>
      <c r="W56" s="202"/>
      <c r="X56" s="201"/>
      <c r="Y56" s="202"/>
      <c r="Z56" s="222"/>
      <c r="AA56" s="147"/>
      <c r="AB56" s="163"/>
      <c r="AC56" s="152"/>
      <c r="AD56" s="986"/>
      <c r="AE56" s="967"/>
      <c r="AF56" s="507"/>
      <c r="AG56" s="507"/>
      <c r="AH56" s="507"/>
      <c r="AI56" s="507"/>
      <c r="AJ56" s="507"/>
      <c r="AK56" s="507"/>
      <c r="AL56" s="507"/>
      <c r="AM56" s="507"/>
      <c r="AN56" s="507"/>
      <c r="AO56" s="507"/>
      <c r="AP56" s="507"/>
      <c r="AQ56" s="507"/>
      <c r="AR56" s="507"/>
      <c r="AS56" s="507"/>
      <c r="AT56" s="507"/>
      <c r="AU56" s="507"/>
      <c r="AV56" s="970"/>
    </row>
    <row r="57" spans="1:48">
      <c r="A57" s="129"/>
      <c r="B57" s="137"/>
      <c r="C57" s="141"/>
      <c r="D57" s="131"/>
      <c r="E57" s="140"/>
      <c r="F57" s="992"/>
      <c r="G57" s="131"/>
      <c r="H57" s="130"/>
      <c r="I57" s="992"/>
      <c r="J57" s="993"/>
      <c r="K57" s="971"/>
      <c r="L57" s="994"/>
      <c r="M57" s="985"/>
      <c r="N57" s="131"/>
      <c r="O57" s="138"/>
      <c r="P57" s="129"/>
      <c r="Q57" s="130"/>
      <c r="R57" s="137"/>
      <c r="S57" s="131"/>
      <c r="T57" s="136"/>
      <c r="U57" s="210"/>
      <c r="V57" s="134"/>
      <c r="W57" s="133"/>
      <c r="X57" s="132"/>
      <c r="Y57" s="133"/>
      <c r="Z57" s="232"/>
      <c r="AA57" s="131"/>
      <c r="AB57" s="227"/>
      <c r="AC57" s="136"/>
      <c r="AD57" s="987"/>
      <c r="AE57" s="968"/>
      <c r="AF57" s="508"/>
      <c r="AG57" s="508"/>
      <c r="AH57" s="508"/>
      <c r="AI57" s="508"/>
      <c r="AJ57" s="508"/>
      <c r="AK57" s="508"/>
      <c r="AL57" s="508"/>
      <c r="AM57" s="508"/>
      <c r="AN57" s="508"/>
      <c r="AO57" s="508"/>
      <c r="AP57" s="508"/>
      <c r="AQ57" s="508"/>
      <c r="AR57" s="508"/>
      <c r="AS57" s="508"/>
      <c r="AT57" s="508"/>
      <c r="AU57" s="508"/>
      <c r="AV57" s="971"/>
    </row>
    <row r="58" spans="1:48">
      <c r="A58" s="185" t="s">
        <v>687</v>
      </c>
      <c r="B58" s="176" t="s">
        <v>25</v>
      </c>
      <c r="C58" s="184" t="s">
        <v>686</v>
      </c>
      <c r="D58" s="170"/>
      <c r="E58" s="278"/>
      <c r="F58" s="998" t="e">
        <f>#REF!</f>
        <v>#REF!</v>
      </c>
      <c r="G58" s="182" t="s">
        <v>25</v>
      </c>
      <c r="H58" s="181" t="s">
        <v>650</v>
      </c>
      <c r="I58" s="998">
        <v>1078</v>
      </c>
      <c r="J58" s="174"/>
      <c r="K58" s="969" t="s">
        <v>685</v>
      </c>
      <c r="L58" s="983" t="s">
        <v>46</v>
      </c>
      <c r="M58" s="996"/>
      <c r="N58" s="183"/>
      <c r="O58" s="179"/>
      <c r="P58" s="178"/>
      <c r="Q58" s="177"/>
      <c r="R58" s="176"/>
      <c r="S58" s="170"/>
      <c r="T58" s="175"/>
      <c r="U58" s="174"/>
      <c r="V58" s="173"/>
      <c r="W58" s="206"/>
      <c r="X58" s="205"/>
      <c r="Y58" s="206"/>
      <c r="Z58" s="201"/>
      <c r="AA58" s="183"/>
      <c r="AB58" s="270"/>
      <c r="AC58" s="168"/>
      <c r="AD58" s="995"/>
      <c r="AE58" s="966"/>
      <c r="AF58" s="506"/>
      <c r="AG58" s="506"/>
      <c r="AH58" s="506"/>
      <c r="AI58" s="506"/>
      <c r="AJ58" s="506"/>
      <c r="AK58" s="506"/>
      <c r="AL58" s="506"/>
      <c r="AM58" s="506"/>
      <c r="AN58" s="506"/>
      <c r="AO58" s="506"/>
      <c r="AP58" s="506"/>
      <c r="AQ58" s="506"/>
      <c r="AR58" s="506"/>
      <c r="AS58" s="506"/>
      <c r="AT58" s="506"/>
      <c r="AU58" s="506"/>
      <c r="AV58" s="969"/>
    </row>
    <row r="59" spans="1:48">
      <c r="A59" s="145"/>
      <c r="B59" s="153" t="s">
        <v>16</v>
      </c>
      <c r="C59" s="164" t="s">
        <v>684</v>
      </c>
      <c r="D59" s="147"/>
      <c r="E59" s="271"/>
      <c r="F59" s="979"/>
      <c r="G59" s="147" t="s">
        <v>16</v>
      </c>
      <c r="H59" s="147" t="s">
        <v>565</v>
      </c>
      <c r="I59" s="979"/>
      <c r="J59" s="151"/>
      <c r="K59" s="970"/>
      <c r="L59" s="984"/>
      <c r="M59" s="980"/>
      <c r="N59" s="147"/>
      <c r="O59" s="163"/>
      <c r="P59" s="291"/>
      <c r="Q59" s="285"/>
      <c r="R59" s="153"/>
      <c r="S59" s="147"/>
      <c r="T59" s="152"/>
      <c r="U59" s="151"/>
      <c r="V59" s="150"/>
      <c r="W59" s="202"/>
      <c r="X59" s="201"/>
      <c r="Y59" s="202"/>
      <c r="Z59" s="222"/>
      <c r="AA59" s="147"/>
      <c r="AB59" s="154"/>
      <c r="AC59" s="145"/>
      <c r="AD59" s="986"/>
      <c r="AE59" s="967"/>
      <c r="AF59" s="507"/>
      <c r="AG59" s="507"/>
      <c r="AH59" s="507"/>
      <c r="AI59" s="507"/>
      <c r="AJ59" s="507"/>
      <c r="AK59" s="507"/>
      <c r="AL59" s="507"/>
      <c r="AM59" s="507"/>
      <c r="AN59" s="507"/>
      <c r="AO59" s="507"/>
      <c r="AP59" s="507"/>
      <c r="AQ59" s="507"/>
      <c r="AR59" s="507"/>
      <c r="AS59" s="507"/>
      <c r="AT59" s="507"/>
      <c r="AU59" s="507"/>
      <c r="AV59" s="970"/>
    </row>
    <row r="60" spans="1:48">
      <c r="A60" s="145"/>
      <c r="B60" s="153" t="s">
        <v>18</v>
      </c>
      <c r="C60" s="162" t="s">
        <v>633</v>
      </c>
      <c r="D60" s="147"/>
      <c r="E60" s="271"/>
      <c r="F60" s="979"/>
      <c r="G60" s="147" t="s">
        <v>18</v>
      </c>
      <c r="H60" s="147" t="s">
        <v>19</v>
      </c>
      <c r="I60" s="979"/>
      <c r="J60" s="151"/>
      <c r="K60" s="970"/>
      <c r="L60" s="984"/>
      <c r="M60" s="980"/>
      <c r="N60" s="147"/>
      <c r="O60" s="163"/>
      <c r="P60" s="291"/>
      <c r="Q60" s="285"/>
      <c r="R60" s="153"/>
      <c r="S60" s="147"/>
      <c r="T60" s="152"/>
      <c r="U60" s="214"/>
      <c r="V60" s="150"/>
      <c r="W60" s="202"/>
      <c r="X60" s="201"/>
      <c r="Y60" s="202"/>
      <c r="Z60" s="222"/>
      <c r="AA60" s="147"/>
      <c r="AB60" s="163"/>
      <c r="AC60" s="145"/>
      <c r="AD60" s="986"/>
      <c r="AE60" s="967"/>
      <c r="AF60" s="507"/>
      <c r="AG60" s="507"/>
      <c r="AH60" s="507"/>
      <c r="AI60" s="507"/>
      <c r="AJ60" s="507"/>
      <c r="AK60" s="507"/>
      <c r="AL60" s="507"/>
      <c r="AM60" s="507"/>
      <c r="AN60" s="507"/>
      <c r="AO60" s="507"/>
      <c r="AP60" s="507"/>
      <c r="AQ60" s="507"/>
      <c r="AR60" s="507"/>
      <c r="AS60" s="507"/>
      <c r="AT60" s="507"/>
      <c r="AU60" s="507"/>
      <c r="AV60" s="970"/>
    </row>
    <row r="61" spans="1:48" ht="52.5" customHeight="1">
      <c r="A61" s="145"/>
      <c r="B61" s="157" t="s">
        <v>12</v>
      </c>
      <c r="C61" s="156" t="s">
        <v>683</v>
      </c>
      <c r="D61" s="147"/>
      <c r="E61" s="271"/>
      <c r="F61" s="979"/>
      <c r="G61" s="147"/>
      <c r="H61" s="146"/>
      <c r="I61" s="979"/>
      <c r="J61" s="151"/>
      <c r="K61" s="970"/>
      <c r="L61" s="984"/>
      <c r="M61" s="980"/>
      <c r="N61" s="147"/>
      <c r="O61" s="163"/>
      <c r="P61" s="291"/>
      <c r="Q61" s="285"/>
      <c r="R61" s="218"/>
      <c r="S61" s="163"/>
      <c r="T61" s="152"/>
      <c r="U61" s="214"/>
      <c r="V61" s="150"/>
      <c r="W61" s="202"/>
      <c r="X61" s="201"/>
      <c r="Y61" s="202"/>
      <c r="Z61" s="222"/>
      <c r="AA61" s="147"/>
      <c r="AB61" s="163"/>
      <c r="AC61" s="152"/>
      <c r="AD61" s="986"/>
      <c r="AE61" s="967"/>
      <c r="AF61" s="507"/>
      <c r="AG61" s="507"/>
      <c r="AH61" s="507"/>
      <c r="AI61" s="507"/>
      <c r="AJ61" s="507"/>
      <c r="AK61" s="507"/>
      <c r="AL61" s="507"/>
      <c r="AM61" s="507"/>
      <c r="AN61" s="507"/>
      <c r="AO61" s="507"/>
      <c r="AP61" s="507"/>
      <c r="AQ61" s="507"/>
      <c r="AR61" s="507"/>
      <c r="AS61" s="507"/>
      <c r="AT61" s="507"/>
      <c r="AU61" s="507"/>
      <c r="AV61" s="970"/>
    </row>
    <row r="62" spans="1:48">
      <c r="A62" s="145"/>
      <c r="B62" s="153" t="s">
        <v>8</v>
      </c>
      <c r="C62" s="220" t="s">
        <v>682</v>
      </c>
      <c r="D62" s="147"/>
      <c r="E62" s="271"/>
      <c r="F62" s="979"/>
      <c r="G62" s="147"/>
      <c r="H62" s="146"/>
      <c r="I62" s="979"/>
      <c r="J62" s="151"/>
      <c r="K62" s="970"/>
      <c r="L62" s="984"/>
      <c r="M62" s="980"/>
      <c r="N62" s="147"/>
      <c r="O62" s="154"/>
      <c r="P62" s="284"/>
      <c r="Q62" s="283"/>
      <c r="R62" s="218"/>
      <c r="S62" s="163"/>
      <c r="T62" s="152"/>
      <c r="U62" s="214"/>
      <c r="V62" s="150"/>
      <c r="W62" s="202"/>
      <c r="X62" s="201"/>
      <c r="Y62" s="202"/>
      <c r="Z62" s="222"/>
      <c r="AA62" s="147"/>
      <c r="AB62" s="163"/>
      <c r="AC62" s="152"/>
      <c r="AD62" s="986"/>
      <c r="AE62" s="967"/>
      <c r="AF62" s="507"/>
      <c r="AG62" s="507"/>
      <c r="AH62" s="507"/>
      <c r="AI62" s="507"/>
      <c r="AJ62" s="507"/>
      <c r="AK62" s="507"/>
      <c r="AL62" s="507"/>
      <c r="AM62" s="507"/>
      <c r="AN62" s="507"/>
      <c r="AO62" s="507"/>
      <c r="AP62" s="507"/>
      <c r="AQ62" s="507"/>
      <c r="AR62" s="507"/>
      <c r="AS62" s="507"/>
      <c r="AT62" s="507"/>
      <c r="AU62" s="507"/>
      <c r="AV62" s="970"/>
    </row>
    <row r="63" spans="1:48">
      <c r="A63" s="129"/>
      <c r="B63" s="137"/>
      <c r="C63" s="141"/>
      <c r="D63" s="131"/>
      <c r="E63" s="140"/>
      <c r="F63" s="992"/>
      <c r="G63" s="131"/>
      <c r="H63" s="130"/>
      <c r="I63" s="992"/>
      <c r="J63" s="135"/>
      <c r="K63" s="971"/>
      <c r="L63" s="994"/>
      <c r="M63" s="985"/>
      <c r="N63" s="131"/>
      <c r="O63" s="138"/>
      <c r="P63" s="129"/>
      <c r="Q63" s="130"/>
      <c r="R63" s="137"/>
      <c r="S63" s="131"/>
      <c r="T63" s="136"/>
      <c r="U63" s="210"/>
      <c r="V63" s="134"/>
      <c r="W63" s="133"/>
      <c r="X63" s="132"/>
      <c r="Y63" s="133"/>
      <c r="Z63" s="232"/>
      <c r="AA63" s="131"/>
      <c r="AB63" s="227"/>
      <c r="AC63" s="136"/>
      <c r="AD63" s="987"/>
      <c r="AE63" s="968"/>
      <c r="AF63" s="508"/>
      <c r="AG63" s="508"/>
      <c r="AH63" s="508"/>
      <c r="AI63" s="508"/>
      <c r="AJ63" s="508"/>
      <c r="AK63" s="508"/>
      <c r="AL63" s="508"/>
      <c r="AM63" s="508"/>
      <c r="AN63" s="508"/>
      <c r="AO63" s="508"/>
      <c r="AP63" s="508"/>
      <c r="AQ63" s="508"/>
      <c r="AR63" s="508"/>
      <c r="AS63" s="508"/>
      <c r="AT63" s="508"/>
      <c r="AU63" s="508"/>
      <c r="AV63" s="971"/>
    </row>
    <row r="64" spans="1:48">
      <c r="A64" s="185" t="s">
        <v>681</v>
      </c>
      <c r="B64" s="176" t="s">
        <v>25</v>
      </c>
      <c r="C64" s="184" t="s">
        <v>680</v>
      </c>
      <c r="D64" s="170"/>
      <c r="E64" s="278"/>
      <c r="F64" s="978" t="s">
        <v>679</v>
      </c>
      <c r="G64" s="182" t="s">
        <v>25</v>
      </c>
      <c r="H64" s="181" t="s">
        <v>650</v>
      </c>
      <c r="I64" s="998">
        <v>2830</v>
      </c>
      <c r="J64" s="174"/>
      <c r="K64" s="969" t="s">
        <v>678</v>
      </c>
      <c r="L64" s="997" t="s">
        <v>46</v>
      </c>
      <c r="M64" s="996"/>
      <c r="N64" s="147" t="s">
        <v>25</v>
      </c>
      <c r="O64" s="154" t="s">
        <v>17</v>
      </c>
      <c r="P64" s="284">
        <v>1</v>
      </c>
      <c r="Q64" s="294"/>
      <c r="R64" s="176" t="s">
        <v>25</v>
      </c>
      <c r="S64" s="170" t="s">
        <v>24</v>
      </c>
      <c r="T64" s="175"/>
      <c r="U64" s="174"/>
      <c r="V64" s="173"/>
      <c r="W64" s="206"/>
      <c r="X64" s="205"/>
      <c r="Y64" s="206"/>
      <c r="Z64" s="201"/>
      <c r="AA64" s="183"/>
      <c r="AB64" s="270"/>
      <c r="AC64" s="168"/>
      <c r="AD64" s="995"/>
      <c r="AE64" s="966"/>
      <c r="AF64" s="506"/>
      <c r="AG64" s="506"/>
      <c r="AH64" s="506"/>
      <c r="AI64" s="506"/>
      <c r="AJ64" s="506"/>
      <c r="AK64" s="506"/>
      <c r="AL64" s="506"/>
      <c r="AM64" s="506"/>
      <c r="AN64" s="506"/>
      <c r="AO64" s="506"/>
      <c r="AP64" s="506"/>
      <c r="AQ64" s="506"/>
      <c r="AR64" s="506"/>
      <c r="AS64" s="506"/>
      <c r="AT64" s="506"/>
      <c r="AU64" s="506"/>
      <c r="AV64" s="969"/>
    </row>
    <row r="65" spans="1:48">
      <c r="A65" s="145"/>
      <c r="B65" s="153" t="s">
        <v>16</v>
      </c>
      <c r="C65" s="164" t="s">
        <v>677</v>
      </c>
      <c r="D65" s="147"/>
      <c r="E65" s="271"/>
      <c r="F65" s="979"/>
      <c r="G65" s="147" t="s">
        <v>16</v>
      </c>
      <c r="H65" s="147" t="s">
        <v>565</v>
      </c>
      <c r="I65" s="979"/>
      <c r="J65" s="151"/>
      <c r="K65" s="970"/>
      <c r="L65" s="984"/>
      <c r="M65" s="980"/>
      <c r="N65" s="147"/>
      <c r="O65" s="154"/>
      <c r="P65" s="284"/>
      <c r="Q65" s="292"/>
      <c r="R65" s="153"/>
      <c r="S65" s="147"/>
      <c r="T65" s="152"/>
      <c r="U65" s="151"/>
      <c r="V65" s="150"/>
      <c r="W65" s="241"/>
      <c r="X65" s="201"/>
      <c r="Y65" s="257"/>
      <c r="Z65" s="222"/>
      <c r="AA65" s="147"/>
      <c r="AB65" s="154"/>
      <c r="AC65" s="145"/>
      <c r="AD65" s="986"/>
      <c r="AE65" s="967"/>
      <c r="AF65" s="507"/>
      <c r="AG65" s="507"/>
      <c r="AH65" s="507"/>
      <c r="AI65" s="507"/>
      <c r="AJ65" s="507"/>
      <c r="AK65" s="507"/>
      <c r="AL65" s="507"/>
      <c r="AM65" s="507"/>
      <c r="AN65" s="507"/>
      <c r="AO65" s="507"/>
      <c r="AP65" s="507"/>
      <c r="AQ65" s="507"/>
      <c r="AR65" s="507"/>
      <c r="AS65" s="507"/>
      <c r="AT65" s="507"/>
      <c r="AU65" s="507"/>
      <c r="AV65" s="970"/>
    </row>
    <row r="66" spans="1:48">
      <c r="A66" s="145"/>
      <c r="B66" s="153" t="s">
        <v>18</v>
      </c>
      <c r="C66" s="162" t="s">
        <v>601</v>
      </c>
      <c r="D66" s="147"/>
      <c r="E66" s="271"/>
      <c r="F66" s="979"/>
      <c r="G66" s="147" t="s">
        <v>18</v>
      </c>
      <c r="H66" s="147" t="s">
        <v>19</v>
      </c>
      <c r="I66" s="979"/>
      <c r="J66" s="151"/>
      <c r="K66" s="970"/>
      <c r="L66" s="984"/>
      <c r="M66" s="980"/>
      <c r="N66" s="147"/>
      <c r="O66" s="154"/>
      <c r="P66" s="284"/>
      <c r="Q66" s="283"/>
      <c r="R66" s="153" t="s">
        <v>16</v>
      </c>
      <c r="S66" s="147" t="s">
        <v>15</v>
      </c>
      <c r="T66" s="152">
        <v>1</v>
      </c>
      <c r="U66" s="151">
        <v>1</v>
      </c>
      <c r="V66" s="293" t="s">
        <v>654</v>
      </c>
      <c r="W66" s="258">
        <v>0</v>
      </c>
      <c r="X66" s="258">
        <v>0</v>
      </c>
      <c r="Y66" s="258">
        <v>8</v>
      </c>
      <c r="Z66" s="222">
        <f>W66+X66+Y66</f>
        <v>8</v>
      </c>
      <c r="AA66" s="147"/>
      <c r="AB66" s="154"/>
      <c r="AC66" s="145"/>
      <c r="AD66" s="986"/>
      <c r="AE66" s="967"/>
      <c r="AF66" s="507"/>
      <c r="AG66" s="507"/>
      <c r="AH66" s="507"/>
      <c r="AI66" s="507"/>
      <c r="AJ66" s="507"/>
      <c r="AK66" s="507"/>
      <c r="AL66" s="507"/>
      <c r="AM66" s="507"/>
      <c r="AN66" s="507"/>
      <c r="AO66" s="507"/>
      <c r="AP66" s="507"/>
      <c r="AQ66" s="507"/>
      <c r="AR66" s="507"/>
      <c r="AS66" s="507"/>
      <c r="AT66" s="507"/>
      <c r="AU66" s="507"/>
      <c r="AV66" s="970"/>
    </row>
    <row r="67" spans="1:48" ht="51" customHeight="1">
      <c r="A67" s="145"/>
      <c r="B67" s="157" t="s">
        <v>12</v>
      </c>
      <c r="C67" s="156" t="s">
        <v>676</v>
      </c>
      <c r="D67" s="147"/>
      <c r="E67" s="271"/>
      <c r="F67" s="979"/>
      <c r="G67" s="147"/>
      <c r="H67" s="146"/>
      <c r="I67" s="979"/>
      <c r="J67" s="151"/>
      <c r="K67" s="970"/>
      <c r="L67" s="984"/>
      <c r="M67" s="980"/>
      <c r="N67" s="147"/>
      <c r="O67" s="154"/>
      <c r="P67" s="284"/>
      <c r="Q67" s="283"/>
      <c r="R67" s="218"/>
      <c r="S67" s="163"/>
      <c r="T67" s="152"/>
      <c r="U67" s="214"/>
      <c r="V67" s="150"/>
      <c r="W67" s="241"/>
      <c r="X67" s="201"/>
      <c r="Y67" s="257"/>
      <c r="Z67" s="222"/>
      <c r="AA67" s="147"/>
      <c r="AB67" s="163"/>
      <c r="AC67" s="152"/>
      <c r="AD67" s="986"/>
      <c r="AE67" s="967"/>
      <c r="AF67" s="507"/>
      <c r="AG67" s="507"/>
      <c r="AH67" s="507"/>
      <c r="AI67" s="507"/>
      <c r="AJ67" s="507"/>
      <c r="AK67" s="507"/>
      <c r="AL67" s="507"/>
      <c r="AM67" s="507"/>
      <c r="AN67" s="507"/>
      <c r="AO67" s="507"/>
      <c r="AP67" s="507"/>
      <c r="AQ67" s="507"/>
      <c r="AR67" s="507"/>
      <c r="AS67" s="507"/>
      <c r="AT67" s="507"/>
      <c r="AU67" s="507"/>
      <c r="AV67" s="970"/>
    </row>
    <row r="68" spans="1:48">
      <c r="A68" s="145"/>
      <c r="B68" s="153" t="s">
        <v>8</v>
      </c>
      <c r="C68" s="220" t="s">
        <v>675</v>
      </c>
      <c r="D68" s="147"/>
      <c r="E68" s="271"/>
      <c r="F68" s="979"/>
      <c r="G68" s="147"/>
      <c r="H68" s="146"/>
      <c r="I68" s="979"/>
      <c r="J68" s="151"/>
      <c r="K68" s="970"/>
      <c r="L68" s="984"/>
      <c r="M68" s="980"/>
      <c r="N68" s="147"/>
      <c r="O68" s="154"/>
      <c r="P68" s="284"/>
      <c r="Q68" s="283"/>
      <c r="R68" s="218"/>
      <c r="S68" s="163"/>
      <c r="T68" s="152"/>
      <c r="U68" s="214"/>
      <c r="V68" s="150"/>
      <c r="W68" s="202"/>
      <c r="X68" s="201"/>
      <c r="Y68" s="202"/>
      <c r="Z68" s="222"/>
      <c r="AA68" s="147"/>
      <c r="AB68" s="163"/>
      <c r="AC68" s="152"/>
      <c r="AD68" s="986"/>
      <c r="AE68" s="967"/>
      <c r="AF68" s="507"/>
      <c r="AG68" s="507"/>
      <c r="AH68" s="507"/>
      <c r="AI68" s="507"/>
      <c r="AJ68" s="507"/>
      <c r="AK68" s="507"/>
      <c r="AL68" s="507"/>
      <c r="AM68" s="507"/>
      <c r="AN68" s="507"/>
      <c r="AO68" s="507"/>
      <c r="AP68" s="507"/>
      <c r="AQ68" s="507"/>
      <c r="AR68" s="507"/>
      <c r="AS68" s="507"/>
      <c r="AT68" s="507"/>
      <c r="AU68" s="507"/>
      <c r="AV68" s="970"/>
    </row>
    <row r="69" spans="1:48">
      <c r="A69" s="185" t="s">
        <v>674</v>
      </c>
      <c r="B69" s="176" t="s">
        <v>25</v>
      </c>
      <c r="C69" s="184" t="s">
        <v>673</v>
      </c>
      <c r="D69" s="170"/>
      <c r="E69" s="278"/>
      <c r="F69" s="978" t="s">
        <v>672</v>
      </c>
      <c r="G69" s="182" t="s">
        <v>25</v>
      </c>
      <c r="H69" s="181" t="s">
        <v>650</v>
      </c>
      <c r="I69" s="998">
        <v>3209</v>
      </c>
      <c r="J69" s="174" t="s">
        <v>671</v>
      </c>
      <c r="K69" s="969" t="s">
        <v>670</v>
      </c>
      <c r="L69" s="1001" t="s">
        <v>46</v>
      </c>
      <c r="M69" s="996"/>
      <c r="N69" s="170" t="s">
        <v>25</v>
      </c>
      <c r="O69" s="270" t="s">
        <v>52</v>
      </c>
      <c r="P69" s="295">
        <v>1</v>
      </c>
      <c r="Q69" s="437">
        <v>75.03</v>
      </c>
      <c r="R69" s="176" t="s">
        <v>25</v>
      </c>
      <c r="S69" s="170" t="s">
        <v>24</v>
      </c>
      <c r="T69" s="431"/>
      <c r="U69" s="174"/>
      <c r="V69" s="173"/>
      <c r="W69" s="206"/>
      <c r="X69" s="205"/>
      <c r="Y69" s="206"/>
      <c r="Z69" s="205"/>
      <c r="AA69" s="183"/>
      <c r="AB69" s="181"/>
      <c r="AC69" s="168"/>
      <c r="AD69" s="995"/>
      <c r="AE69" s="966"/>
      <c r="AF69" s="506"/>
      <c r="AG69" s="506"/>
      <c r="AH69" s="506"/>
      <c r="AI69" s="506"/>
      <c r="AJ69" s="506"/>
      <c r="AK69" s="506"/>
      <c r="AL69" s="506"/>
      <c r="AM69" s="506"/>
      <c r="AN69" s="506"/>
      <c r="AO69" s="506"/>
      <c r="AP69" s="506"/>
      <c r="AQ69" s="506"/>
      <c r="AR69" s="506"/>
      <c r="AS69" s="506"/>
      <c r="AT69" s="506"/>
      <c r="AU69" s="506"/>
      <c r="AV69" s="969"/>
    </row>
    <row r="70" spans="1:48">
      <c r="A70" s="145"/>
      <c r="B70" s="153" t="s">
        <v>16</v>
      </c>
      <c r="C70" s="164" t="s">
        <v>669</v>
      </c>
      <c r="D70" s="147"/>
      <c r="E70" s="271"/>
      <c r="F70" s="979"/>
      <c r="G70" s="147" t="s">
        <v>16</v>
      </c>
      <c r="H70" s="147" t="s">
        <v>565</v>
      </c>
      <c r="I70" s="979"/>
      <c r="J70" s="151"/>
      <c r="K70" s="970"/>
      <c r="L70" s="984"/>
      <c r="M70" s="980"/>
      <c r="N70" s="147" t="s">
        <v>16</v>
      </c>
      <c r="O70" s="154" t="s">
        <v>59</v>
      </c>
      <c r="P70" s="284">
        <v>1</v>
      </c>
      <c r="Q70" s="283">
        <v>36</v>
      </c>
      <c r="R70" s="153"/>
      <c r="S70" s="147"/>
      <c r="T70" s="432"/>
      <c r="U70" s="239"/>
      <c r="V70" s="150"/>
      <c r="W70" s="202"/>
      <c r="X70" s="201"/>
      <c r="Y70" s="202"/>
      <c r="Z70" s="222"/>
      <c r="AA70" s="147"/>
      <c r="AB70" s="154"/>
      <c r="AC70" s="145"/>
      <c r="AD70" s="986"/>
      <c r="AE70" s="967"/>
      <c r="AF70" s="507"/>
      <c r="AG70" s="507"/>
      <c r="AH70" s="507"/>
      <c r="AI70" s="507"/>
      <c r="AJ70" s="507"/>
      <c r="AK70" s="507"/>
      <c r="AL70" s="507"/>
      <c r="AM70" s="507"/>
      <c r="AN70" s="507"/>
      <c r="AO70" s="507"/>
      <c r="AP70" s="507"/>
      <c r="AQ70" s="507"/>
      <c r="AR70" s="507"/>
      <c r="AS70" s="507"/>
      <c r="AT70" s="507"/>
      <c r="AU70" s="507"/>
      <c r="AV70" s="970"/>
    </row>
    <row r="71" spans="1:48">
      <c r="A71" s="145"/>
      <c r="B71" s="153" t="s">
        <v>18</v>
      </c>
      <c r="C71" s="162" t="s">
        <v>601</v>
      </c>
      <c r="D71" s="147"/>
      <c r="E71" s="271"/>
      <c r="F71" s="979"/>
      <c r="G71" s="147" t="s">
        <v>18</v>
      </c>
      <c r="H71" s="147" t="s">
        <v>19</v>
      </c>
      <c r="I71" s="979"/>
      <c r="J71" s="151"/>
      <c r="K71" s="970"/>
      <c r="L71" s="984"/>
      <c r="M71" s="980"/>
      <c r="N71" s="147" t="s">
        <v>18</v>
      </c>
      <c r="O71" s="163" t="s">
        <v>17</v>
      </c>
      <c r="P71" s="291">
        <v>2</v>
      </c>
      <c r="Q71" s="146"/>
      <c r="R71" s="153" t="s">
        <v>16</v>
      </c>
      <c r="S71" s="147" t="s">
        <v>15</v>
      </c>
      <c r="T71" s="432">
        <v>3</v>
      </c>
      <c r="U71" s="290">
        <v>1</v>
      </c>
      <c r="V71" s="240" t="s">
        <v>647</v>
      </c>
      <c r="W71" s="258">
        <v>0</v>
      </c>
      <c r="X71" s="258">
        <v>72</v>
      </c>
      <c r="Y71" s="258">
        <v>0</v>
      </c>
      <c r="Z71" s="222">
        <f>W71+X71+Y71</f>
        <v>72</v>
      </c>
      <c r="AA71" s="147"/>
      <c r="AB71" s="154"/>
      <c r="AC71" s="145"/>
      <c r="AD71" s="986"/>
      <c r="AE71" s="967"/>
      <c r="AF71" s="507"/>
      <c r="AG71" s="507"/>
      <c r="AH71" s="507"/>
      <c r="AI71" s="507"/>
      <c r="AJ71" s="507"/>
      <c r="AK71" s="507"/>
      <c r="AL71" s="507"/>
      <c r="AM71" s="507"/>
      <c r="AN71" s="507"/>
      <c r="AO71" s="507"/>
      <c r="AP71" s="507"/>
      <c r="AQ71" s="507"/>
      <c r="AR71" s="507"/>
      <c r="AS71" s="507"/>
      <c r="AT71" s="507"/>
      <c r="AU71" s="507"/>
      <c r="AV71" s="970"/>
    </row>
    <row r="72" spans="1:48" ht="41.4">
      <c r="A72" s="145"/>
      <c r="B72" s="157" t="s">
        <v>12</v>
      </c>
      <c r="C72" s="156" t="s">
        <v>668</v>
      </c>
      <c r="D72" s="147"/>
      <c r="E72" s="271"/>
      <c r="F72" s="979"/>
      <c r="G72" s="147"/>
      <c r="H72" s="146"/>
      <c r="I72" s="979"/>
      <c r="J72" s="151"/>
      <c r="K72" s="970"/>
      <c r="L72" s="984"/>
      <c r="M72" s="980"/>
      <c r="N72" s="147"/>
      <c r="O72" s="163"/>
      <c r="P72" s="291"/>
      <c r="Q72" s="146"/>
      <c r="R72" s="153"/>
      <c r="S72" s="147"/>
      <c r="T72" s="432"/>
      <c r="U72" s="290">
        <f>U71+1</f>
        <v>2</v>
      </c>
      <c r="V72" s="240" t="s">
        <v>82</v>
      </c>
      <c r="W72" s="258">
        <v>0</v>
      </c>
      <c r="X72" s="258">
        <v>0</v>
      </c>
      <c r="Y72" s="258">
        <v>17</v>
      </c>
      <c r="Z72" s="222">
        <f>W72+X72+Y72</f>
        <v>17</v>
      </c>
      <c r="AA72" s="147"/>
      <c r="AB72" s="163"/>
      <c r="AC72" s="152"/>
      <c r="AD72" s="986"/>
      <c r="AE72" s="967"/>
      <c r="AF72" s="507"/>
      <c r="AG72" s="507"/>
      <c r="AH72" s="507"/>
      <c r="AI72" s="507"/>
      <c r="AJ72" s="507"/>
      <c r="AK72" s="507"/>
      <c r="AL72" s="507"/>
      <c r="AM72" s="507"/>
      <c r="AN72" s="507"/>
      <c r="AO72" s="507"/>
      <c r="AP72" s="507"/>
      <c r="AQ72" s="507"/>
      <c r="AR72" s="507"/>
      <c r="AS72" s="507"/>
      <c r="AT72" s="507"/>
      <c r="AU72" s="507"/>
      <c r="AV72" s="970"/>
    </row>
    <row r="73" spans="1:48">
      <c r="A73" s="145"/>
      <c r="B73" s="153" t="s">
        <v>8</v>
      </c>
      <c r="C73" s="220" t="s">
        <v>667</v>
      </c>
      <c r="D73" s="147"/>
      <c r="E73" s="271"/>
      <c r="F73" s="979"/>
      <c r="G73" s="147"/>
      <c r="H73" s="146"/>
      <c r="I73" s="979"/>
      <c r="J73" s="151"/>
      <c r="K73" s="970"/>
      <c r="L73" s="984"/>
      <c r="M73" s="980"/>
      <c r="N73" s="147"/>
      <c r="O73" s="154"/>
      <c r="P73" s="145"/>
      <c r="Q73" s="146"/>
      <c r="R73" s="153"/>
      <c r="S73" s="147"/>
      <c r="T73" s="432"/>
      <c r="U73" s="290">
        <f>U72+1</f>
        <v>3</v>
      </c>
      <c r="V73" s="240" t="s">
        <v>666</v>
      </c>
      <c r="W73" s="258">
        <v>2857</v>
      </c>
      <c r="X73" s="258">
        <v>0</v>
      </c>
      <c r="Y73" s="258">
        <v>0</v>
      </c>
      <c r="Z73" s="222">
        <f>W73+X73+Y73</f>
        <v>2857</v>
      </c>
      <c r="AA73" s="147"/>
      <c r="AB73" s="163"/>
      <c r="AC73" s="152"/>
      <c r="AD73" s="986"/>
      <c r="AE73" s="967"/>
      <c r="AF73" s="507"/>
      <c r="AG73" s="507"/>
      <c r="AH73" s="507"/>
      <c r="AI73" s="507"/>
      <c r="AJ73" s="507"/>
      <c r="AK73" s="507"/>
      <c r="AL73" s="507"/>
      <c r="AM73" s="507"/>
      <c r="AN73" s="507"/>
      <c r="AO73" s="507"/>
      <c r="AP73" s="507"/>
      <c r="AQ73" s="507"/>
      <c r="AR73" s="507"/>
      <c r="AS73" s="507"/>
      <c r="AT73" s="507"/>
      <c r="AU73" s="507"/>
      <c r="AV73" s="970"/>
    </row>
    <row r="74" spans="1:48" s="279" customFormat="1">
      <c r="A74" s="129"/>
      <c r="B74" s="137"/>
      <c r="C74" s="141"/>
      <c r="D74" s="131"/>
      <c r="E74" s="140"/>
      <c r="F74" s="282"/>
      <c r="G74" s="131"/>
      <c r="H74" s="130"/>
      <c r="I74" s="282"/>
      <c r="J74" s="135"/>
      <c r="K74" s="126"/>
      <c r="L74" s="289"/>
      <c r="M74" s="280"/>
      <c r="N74" s="131"/>
      <c r="O74" s="138"/>
      <c r="P74" s="129"/>
      <c r="Q74" s="130"/>
      <c r="R74" s="137"/>
      <c r="S74" s="131"/>
      <c r="T74" s="136"/>
      <c r="U74" s="288"/>
      <c r="V74" s="267"/>
      <c r="W74" s="266"/>
      <c r="X74" s="266"/>
      <c r="Y74" s="287"/>
      <c r="Z74" s="232"/>
      <c r="AA74" s="131"/>
      <c r="AB74" s="227"/>
      <c r="AC74" s="136"/>
      <c r="AD74" s="127"/>
      <c r="AE74" s="127"/>
      <c r="AF74" s="508"/>
      <c r="AG74" s="508"/>
      <c r="AH74" s="508"/>
      <c r="AI74" s="508"/>
      <c r="AJ74" s="508"/>
      <c r="AK74" s="508"/>
      <c r="AL74" s="508"/>
      <c r="AM74" s="508"/>
      <c r="AN74" s="508"/>
      <c r="AO74" s="508"/>
      <c r="AP74" s="508"/>
      <c r="AQ74" s="508"/>
      <c r="AR74" s="508"/>
      <c r="AS74" s="508"/>
      <c r="AT74" s="508"/>
      <c r="AU74" s="508"/>
      <c r="AV74" s="126"/>
    </row>
    <row r="75" spans="1:48">
      <c r="A75" s="185" t="s">
        <v>665</v>
      </c>
      <c r="B75" s="176" t="s">
        <v>25</v>
      </c>
      <c r="C75" s="184" t="s">
        <v>664</v>
      </c>
      <c r="D75" s="170"/>
      <c r="E75" s="278"/>
      <c r="F75" s="978" t="s">
        <v>663</v>
      </c>
      <c r="G75" s="182" t="s">
        <v>25</v>
      </c>
      <c r="H75" s="181" t="s">
        <v>650</v>
      </c>
      <c r="I75" s="998">
        <v>1897</v>
      </c>
      <c r="J75" s="174"/>
      <c r="K75" s="969" t="s">
        <v>662</v>
      </c>
      <c r="L75" s="1004" t="s">
        <v>46</v>
      </c>
      <c r="M75" s="996"/>
      <c r="N75" s="183"/>
      <c r="O75" s="179"/>
      <c r="P75" s="178"/>
      <c r="Q75" s="177"/>
      <c r="R75" s="176" t="s">
        <v>150</v>
      </c>
      <c r="S75" s="170" t="s">
        <v>24</v>
      </c>
      <c r="T75" s="175"/>
      <c r="U75" s="174"/>
      <c r="V75" s="173"/>
      <c r="W75" s="206"/>
      <c r="X75" s="205"/>
      <c r="Y75" s="206"/>
      <c r="Z75" s="205"/>
      <c r="AA75" s="183"/>
      <c r="AB75" s="181"/>
      <c r="AC75" s="168"/>
      <c r="AD75" s="995"/>
      <c r="AE75" s="966"/>
      <c r="AF75" s="506"/>
      <c r="AG75" s="506"/>
      <c r="AH75" s="506"/>
      <c r="AI75" s="506"/>
      <c r="AJ75" s="506"/>
      <c r="AK75" s="506"/>
      <c r="AL75" s="506"/>
      <c r="AM75" s="506"/>
      <c r="AN75" s="506"/>
      <c r="AO75" s="506"/>
      <c r="AP75" s="506"/>
      <c r="AQ75" s="506"/>
      <c r="AR75" s="506"/>
      <c r="AS75" s="506"/>
      <c r="AT75" s="506"/>
      <c r="AU75" s="506"/>
      <c r="AV75" s="969"/>
    </row>
    <row r="76" spans="1:48">
      <c r="A76" s="145"/>
      <c r="B76" s="153" t="s">
        <v>16</v>
      </c>
      <c r="C76" s="164" t="s">
        <v>661</v>
      </c>
      <c r="D76" s="147"/>
      <c r="E76" s="271"/>
      <c r="F76" s="979"/>
      <c r="G76" s="147" t="s">
        <v>16</v>
      </c>
      <c r="H76" s="147" t="s">
        <v>565</v>
      </c>
      <c r="I76" s="979"/>
      <c r="J76" s="151"/>
      <c r="K76" s="970"/>
      <c r="L76" s="999"/>
      <c r="M76" s="980"/>
      <c r="N76" s="147"/>
      <c r="O76" s="196"/>
      <c r="P76" s="195"/>
      <c r="Q76" s="285"/>
      <c r="R76" s="153"/>
      <c r="S76" s="147"/>
      <c r="T76" s="152"/>
      <c r="U76" s="151"/>
      <c r="V76" s="150"/>
      <c r="W76" s="202"/>
      <c r="X76" s="201"/>
      <c r="Y76" s="257"/>
      <c r="Z76" s="222"/>
      <c r="AA76" s="147"/>
      <c r="AB76" s="154"/>
      <c r="AC76" s="145"/>
      <c r="AD76" s="986"/>
      <c r="AE76" s="967"/>
      <c r="AF76" s="507"/>
      <c r="AG76" s="507"/>
      <c r="AH76" s="507"/>
      <c r="AI76" s="507"/>
      <c r="AJ76" s="507"/>
      <c r="AK76" s="507"/>
      <c r="AL76" s="507"/>
      <c r="AM76" s="507"/>
      <c r="AN76" s="507"/>
      <c r="AO76" s="507"/>
      <c r="AP76" s="507"/>
      <c r="AQ76" s="507"/>
      <c r="AR76" s="507"/>
      <c r="AS76" s="507"/>
      <c r="AT76" s="507"/>
      <c r="AU76" s="507"/>
      <c r="AV76" s="970"/>
    </row>
    <row r="77" spans="1:48">
      <c r="A77" s="145"/>
      <c r="B77" s="153" t="s">
        <v>18</v>
      </c>
      <c r="C77" s="162" t="s">
        <v>601</v>
      </c>
      <c r="D77" s="147"/>
      <c r="E77" s="271"/>
      <c r="F77" s="979"/>
      <c r="G77" s="147" t="s">
        <v>18</v>
      </c>
      <c r="H77" s="147" t="s">
        <v>19</v>
      </c>
      <c r="I77" s="979"/>
      <c r="J77" s="151"/>
      <c r="K77" s="970"/>
      <c r="L77" s="999"/>
      <c r="M77" s="980"/>
      <c r="N77" s="147"/>
      <c r="O77" s="154"/>
      <c r="P77" s="284"/>
      <c r="Q77" s="283"/>
      <c r="R77" s="153" t="s">
        <v>16</v>
      </c>
      <c r="S77" s="147" t="s">
        <v>15</v>
      </c>
      <c r="T77" s="152">
        <v>1</v>
      </c>
      <c r="U77" s="214">
        <v>1</v>
      </c>
      <c r="V77" s="240" t="s">
        <v>654</v>
      </c>
      <c r="W77" s="258">
        <v>0</v>
      </c>
      <c r="X77" s="258">
        <v>0</v>
      </c>
      <c r="Y77" s="258">
        <v>15</v>
      </c>
      <c r="Z77" s="222">
        <f>W77+X77+Y77</f>
        <v>15</v>
      </c>
      <c r="AA77" s="147"/>
      <c r="AB77" s="154"/>
      <c r="AC77" s="145"/>
      <c r="AD77" s="986"/>
      <c r="AE77" s="967"/>
      <c r="AF77" s="507"/>
      <c r="AG77" s="507"/>
      <c r="AH77" s="507"/>
      <c r="AI77" s="507"/>
      <c r="AJ77" s="507"/>
      <c r="AK77" s="507"/>
      <c r="AL77" s="507"/>
      <c r="AM77" s="507"/>
      <c r="AN77" s="507"/>
      <c r="AO77" s="507"/>
      <c r="AP77" s="507"/>
      <c r="AQ77" s="507"/>
      <c r="AR77" s="507"/>
      <c r="AS77" s="507"/>
      <c r="AT77" s="507"/>
      <c r="AU77" s="507"/>
      <c r="AV77" s="970"/>
    </row>
    <row r="78" spans="1:48" ht="55.2">
      <c r="A78" s="145"/>
      <c r="B78" s="157" t="s">
        <v>12</v>
      </c>
      <c r="C78" s="156" t="s">
        <v>660</v>
      </c>
      <c r="D78" s="147"/>
      <c r="E78" s="271"/>
      <c r="F78" s="979"/>
      <c r="G78" s="147"/>
      <c r="H78" s="146"/>
      <c r="I78" s="979"/>
      <c r="J78" s="151"/>
      <c r="K78" s="970"/>
      <c r="L78" s="999"/>
      <c r="M78" s="980"/>
      <c r="N78" s="153"/>
      <c r="O78" s="154"/>
      <c r="P78" s="145"/>
      <c r="Q78" s="286"/>
      <c r="R78" s="153"/>
      <c r="S78" s="147"/>
      <c r="T78" s="152"/>
      <c r="U78" s="214"/>
      <c r="V78" s="150"/>
      <c r="W78" s="202"/>
      <c r="X78" s="201"/>
      <c r="Y78" s="257"/>
      <c r="Z78" s="222"/>
      <c r="AA78" s="147"/>
      <c r="AB78" s="154"/>
      <c r="AC78" s="145"/>
      <c r="AD78" s="986"/>
      <c r="AE78" s="967"/>
      <c r="AF78" s="507"/>
      <c r="AG78" s="507"/>
      <c r="AH78" s="507"/>
      <c r="AI78" s="507"/>
      <c r="AJ78" s="507"/>
      <c r="AK78" s="507"/>
      <c r="AL78" s="507"/>
      <c r="AM78" s="507"/>
      <c r="AN78" s="507"/>
      <c r="AO78" s="507"/>
      <c r="AP78" s="507"/>
      <c r="AQ78" s="507"/>
      <c r="AR78" s="507"/>
      <c r="AS78" s="507"/>
      <c r="AT78" s="507"/>
      <c r="AU78" s="507"/>
      <c r="AV78" s="970"/>
    </row>
    <row r="79" spans="1:48">
      <c r="A79" s="145"/>
      <c r="B79" s="153" t="s">
        <v>8</v>
      </c>
      <c r="C79" s="220" t="s">
        <v>659</v>
      </c>
      <c r="D79" s="147"/>
      <c r="E79" s="271"/>
      <c r="F79" s="979"/>
      <c r="G79" s="147"/>
      <c r="H79" s="146"/>
      <c r="I79" s="979"/>
      <c r="J79" s="151"/>
      <c r="K79" s="970"/>
      <c r="L79" s="999"/>
      <c r="M79" s="980"/>
      <c r="N79" s="217"/>
      <c r="O79" s="196"/>
      <c r="P79" s="204"/>
      <c r="Q79" s="203"/>
      <c r="R79" s="153"/>
      <c r="S79" s="147"/>
      <c r="T79" s="152"/>
      <c r="U79" s="214"/>
      <c r="V79" s="150"/>
      <c r="W79" s="202"/>
      <c r="X79" s="201"/>
      <c r="Y79" s="202"/>
      <c r="Z79" s="222"/>
      <c r="AA79" s="147"/>
      <c r="AB79" s="154"/>
      <c r="AC79" s="145"/>
      <c r="AD79" s="986"/>
      <c r="AE79" s="967"/>
      <c r="AF79" s="507"/>
      <c r="AG79" s="507"/>
      <c r="AH79" s="507"/>
      <c r="AI79" s="507"/>
      <c r="AJ79" s="507"/>
      <c r="AK79" s="507"/>
      <c r="AL79" s="507"/>
      <c r="AM79" s="507"/>
      <c r="AN79" s="507"/>
      <c r="AO79" s="507"/>
      <c r="AP79" s="507"/>
      <c r="AQ79" s="507"/>
      <c r="AR79" s="507"/>
      <c r="AS79" s="507"/>
      <c r="AT79" s="507"/>
      <c r="AU79" s="507"/>
      <c r="AV79" s="970"/>
    </row>
    <row r="80" spans="1:48" s="279" customFormat="1">
      <c r="A80" s="145"/>
      <c r="B80" s="153"/>
      <c r="C80" s="220"/>
      <c r="D80" s="147"/>
      <c r="E80" s="271"/>
      <c r="F80" s="282"/>
      <c r="G80" s="147"/>
      <c r="H80" s="146"/>
      <c r="I80" s="282"/>
      <c r="J80" s="151"/>
      <c r="K80" s="142"/>
      <c r="L80" s="281"/>
      <c r="M80" s="280"/>
      <c r="N80" s="147"/>
      <c r="O80" s="154"/>
      <c r="P80" s="145"/>
      <c r="Q80" s="146"/>
      <c r="R80" s="153"/>
      <c r="S80" s="147"/>
      <c r="T80" s="152"/>
      <c r="U80" s="214"/>
      <c r="V80" s="150"/>
      <c r="W80" s="202"/>
      <c r="X80" s="201"/>
      <c r="Y80" s="202"/>
      <c r="Z80" s="222"/>
      <c r="AA80" s="147"/>
      <c r="AB80" s="154"/>
      <c r="AC80" s="145"/>
      <c r="AD80" s="127"/>
      <c r="AE80" s="127"/>
      <c r="AF80" s="508"/>
      <c r="AG80" s="508"/>
      <c r="AH80" s="508"/>
      <c r="AI80" s="508"/>
      <c r="AJ80" s="508"/>
      <c r="AK80" s="508"/>
      <c r="AL80" s="508"/>
      <c r="AM80" s="508"/>
      <c r="AN80" s="508"/>
      <c r="AO80" s="508"/>
      <c r="AP80" s="508"/>
      <c r="AQ80" s="508"/>
      <c r="AR80" s="508"/>
      <c r="AS80" s="508"/>
      <c r="AT80" s="508"/>
      <c r="AU80" s="508"/>
      <c r="AV80" s="126"/>
    </row>
    <row r="81" spans="1:48">
      <c r="A81" s="185">
        <v>10</v>
      </c>
      <c r="B81" s="176" t="s">
        <v>25</v>
      </c>
      <c r="C81" s="184" t="s">
        <v>658</v>
      </c>
      <c r="D81" s="170"/>
      <c r="E81" s="278"/>
      <c r="F81" s="978" t="s">
        <v>657</v>
      </c>
      <c r="G81" s="182" t="s">
        <v>25</v>
      </c>
      <c r="H81" s="181" t="s">
        <v>650</v>
      </c>
      <c r="I81" s="998">
        <v>895</v>
      </c>
      <c r="J81" s="174"/>
      <c r="K81" s="969" t="s">
        <v>656</v>
      </c>
      <c r="L81" s="277" t="s">
        <v>46</v>
      </c>
      <c r="M81" s="996"/>
      <c r="N81" s="183"/>
      <c r="O81" s="179"/>
      <c r="P81" s="178"/>
      <c r="Q81" s="177"/>
      <c r="R81" s="176" t="s">
        <v>25</v>
      </c>
      <c r="S81" s="170" t="s">
        <v>24</v>
      </c>
      <c r="T81" s="175"/>
      <c r="U81" s="174"/>
      <c r="V81" s="173"/>
      <c r="W81" s="206"/>
      <c r="X81" s="205"/>
      <c r="Y81" s="206"/>
      <c r="Z81" s="205"/>
      <c r="AA81" s="183"/>
      <c r="AB81" s="181"/>
      <c r="AC81" s="168"/>
      <c r="AD81" s="167"/>
      <c r="AE81" s="166"/>
      <c r="AF81" s="506"/>
      <c r="AG81" s="506"/>
      <c r="AH81" s="506"/>
      <c r="AI81" s="506"/>
      <c r="AJ81" s="506"/>
      <c r="AK81" s="506"/>
      <c r="AL81" s="506"/>
      <c r="AM81" s="506"/>
      <c r="AN81" s="506"/>
      <c r="AO81" s="506"/>
      <c r="AP81" s="506"/>
      <c r="AQ81" s="506"/>
      <c r="AR81" s="506"/>
      <c r="AS81" s="506"/>
      <c r="AT81" s="506"/>
      <c r="AU81" s="506"/>
      <c r="AV81" s="969"/>
    </row>
    <row r="82" spans="1:48">
      <c r="A82" s="145"/>
      <c r="B82" s="153" t="s">
        <v>16</v>
      </c>
      <c r="C82" s="164" t="s">
        <v>655</v>
      </c>
      <c r="D82" s="147"/>
      <c r="E82" s="271"/>
      <c r="F82" s="979"/>
      <c r="G82" s="147" t="s">
        <v>16</v>
      </c>
      <c r="H82" s="147" t="s">
        <v>565</v>
      </c>
      <c r="I82" s="979"/>
      <c r="J82" s="151"/>
      <c r="K82" s="970"/>
      <c r="L82" s="155"/>
      <c r="M82" s="980"/>
      <c r="N82" s="147"/>
      <c r="O82" s="163"/>
      <c r="P82" s="230"/>
      <c r="Q82" s="274"/>
      <c r="R82" s="153"/>
      <c r="S82" s="147"/>
      <c r="T82" s="152"/>
      <c r="U82" s="151"/>
      <c r="V82" s="150"/>
      <c r="W82" s="202"/>
      <c r="X82" s="201"/>
      <c r="Y82" s="202"/>
      <c r="Z82" s="222"/>
      <c r="AA82" s="147"/>
      <c r="AB82" s="154"/>
      <c r="AC82" s="145"/>
      <c r="AD82" s="144"/>
      <c r="AE82" s="143"/>
      <c r="AF82" s="507"/>
      <c r="AG82" s="507"/>
      <c r="AH82" s="507"/>
      <c r="AI82" s="507"/>
      <c r="AJ82" s="507"/>
      <c r="AK82" s="507"/>
      <c r="AL82" s="507"/>
      <c r="AM82" s="507"/>
      <c r="AN82" s="507"/>
      <c r="AO82" s="507"/>
      <c r="AP82" s="507"/>
      <c r="AQ82" s="507"/>
      <c r="AR82" s="507"/>
      <c r="AS82" s="507"/>
      <c r="AT82" s="507"/>
      <c r="AU82" s="507"/>
      <c r="AV82" s="970"/>
    </row>
    <row r="83" spans="1:48">
      <c r="A83" s="145"/>
      <c r="B83" s="153" t="s">
        <v>18</v>
      </c>
      <c r="C83" s="162" t="s">
        <v>449</v>
      </c>
      <c r="D83" s="147"/>
      <c r="E83" s="271"/>
      <c r="F83" s="979"/>
      <c r="G83" s="147" t="s">
        <v>18</v>
      </c>
      <c r="H83" s="147" t="s">
        <v>19</v>
      </c>
      <c r="I83" s="979"/>
      <c r="J83" s="151"/>
      <c r="K83" s="970"/>
      <c r="L83" s="155"/>
      <c r="M83" s="980"/>
      <c r="N83" s="147"/>
      <c r="O83" s="154"/>
      <c r="P83" s="273"/>
      <c r="Q83" s="272"/>
      <c r="R83" s="153" t="s">
        <v>16</v>
      </c>
      <c r="S83" s="147" t="s">
        <v>15</v>
      </c>
      <c r="T83" s="152">
        <v>1</v>
      </c>
      <c r="U83" s="214">
        <v>1</v>
      </c>
      <c r="V83" s="150" t="s">
        <v>654</v>
      </c>
      <c r="W83" s="276">
        <f>-X83</f>
        <v>0</v>
      </c>
      <c r="X83" s="275">
        <v>0</v>
      </c>
      <c r="Y83" s="202">
        <v>7</v>
      </c>
      <c r="Z83" s="222">
        <f>W83+X83+Y83</f>
        <v>7</v>
      </c>
      <c r="AA83" s="147"/>
      <c r="AB83" s="154"/>
      <c r="AC83" s="145"/>
      <c r="AD83" s="144"/>
      <c r="AE83" s="143"/>
      <c r="AF83" s="507"/>
      <c r="AG83" s="507"/>
      <c r="AH83" s="507"/>
      <c r="AI83" s="507"/>
      <c r="AJ83" s="507"/>
      <c r="AK83" s="507"/>
      <c r="AL83" s="507"/>
      <c r="AM83" s="507"/>
      <c r="AN83" s="507"/>
      <c r="AO83" s="507"/>
      <c r="AP83" s="507"/>
      <c r="AQ83" s="507"/>
      <c r="AR83" s="507"/>
      <c r="AS83" s="507"/>
      <c r="AT83" s="507"/>
      <c r="AU83" s="507"/>
      <c r="AV83" s="970"/>
    </row>
    <row r="84" spans="1:48" ht="49.5" customHeight="1">
      <c r="A84" s="145"/>
      <c r="B84" s="157" t="s">
        <v>12</v>
      </c>
      <c r="C84" s="156" t="s">
        <v>600</v>
      </c>
      <c r="D84" s="147"/>
      <c r="E84" s="271"/>
      <c r="F84" s="979"/>
      <c r="G84" s="147"/>
      <c r="H84" s="146"/>
      <c r="I84" s="979"/>
      <c r="J84" s="151"/>
      <c r="K84" s="970"/>
      <c r="L84" s="155"/>
      <c r="M84" s="980"/>
      <c r="N84" s="147"/>
      <c r="O84" s="154"/>
      <c r="P84" s="145"/>
      <c r="Q84" s="146"/>
      <c r="R84" s="153"/>
      <c r="S84" s="147"/>
      <c r="T84" s="152"/>
      <c r="U84" s="214"/>
      <c r="V84" s="150"/>
      <c r="W84" s="202"/>
      <c r="X84" s="201"/>
      <c r="Y84" s="202"/>
      <c r="Z84" s="222"/>
      <c r="AA84" s="147"/>
      <c r="AB84" s="163"/>
      <c r="AC84" s="152"/>
      <c r="AD84" s="144"/>
      <c r="AE84" s="143"/>
      <c r="AF84" s="507"/>
      <c r="AG84" s="507"/>
      <c r="AH84" s="507"/>
      <c r="AI84" s="507"/>
      <c r="AJ84" s="507"/>
      <c r="AK84" s="507"/>
      <c r="AL84" s="507"/>
      <c r="AM84" s="507"/>
      <c r="AN84" s="507"/>
      <c r="AO84" s="507"/>
      <c r="AP84" s="507"/>
      <c r="AQ84" s="507"/>
      <c r="AR84" s="507"/>
      <c r="AS84" s="507"/>
      <c r="AT84" s="507"/>
      <c r="AU84" s="507"/>
      <c r="AV84" s="970"/>
    </row>
    <row r="85" spans="1:48">
      <c r="A85" s="145"/>
      <c r="B85" s="153" t="s">
        <v>8</v>
      </c>
      <c r="C85" s="220" t="s">
        <v>653</v>
      </c>
      <c r="D85" s="147"/>
      <c r="E85" s="271"/>
      <c r="F85" s="979"/>
      <c r="G85" s="147"/>
      <c r="H85" s="146"/>
      <c r="I85" s="979"/>
      <c r="J85" s="151"/>
      <c r="K85" s="970"/>
      <c r="L85" s="155"/>
      <c r="M85" s="980"/>
      <c r="N85" s="147"/>
      <c r="O85" s="154"/>
      <c r="P85" s="145"/>
      <c r="Q85" s="146"/>
      <c r="R85" s="153"/>
      <c r="S85" s="147"/>
      <c r="T85" s="152"/>
      <c r="U85" s="214"/>
      <c r="V85" s="150"/>
      <c r="W85" s="202"/>
      <c r="X85" s="201"/>
      <c r="Y85" s="202"/>
      <c r="Z85" s="222"/>
      <c r="AA85" s="147"/>
      <c r="AB85" s="163"/>
      <c r="AC85" s="152"/>
      <c r="AD85" s="144"/>
      <c r="AE85" s="143"/>
      <c r="AF85" s="507"/>
      <c r="AG85" s="507"/>
      <c r="AH85" s="507"/>
      <c r="AI85" s="507"/>
      <c r="AJ85" s="507"/>
      <c r="AK85" s="507"/>
      <c r="AL85" s="507"/>
      <c r="AM85" s="507"/>
      <c r="AN85" s="507"/>
      <c r="AO85" s="507"/>
      <c r="AP85" s="507"/>
      <c r="AQ85" s="507"/>
      <c r="AR85" s="507"/>
      <c r="AS85" s="507"/>
      <c r="AT85" s="507"/>
      <c r="AU85" s="507"/>
      <c r="AV85" s="970"/>
    </row>
    <row r="86" spans="1:48">
      <c r="A86" s="129"/>
      <c r="B86" s="137"/>
      <c r="C86" s="141"/>
      <c r="D86" s="131"/>
      <c r="E86" s="140"/>
      <c r="F86" s="992"/>
      <c r="G86" s="131"/>
      <c r="H86" s="130"/>
      <c r="I86" s="992"/>
      <c r="J86" s="135"/>
      <c r="K86" s="971"/>
      <c r="L86" s="139"/>
      <c r="M86" s="985"/>
      <c r="N86" s="131"/>
      <c r="O86" s="138"/>
      <c r="P86" s="129"/>
      <c r="Q86" s="130"/>
      <c r="R86" s="137"/>
      <c r="S86" s="131"/>
      <c r="T86" s="136"/>
      <c r="U86" s="210"/>
      <c r="V86" s="134"/>
      <c r="W86" s="133"/>
      <c r="X86" s="132"/>
      <c r="Y86" s="133"/>
      <c r="Z86" s="232"/>
      <c r="AA86" s="131"/>
      <c r="AB86" s="227"/>
      <c r="AC86" s="136"/>
      <c r="AD86" s="128"/>
      <c r="AE86" s="127"/>
      <c r="AF86" s="508"/>
      <c r="AG86" s="508"/>
      <c r="AH86" s="508"/>
      <c r="AI86" s="508"/>
      <c r="AJ86" s="508"/>
      <c r="AK86" s="508"/>
      <c r="AL86" s="508"/>
      <c r="AM86" s="508"/>
      <c r="AN86" s="508"/>
      <c r="AO86" s="508"/>
      <c r="AP86" s="508"/>
      <c r="AQ86" s="508"/>
      <c r="AR86" s="508"/>
      <c r="AS86" s="508"/>
      <c r="AT86" s="508"/>
      <c r="AU86" s="508"/>
      <c r="AV86" s="971"/>
    </row>
    <row r="87" spans="1:48">
      <c r="A87" s="185" t="s">
        <v>652</v>
      </c>
      <c r="B87" s="176" t="s">
        <v>25</v>
      </c>
      <c r="C87" s="184" t="s">
        <v>651</v>
      </c>
      <c r="D87" s="183"/>
      <c r="E87" s="170"/>
      <c r="F87" s="998" t="e">
        <f>#REF!</f>
        <v>#REF!</v>
      </c>
      <c r="G87" s="182" t="s">
        <v>25</v>
      </c>
      <c r="H87" s="181" t="s">
        <v>650</v>
      </c>
      <c r="I87" s="998">
        <v>641</v>
      </c>
      <c r="J87" s="981"/>
      <c r="K87" s="969" t="s">
        <v>649</v>
      </c>
      <c r="L87" s="1001" t="s">
        <v>46</v>
      </c>
      <c r="M87" s="996"/>
      <c r="N87" s="183"/>
      <c r="O87" s="270"/>
      <c r="P87" s="175"/>
      <c r="Q87" s="174"/>
      <c r="R87" s="176" t="s">
        <v>25</v>
      </c>
      <c r="S87" s="170" t="s">
        <v>24</v>
      </c>
      <c r="T87" s="175">
        <v>1</v>
      </c>
      <c r="U87" s="174">
        <v>1</v>
      </c>
      <c r="V87" s="262" t="s">
        <v>109</v>
      </c>
      <c r="W87" s="261">
        <v>0</v>
      </c>
      <c r="X87" s="261">
        <v>0</v>
      </c>
      <c r="Y87" s="261">
        <v>5</v>
      </c>
      <c r="Z87" s="222">
        <f>W87+X87+Y87</f>
        <v>5</v>
      </c>
      <c r="AA87" s="183"/>
      <c r="AB87" s="181"/>
      <c r="AC87" s="168"/>
      <c r="AD87" s="995"/>
      <c r="AE87" s="966"/>
      <c r="AF87" s="506"/>
      <c r="AG87" s="506"/>
      <c r="AH87" s="506"/>
      <c r="AI87" s="506"/>
      <c r="AJ87" s="506"/>
      <c r="AK87" s="506"/>
      <c r="AL87" s="506"/>
      <c r="AM87" s="506"/>
      <c r="AN87" s="506"/>
      <c r="AO87" s="506"/>
      <c r="AP87" s="506"/>
      <c r="AQ87" s="506"/>
      <c r="AR87" s="506"/>
      <c r="AS87" s="506"/>
      <c r="AT87" s="506"/>
      <c r="AU87" s="506"/>
      <c r="AV87" s="969"/>
    </row>
    <row r="88" spans="1:48">
      <c r="A88" s="145"/>
      <c r="B88" s="153" t="s">
        <v>16</v>
      </c>
      <c r="C88" s="164" t="s">
        <v>648</v>
      </c>
      <c r="D88" s="147"/>
      <c r="E88" s="163"/>
      <c r="F88" s="979"/>
      <c r="G88" s="147" t="s">
        <v>16</v>
      </c>
      <c r="H88" s="147" t="s">
        <v>565</v>
      </c>
      <c r="I88" s="979"/>
      <c r="J88" s="982"/>
      <c r="K88" s="970"/>
      <c r="L88" s="984"/>
      <c r="M88" s="980"/>
      <c r="N88" s="147"/>
      <c r="O88" s="154"/>
      <c r="P88" s="152"/>
      <c r="Q88" s="151"/>
      <c r="R88" s="153"/>
      <c r="S88" s="147"/>
      <c r="T88" s="152"/>
      <c r="U88" s="151"/>
      <c r="V88" s="150"/>
      <c r="W88" s="202"/>
      <c r="X88" s="201"/>
      <c r="Y88" s="257"/>
      <c r="Z88" s="222"/>
      <c r="AA88" s="147"/>
      <c r="AB88" s="154"/>
      <c r="AC88" s="145"/>
      <c r="AD88" s="986"/>
      <c r="AE88" s="967"/>
      <c r="AF88" s="507"/>
      <c r="AG88" s="507"/>
      <c r="AH88" s="507"/>
      <c r="AI88" s="507"/>
      <c r="AJ88" s="507"/>
      <c r="AK88" s="507"/>
      <c r="AL88" s="507"/>
      <c r="AM88" s="507"/>
      <c r="AN88" s="507"/>
      <c r="AO88" s="507"/>
      <c r="AP88" s="507"/>
      <c r="AQ88" s="507"/>
      <c r="AR88" s="507"/>
      <c r="AS88" s="507"/>
      <c r="AT88" s="507"/>
      <c r="AU88" s="507"/>
      <c r="AV88" s="970"/>
    </row>
    <row r="89" spans="1:48">
      <c r="A89" s="145"/>
      <c r="B89" s="153" t="s">
        <v>18</v>
      </c>
      <c r="C89" s="162" t="s">
        <v>38</v>
      </c>
      <c r="D89" s="147"/>
      <c r="E89" s="147"/>
      <c r="F89" s="979"/>
      <c r="G89" s="147" t="s">
        <v>18</v>
      </c>
      <c r="H89" s="147" t="s">
        <v>19</v>
      </c>
      <c r="I89" s="979"/>
      <c r="J89" s="982"/>
      <c r="K89" s="970"/>
      <c r="L89" s="984"/>
      <c r="M89" s="980"/>
      <c r="N89" s="147"/>
      <c r="O89" s="154"/>
      <c r="P89" s="145"/>
      <c r="Q89" s="146"/>
      <c r="R89" s="153" t="s">
        <v>16</v>
      </c>
      <c r="S89" s="147" t="s">
        <v>15</v>
      </c>
      <c r="T89" s="976">
        <v>3</v>
      </c>
      <c r="U89" s="214">
        <v>1</v>
      </c>
      <c r="V89" s="240" t="s">
        <v>647</v>
      </c>
      <c r="W89" s="258">
        <v>4</v>
      </c>
      <c r="X89" s="258">
        <v>0</v>
      </c>
      <c r="Y89" s="258"/>
      <c r="Z89" s="222">
        <f t="shared" ref="Z89:Z97" si="0">W89+X89+Y89</f>
        <v>4</v>
      </c>
      <c r="AA89" s="147"/>
      <c r="AB89" s="154"/>
      <c r="AC89" s="145"/>
      <c r="AD89" s="986"/>
      <c r="AE89" s="967"/>
      <c r="AF89" s="507"/>
      <c r="AG89" s="507"/>
      <c r="AH89" s="507"/>
      <c r="AI89" s="507"/>
      <c r="AJ89" s="507"/>
      <c r="AK89" s="507"/>
      <c r="AL89" s="507"/>
      <c r="AM89" s="507"/>
      <c r="AN89" s="507"/>
      <c r="AO89" s="507"/>
      <c r="AP89" s="507"/>
      <c r="AQ89" s="507"/>
      <c r="AR89" s="507"/>
      <c r="AS89" s="507"/>
      <c r="AT89" s="507"/>
      <c r="AU89" s="507"/>
      <c r="AV89" s="970"/>
    </row>
    <row r="90" spans="1:48" ht="55.2">
      <c r="A90" s="145"/>
      <c r="B90" s="157" t="s">
        <v>12</v>
      </c>
      <c r="C90" s="156" t="s">
        <v>646</v>
      </c>
      <c r="D90" s="147"/>
      <c r="E90" s="154"/>
      <c r="F90" s="979"/>
      <c r="G90" s="147"/>
      <c r="H90" s="146"/>
      <c r="I90" s="979"/>
      <c r="J90" s="982"/>
      <c r="K90" s="970"/>
      <c r="L90" s="984"/>
      <c r="M90" s="980"/>
      <c r="N90" s="147"/>
      <c r="O90" s="154"/>
      <c r="P90" s="145"/>
      <c r="Q90" s="146"/>
      <c r="R90" s="153"/>
      <c r="S90" s="147"/>
      <c r="T90" s="976"/>
      <c r="U90" s="214"/>
      <c r="V90" s="240" t="s">
        <v>647</v>
      </c>
      <c r="W90" s="258"/>
      <c r="X90" s="258">
        <v>0</v>
      </c>
      <c r="Y90" s="258">
        <v>15</v>
      </c>
      <c r="Z90" s="222">
        <f>W91+X91+Y91</f>
        <v>10</v>
      </c>
      <c r="AA90" s="147"/>
      <c r="AB90" s="154"/>
      <c r="AC90" s="145"/>
      <c r="AD90" s="986"/>
      <c r="AE90" s="967"/>
      <c r="AF90" s="507"/>
      <c r="AG90" s="507"/>
      <c r="AH90" s="507"/>
      <c r="AI90" s="507"/>
      <c r="AJ90" s="507"/>
      <c r="AK90" s="507"/>
      <c r="AL90" s="507"/>
      <c r="AM90" s="507"/>
      <c r="AN90" s="507"/>
      <c r="AO90" s="507"/>
      <c r="AP90" s="507"/>
      <c r="AQ90" s="507"/>
      <c r="AR90" s="507"/>
      <c r="AS90" s="507"/>
      <c r="AT90" s="507"/>
      <c r="AU90" s="507"/>
      <c r="AV90" s="970"/>
    </row>
    <row r="91" spans="1:48">
      <c r="A91" s="145"/>
      <c r="B91" s="157" t="s">
        <v>429</v>
      </c>
      <c r="C91" s="156" t="s">
        <v>1831</v>
      </c>
      <c r="D91" s="147"/>
      <c r="E91" s="154"/>
      <c r="F91" s="979"/>
      <c r="G91" s="147"/>
      <c r="H91" s="146"/>
      <c r="I91" s="979"/>
      <c r="J91" s="982"/>
      <c r="K91" s="970"/>
      <c r="L91" s="984"/>
      <c r="M91" s="980"/>
      <c r="N91" s="147"/>
      <c r="O91" s="154"/>
      <c r="P91" s="145"/>
      <c r="Q91" s="146"/>
      <c r="R91" s="153"/>
      <c r="S91" s="147"/>
      <c r="T91" s="976"/>
      <c r="U91" s="510">
        <v>2</v>
      </c>
      <c r="V91" s="240" t="s">
        <v>82</v>
      </c>
      <c r="W91" s="258">
        <v>0</v>
      </c>
      <c r="X91" s="258">
        <v>0</v>
      </c>
      <c r="Y91" s="258">
        <v>10</v>
      </c>
      <c r="Z91" s="222"/>
      <c r="AA91" s="147"/>
      <c r="AB91" s="154"/>
      <c r="AC91" s="145"/>
      <c r="AD91" s="986"/>
      <c r="AE91" s="967"/>
      <c r="AF91" s="507"/>
      <c r="AG91" s="507"/>
      <c r="AH91" s="507"/>
      <c r="AI91" s="507"/>
      <c r="AJ91" s="507"/>
      <c r="AK91" s="507"/>
      <c r="AL91" s="507"/>
      <c r="AM91" s="507"/>
      <c r="AN91" s="507"/>
      <c r="AO91" s="507"/>
      <c r="AP91" s="507"/>
      <c r="AQ91" s="507"/>
      <c r="AR91" s="507"/>
      <c r="AS91" s="507"/>
      <c r="AT91" s="507"/>
      <c r="AU91" s="507"/>
      <c r="AV91" s="970"/>
    </row>
    <row r="92" spans="1:48">
      <c r="A92" s="145"/>
      <c r="B92" s="157"/>
      <c r="C92" s="156"/>
      <c r="D92" s="147"/>
      <c r="E92" s="154"/>
      <c r="F92" s="979"/>
      <c r="G92" s="147"/>
      <c r="H92" s="146"/>
      <c r="I92" s="979"/>
      <c r="J92" s="982"/>
      <c r="K92" s="970"/>
      <c r="L92" s="984"/>
      <c r="M92" s="980"/>
      <c r="N92" s="147"/>
      <c r="O92" s="154"/>
      <c r="P92" s="145"/>
      <c r="Q92" s="146"/>
      <c r="R92" s="153"/>
      <c r="S92" s="147"/>
      <c r="T92" s="976"/>
      <c r="U92" s="510">
        <v>3</v>
      </c>
      <c r="V92" s="240" t="s">
        <v>240</v>
      </c>
      <c r="W92" s="258">
        <v>10</v>
      </c>
      <c r="X92" s="258">
        <v>0</v>
      </c>
      <c r="Y92" s="258">
        <v>0</v>
      </c>
      <c r="Z92" s="222"/>
      <c r="AA92" s="147"/>
      <c r="AB92" s="154"/>
      <c r="AC92" s="145"/>
      <c r="AD92" s="986"/>
      <c r="AE92" s="967"/>
      <c r="AF92" s="507"/>
      <c r="AG92" s="507"/>
      <c r="AH92" s="507"/>
      <c r="AI92" s="507"/>
      <c r="AJ92" s="507"/>
      <c r="AK92" s="507"/>
      <c r="AL92" s="507"/>
      <c r="AM92" s="507"/>
      <c r="AN92" s="507"/>
      <c r="AO92" s="507"/>
      <c r="AP92" s="507"/>
      <c r="AQ92" s="507"/>
      <c r="AR92" s="507"/>
      <c r="AS92" s="507"/>
      <c r="AT92" s="507"/>
      <c r="AU92" s="507"/>
      <c r="AV92" s="970"/>
    </row>
    <row r="93" spans="1:48">
      <c r="A93" s="129"/>
      <c r="B93" s="197"/>
      <c r="C93" s="269"/>
      <c r="D93" s="131"/>
      <c r="E93" s="268"/>
      <c r="F93" s="992"/>
      <c r="G93" s="131"/>
      <c r="H93" s="130"/>
      <c r="I93" s="992"/>
      <c r="J93" s="993"/>
      <c r="K93" s="971"/>
      <c r="L93" s="994"/>
      <c r="M93" s="985"/>
      <c r="N93" s="131"/>
      <c r="O93" s="138"/>
      <c r="P93" s="129"/>
      <c r="Q93" s="130"/>
      <c r="R93" s="137"/>
      <c r="S93" s="131"/>
      <c r="T93" s="977"/>
      <c r="U93" s="713"/>
      <c r="V93" s="713"/>
      <c r="W93" s="713"/>
      <c r="X93" s="713"/>
      <c r="Y93" s="713"/>
      <c r="Z93" s="222">
        <f>W92+X92+Y92</f>
        <v>10</v>
      </c>
      <c r="AA93" s="131"/>
      <c r="AB93" s="138"/>
      <c r="AC93" s="129"/>
      <c r="AD93" s="987"/>
      <c r="AE93" s="968"/>
      <c r="AF93" s="508"/>
      <c r="AG93" s="508"/>
      <c r="AH93" s="508"/>
      <c r="AI93" s="508"/>
      <c r="AJ93" s="508"/>
      <c r="AK93" s="508"/>
      <c r="AL93" s="508"/>
      <c r="AM93" s="508"/>
      <c r="AN93" s="508"/>
      <c r="AO93" s="508"/>
      <c r="AP93" s="508"/>
      <c r="AQ93" s="508"/>
      <c r="AR93" s="508"/>
      <c r="AS93" s="508"/>
      <c r="AT93" s="508"/>
      <c r="AU93" s="508"/>
      <c r="AV93" s="971"/>
    </row>
    <row r="94" spans="1:48">
      <c r="A94" s="185" t="s">
        <v>645</v>
      </c>
      <c r="B94" s="176" t="s">
        <v>25</v>
      </c>
      <c r="C94" s="184" t="s">
        <v>644</v>
      </c>
      <c r="D94" s="183"/>
      <c r="E94" s="170"/>
      <c r="F94" s="978" t="s">
        <v>643</v>
      </c>
      <c r="G94" s="182" t="s">
        <v>25</v>
      </c>
      <c r="H94" s="181" t="s">
        <v>568</v>
      </c>
      <c r="I94" s="998">
        <v>3067</v>
      </c>
      <c r="J94" s="981"/>
      <c r="K94" s="969" t="s">
        <v>642</v>
      </c>
      <c r="L94" s="1001" t="s">
        <v>46</v>
      </c>
      <c r="M94" s="996"/>
      <c r="N94" s="183"/>
      <c r="O94" s="179"/>
      <c r="P94" s="265"/>
      <c r="Q94" s="264"/>
      <c r="R94" s="176" t="s">
        <v>25</v>
      </c>
      <c r="S94" s="184" t="s">
        <v>24</v>
      </c>
      <c r="T94" s="263">
        <v>2</v>
      </c>
      <c r="U94" s="174">
        <v>1</v>
      </c>
      <c r="V94" s="262" t="s">
        <v>585</v>
      </c>
      <c r="W94" s="261">
        <v>0</v>
      </c>
      <c r="X94" s="261">
        <v>0</v>
      </c>
      <c r="Y94" s="261">
        <v>19</v>
      </c>
      <c r="Z94" s="260">
        <f t="shared" si="0"/>
        <v>19</v>
      </c>
      <c r="AA94" s="183"/>
      <c r="AB94" s="181"/>
      <c r="AC94" s="168"/>
      <c r="AD94" s="995"/>
      <c r="AE94" s="966"/>
      <c r="AF94" s="506"/>
      <c r="AG94" s="506"/>
      <c r="AH94" s="506"/>
      <c r="AI94" s="506"/>
      <c r="AJ94" s="506"/>
      <c r="AK94" s="506"/>
      <c r="AL94" s="506"/>
      <c r="AM94" s="506"/>
      <c r="AN94" s="506"/>
      <c r="AO94" s="506"/>
      <c r="AP94" s="506"/>
      <c r="AQ94" s="506"/>
      <c r="AR94" s="506"/>
      <c r="AS94" s="506"/>
      <c r="AT94" s="506"/>
      <c r="AU94" s="506"/>
      <c r="AV94" s="969"/>
    </row>
    <row r="95" spans="1:48">
      <c r="A95" s="145"/>
      <c r="B95" s="153" t="s">
        <v>16</v>
      </c>
      <c r="C95" s="164" t="s">
        <v>641</v>
      </c>
      <c r="D95" s="147"/>
      <c r="E95" s="163"/>
      <c r="F95" s="979"/>
      <c r="G95" s="147" t="s">
        <v>16</v>
      </c>
      <c r="H95" s="147" t="s">
        <v>565</v>
      </c>
      <c r="I95" s="979"/>
      <c r="J95" s="982"/>
      <c r="K95" s="970"/>
      <c r="L95" s="984"/>
      <c r="M95" s="980"/>
      <c r="N95" s="147"/>
      <c r="O95" s="163"/>
      <c r="P95" s="230"/>
      <c r="Q95" s="247"/>
      <c r="R95" s="153"/>
      <c r="S95" s="162"/>
      <c r="T95" s="152"/>
      <c r="U95" s="151">
        <v>2</v>
      </c>
      <c r="V95" s="240" t="s">
        <v>56</v>
      </c>
      <c r="W95" s="258">
        <v>0</v>
      </c>
      <c r="X95" s="258">
        <v>0</v>
      </c>
      <c r="Y95" s="258">
        <v>12</v>
      </c>
      <c r="Z95" s="222">
        <f t="shared" si="0"/>
        <v>12</v>
      </c>
      <c r="AA95" s="147"/>
      <c r="AB95" s="154"/>
      <c r="AC95" s="145"/>
      <c r="AD95" s="986"/>
      <c r="AE95" s="967"/>
      <c r="AF95" s="507"/>
      <c r="AG95" s="507"/>
      <c r="AH95" s="507"/>
      <c r="AI95" s="507"/>
      <c r="AJ95" s="507"/>
      <c r="AK95" s="507"/>
      <c r="AL95" s="507"/>
      <c r="AM95" s="507"/>
      <c r="AN95" s="507"/>
      <c r="AO95" s="507"/>
      <c r="AP95" s="507"/>
      <c r="AQ95" s="507"/>
      <c r="AR95" s="507"/>
      <c r="AS95" s="507"/>
      <c r="AT95" s="507"/>
      <c r="AU95" s="507"/>
      <c r="AV95" s="970"/>
    </row>
    <row r="96" spans="1:48">
      <c r="A96" s="145"/>
      <c r="B96" s="153" t="s">
        <v>18</v>
      </c>
      <c r="C96" s="162" t="s">
        <v>633</v>
      </c>
      <c r="D96" s="147"/>
      <c r="E96" s="147"/>
      <c r="F96" s="979"/>
      <c r="G96" s="147" t="s">
        <v>18</v>
      </c>
      <c r="H96" s="147" t="s">
        <v>19</v>
      </c>
      <c r="I96" s="979"/>
      <c r="J96" s="982"/>
      <c r="K96" s="970"/>
      <c r="L96" s="984"/>
      <c r="M96" s="980"/>
      <c r="N96" s="147"/>
      <c r="O96" s="154"/>
      <c r="P96" s="230"/>
      <c r="Q96" s="247"/>
      <c r="R96" s="246"/>
      <c r="S96" s="259"/>
      <c r="T96" s="145"/>
      <c r="U96" s="214">
        <v>3</v>
      </c>
      <c r="V96" s="213" t="s">
        <v>58</v>
      </c>
      <c r="W96" s="258">
        <v>0</v>
      </c>
      <c r="X96" s="258">
        <v>0</v>
      </c>
      <c r="Y96" s="257">
        <v>117</v>
      </c>
      <c r="Z96" s="222">
        <f t="shared" si="0"/>
        <v>117</v>
      </c>
      <c r="AA96" s="147"/>
      <c r="AB96" s="154"/>
      <c r="AC96" s="145"/>
      <c r="AD96" s="986"/>
      <c r="AE96" s="967"/>
      <c r="AF96" s="507"/>
      <c r="AG96" s="507"/>
      <c r="AH96" s="507"/>
      <c r="AI96" s="507"/>
      <c r="AJ96" s="507"/>
      <c r="AK96" s="507"/>
      <c r="AL96" s="507"/>
      <c r="AM96" s="507"/>
      <c r="AN96" s="507"/>
      <c r="AO96" s="507"/>
      <c r="AP96" s="507"/>
      <c r="AQ96" s="507"/>
      <c r="AR96" s="507"/>
      <c r="AS96" s="507"/>
      <c r="AT96" s="507"/>
      <c r="AU96" s="507"/>
      <c r="AV96" s="970"/>
    </row>
    <row r="97" spans="1:48" ht="51" customHeight="1">
      <c r="A97" s="145"/>
      <c r="B97" s="157" t="s">
        <v>12</v>
      </c>
      <c r="C97" s="156" t="s">
        <v>640</v>
      </c>
      <c r="D97" s="147"/>
      <c r="E97" s="154"/>
      <c r="F97" s="979"/>
      <c r="G97" s="147"/>
      <c r="H97" s="146"/>
      <c r="I97" s="979"/>
      <c r="J97" s="982"/>
      <c r="K97" s="970"/>
      <c r="L97" s="984"/>
      <c r="M97" s="980"/>
      <c r="N97" s="147"/>
      <c r="O97" s="154"/>
      <c r="P97" s="145"/>
      <c r="Q97" s="157"/>
      <c r="R97" s="153"/>
      <c r="S97" s="162"/>
      <c r="T97" s="256"/>
      <c r="U97" s="151">
        <v>4</v>
      </c>
      <c r="V97" s="150" t="s">
        <v>109</v>
      </c>
      <c r="W97" s="258">
        <v>0</v>
      </c>
      <c r="X97" s="258">
        <v>0</v>
      </c>
      <c r="Y97" s="257">
        <v>57</v>
      </c>
      <c r="Z97" s="222">
        <f t="shared" si="0"/>
        <v>57</v>
      </c>
      <c r="AA97" s="147"/>
      <c r="AB97" s="163"/>
      <c r="AC97" s="152"/>
      <c r="AD97" s="986"/>
      <c r="AE97" s="967"/>
      <c r="AF97" s="507"/>
      <c r="AG97" s="507"/>
      <c r="AH97" s="507"/>
      <c r="AI97" s="507"/>
      <c r="AJ97" s="507"/>
      <c r="AK97" s="507"/>
      <c r="AL97" s="507"/>
      <c r="AM97" s="507"/>
      <c r="AN97" s="507"/>
      <c r="AO97" s="507"/>
      <c r="AP97" s="507"/>
      <c r="AQ97" s="507"/>
      <c r="AR97" s="507"/>
      <c r="AS97" s="507"/>
      <c r="AT97" s="507"/>
      <c r="AU97" s="507"/>
      <c r="AV97" s="970"/>
    </row>
    <row r="98" spans="1:48">
      <c r="A98" s="145"/>
      <c r="B98" s="157" t="s">
        <v>8</v>
      </c>
      <c r="C98" s="156" t="s">
        <v>639</v>
      </c>
      <c r="D98" s="147"/>
      <c r="E98" s="154"/>
      <c r="F98" s="979"/>
      <c r="G98" s="147"/>
      <c r="H98" s="146"/>
      <c r="I98" s="979"/>
      <c r="J98" s="982"/>
      <c r="K98" s="970"/>
      <c r="L98" s="984"/>
      <c r="M98" s="980"/>
      <c r="N98" s="147"/>
      <c r="O98" s="154"/>
      <c r="P98" s="230"/>
      <c r="Q98" s="247"/>
      <c r="R98" s="153"/>
      <c r="S98" s="162"/>
      <c r="T98" s="145"/>
      <c r="U98" s="151"/>
      <c r="V98" s="150"/>
      <c r="W98" s="202"/>
      <c r="X98" s="201"/>
      <c r="Y98" s="202"/>
      <c r="Z98" s="222"/>
      <c r="AA98" s="147"/>
      <c r="AB98" s="163"/>
      <c r="AC98" s="152"/>
      <c r="AD98" s="986"/>
      <c r="AE98" s="967"/>
      <c r="AF98" s="507"/>
      <c r="AG98" s="507"/>
      <c r="AH98" s="507"/>
      <c r="AI98" s="507"/>
      <c r="AJ98" s="507"/>
      <c r="AK98" s="507"/>
      <c r="AL98" s="507"/>
      <c r="AM98" s="507"/>
      <c r="AN98" s="507"/>
      <c r="AO98" s="507"/>
      <c r="AP98" s="507"/>
      <c r="AQ98" s="507"/>
      <c r="AR98" s="507"/>
      <c r="AS98" s="507"/>
      <c r="AT98" s="507"/>
      <c r="AU98" s="507"/>
      <c r="AV98" s="970"/>
    </row>
    <row r="99" spans="1:48">
      <c r="A99" s="145"/>
      <c r="B99" s="157"/>
      <c r="C99" s="156"/>
      <c r="D99" s="147"/>
      <c r="E99" s="154"/>
      <c r="F99" s="979"/>
      <c r="G99" s="147"/>
      <c r="H99" s="146"/>
      <c r="I99" s="979"/>
      <c r="J99" s="982"/>
      <c r="K99" s="970"/>
      <c r="L99" s="984"/>
      <c r="M99" s="980"/>
      <c r="N99" s="147"/>
      <c r="O99" s="154"/>
      <c r="P99" s="230"/>
      <c r="Q99" s="247"/>
      <c r="R99" s="153" t="s">
        <v>16</v>
      </c>
      <c r="S99" s="162" t="s">
        <v>15</v>
      </c>
      <c r="T99" s="256">
        <v>1</v>
      </c>
      <c r="U99" s="151">
        <v>1</v>
      </c>
      <c r="V99" s="150" t="s">
        <v>14</v>
      </c>
      <c r="W99" s="149">
        <v>0</v>
      </c>
      <c r="X99" s="148">
        <v>87</v>
      </c>
      <c r="Y99" s="255"/>
      <c r="Z99" s="148">
        <f>SUM(W99:Y99)</f>
        <v>87</v>
      </c>
      <c r="AA99" s="147"/>
      <c r="AB99" s="163"/>
      <c r="AC99" s="152"/>
      <c r="AD99" s="986"/>
      <c r="AE99" s="967"/>
      <c r="AF99" s="507"/>
      <c r="AG99" s="507"/>
      <c r="AH99" s="507"/>
      <c r="AI99" s="507"/>
      <c r="AJ99" s="507"/>
      <c r="AK99" s="507"/>
      <c r="AL99" s="507"/>
      <c r="AM99" s="507"/>
      <c r="AN99" s="507"/>
      <c r="AO99" s="507"/>
      <c r="AP99" s="507"/>
      <c r="AQ99" s="507"/>
      <c r="AR99" s="507"/>
      <c r="AS99" s="507"/>
      <c r="AT99" s="507"/>
      <c r="AU99" s="507"/>
      <c r="AV99" s="970"/>
    </row>
    <row r="100" spans="1:48">
      <c r="A100" s="145"/>
      <c r="B100" s="157"/>
      <c r="C100" s="156"/>
      <c r="D100" s="147"/>
      <c r="E100" s="154"/>
      <c r="F100" s="979"/>
      <c r="G100" s="147"/>
      <c r="H100" s="146"/>
      <c r="I100" s="979"/>
      <c r="J100" s="982"/>
      <c r="K100" s="970"/>
      <c r="L100" s="984"/>
      <c r="M100" s="980"/>
      <c r="N100" s="147"/>
      <c r="O100" s="154"/>
      <c r="P100" s="230"/>
      <c r="Q100" s="247"/>
      <c r="R100" s="153"/>
      <c r="S100" s="162"/>
      <c r="T100" s="256"/>
      <c r="U100" s="504"/>
      <c r="V100" s="150" t="s">
        <v>14</v>
      </c>
      <c r="W100" s="149">
        <v>0</v>
      </c>
      <c r="X100" s="148"/>
      <c r="Y100" s="255">
        <v>203</v>
      </c>
      <c r="Z100" s="148"/>
      <c r="AA100" s="147"/>
      <c r="AB100" s="163"/>
      <c r="AC100" s="503"/>
      <c r="AD100" s="986"/>
      <c r="AE100" s="967"/>
      <c r="AF100" s="507"/>
      <c r="AG100" s="507"/>
      <c r="AH100" s="507"/>
      <c r="AI100" s="507"/>
      <c r="AJ100" s="507"/>
      <c r="AK100" s="507"/>
      <c r="AL100" s="507"/>
      <c r="AM100" s="507"/>
      <c r="AN100" s="507"/>
      <c r="AO100" s="507"/>
      <c r="AP100" s="507"/>
      <c r="AQ100" s="507"/>
      <c r="AR100" s="507"/>
      <c r="AS100" s="507"/>
      <c r="AT100" s="507"/>
      <c r="AU100" s="507"/>
      <c r="AV100" s="970"/>
    </row>
    <row r="101" spans="1:48">
      <c r="A101" s="145"/>
      <c r="B101" s="157"/>
      <c r="C101" s="156"/>
      <c r="D101" s="147"/>
      <c r="E101" s="154"/>
      <c r="F101" s="979"/>
      <c r="G101" s="147"/>
      <c r="H101" s="146"/>
      <c r="I101" s="979"/>
      <c r="J101" s="982"/>
      <c r="K101" s="970"/>
      <c r="L101" s="984"/>
      <c r="M101" s="980"/>
      <c r="N101" s="147"/>
      <c r="O101" s="154"/>
      <c r="P101" s="230"/>
      <c r="Q101" s="247"/>
      <c r="R101" s="153"/>
      <c r="S101" s="162"/>
      <c r="T101" s="145"/>
      <c r="U101" s="151">
        <v>2</v>
      </c>
      <c r="V101" s="150" t="s">
        <v>82</v>
      </c>
      <c r="W101" s="149">
        <v>0</v>
      </c>
      <c r="X101" s="148">
        <v>0</v>
      </c>
      <c r="Y101" s="149">
        <v>160</v>
      </c>
      <c r="Z101" s="148">
        <f>W101+X101+Y101</f>
        <v>160</v>
      </c>
      <c r="AA101" s="147"/>
      <c r="AB101" s="163"/>
      <c r="AC101" s="152"/>
      <c r="AD101" s="986"/>
      <c r="AE101" s="967"/>
      <c r="AF101" s="507"/>
      <c r="AG101" s="507"/>
      <c r="AH101" s="507"/>
      <c r="AI101" s="507"/>
      <c r="AJ101" s="507"/>
      <c r="AK101" s="507"/>
      <c r="AL101" s="507"/>
      <c r="AM101" s="507"/>
      <c r="AN101" s="507"/>
      <c r="AO101" s="507"/>
      <c r="AP101" s="507"/>
      <c r="AQ101" s="507"/>
      <c r="AR101" s="507"/>
      <c r="AS101" s="507"/>
      <c r="AT101" s="507"/>
      <c r="AU101" s="507"/>
      <c r="AV101" s="970"/>
    </row>
    <row r="102" spans="1:48">
      <c r="A102" s="145"/>
      <c r="B102" s="157"/>
      <c r="C102" s="156"/>
      <c r="D102" s="147"/>
      <c r="E102" s="154"/>
      <c r="F102" s="979"/>
      <c r="G102" s="147"/>
      <c r="H102" s="146"/>
      <c r="I102" s="979"/>
      <c r="J102" s="982"/>
      <c r="K102" s="970"/>
      <c r="L102" s="984"/>
      <c r="M102" s="980"/>
      <c r="N102" s="147"/>
      <c r="O102" s="154"/>
      <c r="P102" s="145"/>
      <c r="Q102" s="146"/>
      <c r="R102" s="153"/>
      <c r="S102" s="162"/>
      <c r="T102" s="256"/>
      <c r="U102" s="151">
        <v>3</v>
      </c>
      <c r="V102" s="150" t="s">
        <v>410</v>
      </c>
      <c r="W102" s="149">
        <v>0</v>
      </c>
      <c r="X102" s="148">
        <v>0</v>
      </c>
      <c r="Y102" s="255">
        <v>140</v>
      </c>
      <c r="Z102" s="148">
        <f>W102+X102+Y102</f>
        <v>140</v>
      </c>
      <c r="AA102" s="147"/>
      <c r="AB102" s="163"/>
      <c r="AC102" s="152"/>
      <c r="AD102" s="986"/>
      <c r="AE102" s="967"/>
      <c r="AF102" s="507"/>
      <c r="AG102" s="507"/>
      <c r="AH102" s="507"/>
      <c r="AI102" s="507"/>
      <c r="AJ102" s="507"/>
      <c r="AK102" s="507"/>
      <c r="AL102" s="507"/>
      <c r="AM102" s="507"/>
      <c r="AN102" s="507"/>
      <c r="AO102" s="507"/>
      <c r="AP102" s="507"/>
      <c r="AQ102" s="507"/>
      <c r="AR102" s="507"/>
      <c r="AS102" s="507"/>
      <c r="AT102" s="507"/>
      <c r="AU102" s="507"/>
      <c r="AV102" s="970"/>
    </row>
    <row r="103" spans="1:48">
      <c r="A103" s="129"/>
      <c r="B103" s="137"/>
      <c r="C103" s="141"/>
      <c r="D103" s="131"/>
      <c r="E103" s="140"/>
      <c r="F103" s="992"/>
      <c r="G103" s="131"/>
      <c r="H103" s="130"/>
      <c r="I103" s="992"/>
      <c r="J103" s="993"/>
      <c r="K103" s="971"/>
      <c r="L103" s="994"/>
      <c r="M103" s="985"/>
      <c r="N103" s="131"/>
      <c r="O103" s="138"/>
      <c r="P103" s="129"/>
      <c r="Q103" s="130"/>
      <c r="R103" s="137"/>
      <c r="S103" s="254"/>
      <c r="T103" s="145"/>
      <c r="U103" s="151"/>
      <c r="V103" s="150"/>
      <c r="W103" s="202"/>
      <c r="X103" s="201"/>
      <c r="Y103" s="202"/>
      <c r="Z103" s="222"/>
      <c r="AA103" s="131"/>
      <c r="AB103" s="227"/>
      <c r="AC103" s="136"/>
      <c r="AD103" s="987"/>
      <c r="AE103" s="968"/>
      <c r="AF103" s="508"/>
      <c r="AG103" s="508"/>
      <c r="AH103" s="508"/>
      <c r="AI103" s="508"/>
      <c r="AJ103" s="508"/>
      <c r="AK103" s="508"/>
      <c r="AL103" s="508"/>
      <c r="AM103" s="508"/>
      <c r="AN103" s="508"/>
      <c r="AO103" s="508"/>
      <c r="AP103" s="508"/>
      <c r="AQ103" s="508"/>
      <c r="AR103" s="508"/>
      <c r="AS103" s="508"/>
      <c r="AT103" s="508"/>
      <c r="AU103" s="508"/>
      <c r="AV103" s="971"/>
    </row>
    <row r="104" spans="1:48">
      <c r="A104" s="185" t="s">
        <v>638</v>
      </c>
      <c r="B104" s="176" t="s">
        <v>25</v>
      </c>
      <c r="C104" s="184" t="s">
        <v>637</v>
      </c>
      <c r="D104" s="183"/>
      <c r="E104" s="170" t="s">
        <v>606</v>
      </c>
      <c r="F104" s="978" t="s">
        <v>636</v>
      </c>
      <c r="G104" s="182" t="s">
        <v>25</v>
      </c>
      <c r="H104" s="181" t="s">
        <v>568</v>
      </c>
      <c r="I104" s="998">
        <v>1630</v>
      </c>
      <c r="J104" s="981"/>
      <c r="K104" s="969" t="s">
        <v>635</v>
      </c>
      <c r="L104" s="1001" t="s">
        <v>46</v>
      </c>
      <c r="M104" s="996"/>
      <c r="N104" s="183"/>
      <c r="O104" s="179"/>
      <c r="P104" s="178"/>
      <c r="Q104" s="253"/>
      <c r="R104" s="252"/>
      <c r="S104" s="177"/>
      <c r="T104" s="251"/>
      <c r="U104" s="251"/>
      <c r="V104" s="250"/>
      <c r="W104" s="249"/>
      <c r="X104" s="249"/>
      <c r="Y104" s="249"/>
      <c r="Z104" s="248"/>
      <c r="AA104" s="183"/>
      <c r="AB104" s="181"/>
      <c r="AC104" s="168"/>
      <c r="AD104" s="995"/>
      <c r="AE104" s="966"/>
      <c r="AF104" s="506"/>
      <c r="AG104" s="506"/>
      <c r="AH104" s="506"/>
      <c r="AI104" s="506"/>
      <c r="AJ104" s="506"/>
      <c r="AK104" s="506"/>
      <c r="AL104" s="506"/>
      <c r="AM104" s="506"/>
      <c r="AN104" s="506"/>
      <c r="AO104" s="506"/>
      <c r="AP104" s="506"/>
      <c r="AQ104" s="506"/>
      <c r="AR104" s="506"/>
      <c r="AS104" s="506"/>
      <c r="AT104" s="506"/>
      <c r="AU104" s="506"/>
      <c r="AV104" s="969"/>
    </row>
    <row r="105" spans="1:48" ht="22.5" customHeight="1">
      <c r="A105" s="145"/>
      <c r="B105" s="153" t="s">
        <v>16</v>
      </c>
      <c r="C105" s="164" t="s">
        <v>634</v>
      </c>
      <c r="D105" s="147"/>
      <c r="E105" s="163" t="s">
        <v>602</v>
      </c>
      <c r="F105" s="979"/>
      <c r="G105" s="147" t="s">
        <v>16</v>
      </c>
      <c r="H105" s="147" t="s">
        <v>565</v>
      </c>
      <c r="I105" s="979"/>
      <c r="J105" s="982"/>
      <c r="K105" s="970"/>
      <c r="L105" s="984"/>
      <c r="M105" s="980"/>
      <c r="N105" s="147"/>
      <c r="O105" s="163"/>
      <c r="P105" s="152"/>
      <c r="Q105" s="247"/>
      <c r="R105" s="246"/>
      <c r="S105" s="203"/>
      <c r="T105" s="245"/>
      <c r="U105" s="245"/>
      <c r="V105" s="244"/>
      <c r="W105" s="243"/>
      <c r="X105" s="243"/>
      <c r="Y105" s="243"/>
      <c r="Z105" s="242"/>
      <c r="AA105" s="147"/>
      <c r="AB105" s="154"/>
      <c r="AC105" s="145"/>
      <c r="AD105" s="986"/>
      <c r="AE105" s="967"/>
      <c r="AF105" s="507"/>
      <c r="AG105" s="507"/>
      <c r="AH105" s="507"/>
      <c r="AI105" s="507"/>
      <c r="AJ105" s="507"/>
      <c r="AK105" s="507"/>
      <c r="AL105" s="507"/>
      <c r="AM105" s="507"/>
      <c r="AN105" s="507"/>
      <c r="AO105" s="507"/>
      <c r="AP105" s="507"/>
      <c r="AQ105" s="507"/>
      <c r="AR105" s="507"/>
      <c r="AS105" s="507"/>
      <c r="AT105" s="507"/>
      <c r="AU105" s="507"/>
      <c r="AV105" s="970"/>
    </row>
    <row r="106" spans="1:48">
      <c r="A106" s="145"/>
      <c r="B106" s="153" t="s">
        <v>18</v>
      </c>
      <c r="C106" s="162" t="s">
        <v>633</v>
      </c>
      <c r="D106" s="147"/>
      <c r="E106" s="147" t="s">
        <v>38</v>
      </c>
      <c r="F106" s="979"/>
      <c r="G106" s="147" t="s">
        <v>18</v>
      </c>
      <c r="H106" s="147" t="s">
        <v>19</v>
      </c>
      <c r="I106" s="979"/>
      <c r="J106" s="982"/>
      <c r="K106" s="970"/>
      <c r="L106" s="984"/>
      <c r="M106" s="980"/>
      <c r="N106" s="147"/>
      <c r="O106" s="154"/>
      <c r="P106" s="145"/>
      <c r="Q106" s="157"/>
      <c r="R106" s="246"/>
      <c r="S106" s="203"/>
      <c r="T106" s="245"/>
      <c r="U106" s="245"/>
      <c r="V106" s="244"/>
      <c r="W106" s="243"/>
      <c r="X106" s="243"/>
      <c r="Y106" s="243"/>
      <c r="Z106" s="242"/>
      <c r="AA106" s="147"/>
      <c r="AB106" s="154"/>
      <c r="AC106" s="145"/>
      <c r="AD106" s="986"/>
      <c r="AE106" s="967"/>
      <c r="AF106" s="507"/>
      <c r="AG106" s="507"/>
      <c r="AH106" s="507"/>
      <c r="AI106" s="507"/>
      <c r="AJ106" s="507"/>
      <c r="AK106" s="507"/>
      <c r="AL106" s="507"/>
      <c r="AM106" s="507"/>
      <c r="AN106" s="507"/>
      <c r="AO106" s="507"/>
      <c r="AP106" s="507"/>
      <c r="AQ106" s="507"/>
      <c r="AR106" s="507"/>
      <c r="AS106" s="507"/>
      <c r="AT106" s="507"/>
      <c r="AU106" s="507"/>
      <c r="AV106" s="970"/>
    </row>
    <row r="107" spans="1:48" ht="82.8">
      <c r="A107" s="145"/>
      <c r="B107" s="157" t="s">
        <v>12</v>
      </c>
      <c r="C107" s="156" t="s">
        <v>600</v>
      </c>
      <c r="D107" s="147"/>
      <c r="E107" s="154" t="s">
        <v>599</v>
      </c>
      <c r="F107" s="979"/>
      <c r="G107" s="147"/>
      <c r="H107" s="146"/>
      <c r="I107" s="979"/>
      <c r="J107" s="982"/>
      <c r="K107" s="970"/>
      <c r="L107" s="984"/>
      <c r="M107" s="980"/>
      <c r="N107" s="147"/>
      <c r="O107" s="154"/>
      <c r="P107" s="145"/>
      <c r="Q107" s="146"/>
      <c r="R107" s="153"/>
      <c r="S107" s="147"/>
      <c r="T107" s="239"/>
      <c r="U107" s="238"/>
      <c r="V107" s="218"/>
      <c r="W107" s="241"/>
      <c r="X107" s="241"/>
      <c r="Y107" s="241"/>
      <c r="Z107" s="222"/>
      <c r="AA107" s="147"/>
      <c r="AB107" s="154"/>
      <c r="AC107" s="145"/>
      <c r="AD107" s="986"/>
      <c r="AE107" s="967"/>
      <c r="AF107" s="507"/>
      <c r="AG107" s="507"/>
      <c r="AH107" s="507"/>
      <c r="AI107" s="507"/>
      <c r="AJ107" s="507"/>
      <c r="AK107" s="507"/>
      <c r="AL107" s="507"/>
      <c r="AM107" s="507"/>
      <c r="AN107" s="507"/>
      <c r="AO107" s="507"/>
      <c r="AP107" s="507"/>
      <c r="AQ107" s="507"/>
      <c r="AR107" s="507"/>
      <c r="AS107" s="507"/>
      <c r="AT107" s="507"/>
      <c r="AU107" s="507"/>
      <c r="AV107" s="970"/>
    </row>
    <row r="108" spans="1:48">
      <c r="A108" s="145"/>
      <c r="B108" s="137" t="s">
        <v>8</v>
      </c>
      <c r="C108" s="141" t="s">
        <v>632</v>
      </c>
      <c r="D108" s="131"/>
      <c r="E108" s="140" t="s">
        <v>597</v>
      </c>
      <c r="F108" s="979"/>
      <c r="G108" s="147"/>
      <c r="H108" s="146"/>
      <c r="I108" s="979"/>
      <c r="J108" s="982"/>
      <c r="K108" s="970"/>
      <c r="L108" s="984"/>
      <c r="M108" s="980"/>
      <c r="N108" s="147"/>
      <c r="O108" s="154"/>
      <c r="P108" s="145"/>
      <c r="Q108" s="146"/>
      <c r="R108" s="153"/>
      <c r="S108" s="147"/>
      <c r="T108" s="239"/>
      <c r="U108" s="238"/>
      <c r="V108" s="218"/>
      <c r="W108" s="241"/>
      <c r="X108" s="241"/>
      <c r="Y108" s="241"/>
      <c r="Z108" s="222"/>
      <c r="AA108" s="147"/>
      <c r="AB108" s="154"/>
      <c r="AC108" s="145"/>
      <c r="AD108" s="986"/>
      <c r="AE108" s="967"/>
      <c r="AF108" s="507"/>
      <c r="AG108" s="507"/>
      <c r="AH108" s="507"/>
      <c r="AI108" s="507"/>
      <c r="AJ108" s="507"/>
      <c r="AK108" s="507"/>
      <c r="AL108" s="507"/>
      <c r="AM108" s="507"/>
      <c r="AN108" s="507"/>
      <c r="AO108" s="507"/>
      <c r="AP108" s="507"/>
      <c r="AQ108" s="507"/>
      <c r="AR108" s="507"/>
      <c r="AS108" s="507"/>
      <c r="AT108" s="507"/>
      <c r="AU108" s="507"/>
      <c r="AV108" s="970"/>
    </row>
    <row r="109" spans="1:48">
      <c r="A109" s="145"/>
      <c r="B109" s="157"/>
      <c r="C109" s="156"/>
      <c r="D109" s="147"/>
      <c r="E109" s="154"/>
      <c r="F109" s="979"/>
      <c r="G109" s="147"/>
      <c r="H109" s="146"/>
      <c r="I109" s="979"/>
      <c r="J109" s="982"/>
      <c r="K109" s="970"/>
      <c r="L109" s="984"/>
      <c r="M109" s="980"/>
      <c r="N109" s="147"/>
      <c r="O109" s="154"/>
      <c r="P109" s="145"/>
      <c r="Q109" s="146"/>
      <c r="R109" s="153"/>
      <c r="S109" s="147"/>
      <c r="T109" s="239"/>
      <c r="U109" s="238"/>
      <c r="V109" s="218"/>
      <c r="W109" s="241"/>
      <c r="X109" s="241"/>
      <c r="Y109" s="241"/>
      <c r="Z109" s="222"/>
      <c r="AA109" s="147"/>
      <c r="AB109" s="154"/>
      <c r="AC109" s="145"/>
      <c r="AD109" s="986"/>
      <c r="AE109" s="967"/>
      <c r="AF109" s="507"/>
      <c r="AG109" s="507"/>
      <c r="AH109" s="507"/>
      <c r="AI109" s="507"/>
      <c r="AJ109" s="507"/>
      <c r="AK109" s="507"/>
      <c r="AL109" s="507"/>
      <c r="AM109" s="507"/>
      <c r="AN109" s="507"/>
      <c r="AO109" s="507"/>
      <c r="AP109" s="507"/>
      <c r="AQ109" s="507"/>
      <c r="AR109" s="507"/>
      <c r="AS109" s="507"/>
      <c r="AT109" s="507"/>
      <c r="AU109" s="507"/>
      <c r="AV109" s="970"/>
    </row>
    <row r="110" spans="1:48">
      <c r="A110" s="145"/>
      <c r="B110" s="157"/>
      <c r="C110" s="156"/>
      <c r="D110" s="147"/>
      <c r="E110" s="154" t="s">
        <v>631</v>
      </c>
      <c r="F110" s="979"/>
      <c r="G110" s="147"/>
      <c r="H110" s="146"/>
      <c r="I110" s="979"/>
      <c r="J110" s="982"/>
      <c r="K110" s="970"/>
      <c r="L110" s="984"/>
      <c r="M110" s="980"/>
      <c r="N110" s="147"/>
      <c r="O110" s="154"/>
      <c r="P110" s="145"/>
      <c r="Q110" s="146"/>
      <c r="R110" s="218" t="s">
        <v>25</v>
      </c>
      <c r="S110" s="147" t="s">
        <v>24</v>
      </c>
      <c r="T110" s="239">
        <v>1</v>
      </c>
      <c r="U110" s="239">
        <v>1</v>
      </c>
      <c r="V110" s="240" t="s">
        <v>585</v>
      </c>
      <c r="W110" s="237">
        <v>0</v>
      </c>
      <c r="X110" s="237">
        <v>0</v>
      </c>
      <c r="Y110" s="237">
        <v>7</v>
      </c>
      <c r="Z110" s="148">
        <f>SUM(W110:Y110)</f>
        <v>7</v>
      </c>
      <c r="AA110" s="147"/>
      <c r="AB110" s="154"/>
      <c r="AC110" s="145"/>
      <c r="AD110" s="986"/>
      <c r="AE110" s="967"/>
      <c r="AF110" s="507"/>
      <c r="AG110" s="507"/>
      <c r="AH110" s="507"/>
      <c r="AI110" s="507"/>
      <c r="AJ110" s="507"/>
      <c r="AK110" s="507"/>
      <c r="AL110" s="507"/>
      <c r="AM110" s="507"/>
      <c r="AN110" s="507"/>
      <c r="AO110" s="507"/>
      <c r="AP110" s="507"/>
      <c r="AQ110" s="507"/>
      <c r="AR110" s="507"/>
      <c r="AS110" s="507"/>
      <c r="AT110" s="507"/>
      <c r="AU110" s="507"/>
      <c r="AV110" s="970"/>
    </row>
    <row r="111" spans="1:48">
      <c r="A111" s="145"/>
      <c r="B111" s="157"/>
      <c r="C111" s="156"/>
      <c r="D111" s="147"/>
      <c r="E111" s="154"/>
      <c r="F111" s="979"/>
      <c r="G111" s="147"/>
      <c r="H111" s="146"/>
      <c r="I111" s="979"/>
      <c r="J111" s="982"/>
      <c r="K111" s="970"/>
      <c r="L111" s="984"/>
      <c r="M111" s="980"/>
      <c r="N111" s="147"/>
      <c r="O111" s="154"/>
      <c r="P111" s="145"/>
      <c r="Q111" s="146"/>
      <c r="R111" s="218"/>
      <c r="S111" s="147"/>
      <c r="T111" s="239"/>
      <c r="U111" s="239">
        <v>2</v>
      </c>
      <c r="V111" s="240" t="s">
        <v>58</v>
      </c>
      <c r="W111" s="237">
        <v>0</v>
      </c>
      <c r="X111" s="237">
        <v>0</v>
      </c>
      <c r="Y111" s="237">
        <v>205</v>
      </c>
      <c r="Z111" s="148">
        <f>SUM(W111:Y111)</f>
        <v>205</v>
      </c>
      <c r="AA111" s="147"/>
      <c r="AB111" s="154"/>
      <c r="AC111" s="145"/>
      <c r="AD111" s="986"/>
      <c r="AE111" s="967"/>
      <c r="AF111" s="507"/>
      <c r="AG111" s="507"/>
      <c r="AH111" s="507"/>
      <c r="AI111" s="507"/>
      <c r="AJ111" s="507"/>
      <c r="AK111" s="507"/>
      <c r="AL111" s="507"/>
      <c r="AM111" s="507"/>
      <c r="AN111" s="507"/>
      <c r="AO111" s="507"/>
      <c r="AP111" s="507"/>
      <c r="AQ111" s="507"/>
      <c r="AR111" s="507"/>
      <c r="AS111" s="507"/>
      <c r="AT111" s="507"/>
      <c r="AU111" s="507"/>
      <c r="AV111" s="970"/>
    </row>
    <row r="112" spans="1:48">
      <c r="A112" s="145"/>
      <c r="B112" s="157"/>
      <c r="C112" s="156"/>
      <c r="D112" s="147"/>
      <c r="E112" s="154"/>
      <c r="F112" s="979"/>
      <c r="G112" s="147"/>
      <c r="H112" s="146"/>
      <c r="I112" s="979"/>
      <c r="J112" s="982"/>
      <c r="K112" s="970"/>
      <c r="L112" s="984"/>
      <c r="M112" s="980"/>
      <c r="N112" s="147"/>
      <c r="O112" s="154"/>
      <c r="P112" s="145"/>
      <c r="Q112" s="146"/>
      <c r="R112" s="218"/>
      <c r="S112" s="147"/>
      <c r="T112" s="239"/>
      <c r="U112" s="239">
        <v>3</v>
      </c>
      <c r="V112" s="240" t="s">
        <v>109</v>
      </c>
      <c r="W112" s="237">
        <v>0</v>
      </c>
      <c r="X112" s="237">
        <v>0</v>
      </c>
      <c r="Y112" s="237">
        <v>91</v>
      </c>
      <c r="Z112" s="148">
        <f>SUM(W112:Y112)</f>
        <v>91</v>
      </c>
      <c r="AA112" s="147"/>
      <c r="AB112" s="154"/>
      <c r="AC112" s="145"/>
      <c r="AD112" s="986"/>
      <c r="AE112" s="967"/>
      <c r="AF112" s="507"/>
      <c r="AG112" s="507"/>
      <c r="AH112" s="507"/>
      <c r="AI112" s="507"/>
      <c r="AJ112" s="507"/>
      <c r="AK112" s="507"/>
      <c r="AL112" s="507"/>
      <c r="AM112" s="507"/>
      <c r="AN112" s="507"/>
      <c r="AO112" s="507"/>
      <c r="AP112" s="507"/>
      <c r="AQ112" s="507"/>
      <c r="AR112" s="507"/>
      <c r="AS112" s="507"/>
      <c r="AT112" s="507"/>
      <c r="AU112" s="507"/>
      <c r="AV112" s="970"/>
    </row>
    <row r="113" spans="1:48">
      <c r="A113" s="145"/>
      <c r="B113" s="157"/>
      <c r="C113" s="156"/>
      <c r="D113" s="147"/>
      <c r="E113" s="154"/>
      <c r="F113" s="979"/>
      <c r="G113" s="147"/>
      <c r="H113" s="146"/>
      <c r="I113" s="979"/>
      <c r="J113" s="982"/>
      <c r="K113" s="970"/>
      <c r="L113" s="984"/>
      <c r="M113" s="980"/>
      <c r="N113" s="147"/>
      <c r="O113" s="154"/>
      <c r="P113" s="145"/>
      <c r="Q113" s="146"/>
      <c r="R113" s="153"/>
      <c r="S113" s="147"/>
      <c r="T113" s="239"/>
      <c r="U113" s="239"/>
      <c r="V113" s="218"/>
      <c r="W113" s="237"/>
      <c r="X113" s="237"/>
      <c r="Y113" s="237"/>
      <c r="Z113" s="148"/>
      <c r="AA113" s="147"/>
      <c r="AB113" s="154"/>
      <c r="AC113" s="145"/>
      <c r="AD113" s="986"/>
      <c r="AE113" s="967"/>
      <c r="AF113" s="507"/>
      <c r="AG113" s="507"/>
      <c r="AH113" s="507"/>
      <c r="AI113" s="507"/>
      <c r="AJ113" s="507"/>
      <c r="AK113" s="507"/>
      <c r="AL113" s="507"/>
      <c r="AM113" s="507"/>
      <c r="AN113" s="507"/>
      <c r="AO113" s="507"/>
      <c r="AP113" s="507"/>
      <c r="AQ113" s="507"/>
      <c r="AR113" s="507"/>
      <c r="AS113" s="507"/>
      <c r="AT113" s="507"/>
      <c r="AU113" s="507"/>
      <c r="AV113" s="970"/>
    </row>
    <row r="114" spans="1:48">
      <c r="A114" s="145"/>
      <c r="B114" s="157"/>
      <c r="C114" s="156"/>
      <c r="D114" s="147"/>
      <c r="E114" s="154"/>
      <c r="F114" s="979"/>
      <c r="G114" s="147"/>
      <c r="H114" s="146"/>
      <c r="I114" s="979"/>
      <c r="J114" s="982"/>
      <c r="K114" s="970"/>
      <c r="L114" s="984"/>
      <c r="M114" s="980"/>
      <c r="N114" s="147"/>
      <c r="O114" s="154"/>
      <c r="P114" s="145"/>
      <c r="Q114" s="146"/>
      <c r="R114" s="153" t="s">
        <v>160</v>
      </c>
      <c r="S114" s="147" t="s">
        <v>15</v>
      </c>
      <c r="T114" s="239">
        <v>1</v>
      </c>
      <c r="U114" s="238">
        <v>1</v>
      </c>
      <c r="V114" s="218" t="s">
        <v>14</v>
      </c>
      <c r="W114" s="237">
        <v>0</v>
      </c>
      <c r="X114" s="237">
        <v>93</v>
      </c>
      <c r="Y114" s="237"/>
      <c r="Z114" s="148">
        <f>W114+X114+Y114</f>
        <v>93</v>
      </c>
      <c r="AA114" s="147"/>
      <c r="AB114" s="154"/>
      <c r="AC114" s="145"/>
      <c r="AD114" s="986"/>
      <c r="AE114" s="967"/>
      <c r="AF114" s="507"/>
      <c r="AG114" s="507"/>
      <c r="AH114" s="507"/>
      <c r="AI114" s="507"/>
      <c r="AJ114" s="507"/>
      <c r="AK114" s="507"/>
      <c r="AL114" s="507"/>
      <c r="AM114" s="507"/>
      <c r="AN114" s="507"/>
      <c r="AO114" s="507"/>
      <c r="AP114" s="507"/>
      <c r="AQ114" s="507"/>
      <c r="AR114" s="507"/>
      <c r="AS114" s="507"/>
      <c r="AT114" s="507"/>
      <c r="AU114" s="507"/>
      <c r="AV114" s="970"/>
    </row>
    <row r="115" spans="1:48">
      <c r="A115" s="145"/>
      <c r="B115" s="146"/>
      <c r="C115" s="156"/>
      <c r="D115" s="147"/>
      <c r="E115" s="154"/>
      <c r="F115" s="979"/>
      <c r="G115" s="147"/>
      <c r="H115" s="146"/>
      <c r="I115" s="979"/>
      <c r="J115" s="982"/>
      <c r="K115" s="970"/>
      <c r="L115" s="984"/>
      <c r="M115" s="980"/>
      <c r="N115" s="147"/>
      <c r="O115" s="154"/>
      <c r="P115" s="145"/>
      <c r="Q115" s="146"/>
      <c r="R115" s="153"/>
      <c r="S115" s="147"/>
      <c r="T115" s="501"/>
      <c r="U115" s="510"/>
      <c r="V115" s="218" t="s">
        <v>14</v>
      </c>
      <c r="W115" s="237">
        <v>0</v>
      </c>
      <c r="X115" s="237"/>
      <c r="Y115" s="237">
        <v>154</v>
      </c>
      <c r="Z115" s="148"/>
      <c r="AA115" s="147"/>
      <c r="AB115" s="154"/>
      <c r="AC115" s="145"/>
      <c r="AD115" s="986"/>
      <c r="AE115" s="967"/>
      <c r="AF115" s="507"/>
      <c r="AG115" s="507"/>
      <c r="AH115" s="507"/>
      <c r="AI115" s="507"/>
      <c r="AJ115" s="507"/>
      <c r="AK115" s="507"/>
      <c r="AL115" s="507"/>
      <c r="AM115" s="507"/>
      <c r="AN115" s="507"/>
      <c r="AO115" s="507"/>
      <c r="AP115" s="507"/>
      <c r="AQ115" s="507"/>
      <c r="AR115" s="507"/>
      <c r="AS115" s="507"/>
      <c r="AT115" s="507"/>
      <c r="AU115" s="507"/>
      <c r="AV115" s="970"/>
    </row>
    <row r="116" spans="1:48">
      <c r="A116" s="129"/>
      <c r="C116" s="211"/>
      <c r="F116" s="992"/>
      <c r="G116" s="131"/>
      <c r="H116" s="130"/>
      <c r="I116" s="992"/>
      <c r="J116" s="993"/>
      <c r="K116" s="971"/>
      <c r="L116" s="994"/>
      <c r="M116" s="985"/>
      <c r="N116" s="131"/>
      <c r="O116" s="138"/>
      <c r="P116" s="129"/>
      <c r="Q116" s="130"/>
      <c r="R116" s="137"/>
      <c r="S116" s="131"/>
      <c r="T116" s="236"/>
      <c r="U116" s="235"/>
      <c r="V116" s="234"/>
      <c r="W116" s="233"/>
      <c r="X116" s="233"/>
      <c r="Y116" s="233"/>
      <c r="Z116" s="232"/>
      <c r="AA116" s="131"/>
      <c r="AB116" s="138"/>
      <c r="AC116" s="129"/>
      <c r="AD116" s="987"/>
      <c r="AE116" s="968"/>
      <c r="AF116" s="508"/>
      <c r="AG116" s="508"/>
      <c r="AH116" s="508"/>
      <c r="AI116" s="508"/>
      <c r="AJ116" s="508"/>
      <c r="AK116" s="508"/>
      <c r="AL116" s="508"/>
      <c r="AM116" s="508"/>
      <c r="AN116" s="508"/>
      <c r="AO116" s="508"/>
      <c r="AP116" s="508"/>
      <c r="AQ116" s="508"/>
      <c r="AR116" s="508"/>
      <c r="AS116" s="508"/>
      <c r="AT116" s="508"/>
      <c r="AU116" s="508"/>
      <c r="AV116" s="971"/>
    </row>
    <row r="117" spans="1:48">
      <c r="A117" s="185" t="s">
        <v>630</v>
      </c>
      <c r="B117" s="176" t="s">
        <v>25</v>
      </c>
      <c r="C117" s="184" t="s">
        <v>629</v>
      </c>
      <c r="D117" s="183"/>
      <c r="E117" s="170" t="s">
        <v>606</v>
      </c>
      <c r="F117" s="978" t="s">
        <v>628</v>
      </c>
      <c r="G117" s="182" t="s">
        <v>25</v>
      </c>
      <c r="H117" s="181" t="s">
        <v>568</v>
      </c>
      <c r="I117" s="998">
        <v>1939</v>
      </c>
      <c r="J117" s="981"/>
      <c r="K117" s="969" t="s">
        <v>627</v>
      </c>
      <c r="L117" s="1001" t="s">
        <v>46</v>
      </c>
      <c r="M117" s="996"/>
      <c r="N117" s="183"/>
      <c r="O117" s="179" t="s">
        <v>818</v>
      </c>
      <c r="P117" s="178"/>
      <c r="Q117" s="177"/>
      <c r="R117" s="218" t="s">
        <v>25</v>
      </c>
      <c r="S117" s="147" t="s">
        <v>24</v>
      </c>
      <c r="T117" s="152">
        <v>2</v>
      </c>
      <c r="U117" s="151">
        <v>1</v>
      </c>
      <c r="V117" s="213" t="s">
        <v>585</v>
      </c>
      <c r="W117" s="149">
        <v>0</v>
      </c>
      <c r="X117" s="148">
        <v>0</v>
      </c>
      <c r="Y117" s="149">
        <v>5</v>
      </c>
      <c r="Z117" s="171">
        <f t="shared" ref="Z117:Z128" si="1">W117+X117+Y117</f>
        <v>5</v>
      </c>
      <c r="AA117" s="183"/>
      <c r="AB117" s="181"/>
      <c r="AC117" s="168"/>
      <c r="AD117" s="995"/>
      <c r="AE117" s="966"/>
      <c r="AF117" s="506"/>
      <c r="AG117" s="506"/>
      <c r="AH117" s="506"/>
      <c r="AI117" s="506"/>
      <c r="AJ117" s="506"/>
      <c r="AK117" s="506"/>
      <c r="AL117" s="506"/>
      <c r="AM117" s="506"/>
      <c r="AN117" s="506"/>
      <c r="AO117" s="506"/>
      <c r="AP117" s="506"/>
      <c r="AQ117" s="506"/>
      <c r="AR117" s="506"/>
      <c r="AS117" s="506"/>
      <c r="AT117" s="506"/>
      <c r="AU117" s="506"/>
      <c r="AV117" s="969"/>
    </row>
    <row r="118" spans="1:48" ht="27.6">
      <c r="A118" s="145"/>
      <c r="B118" s="153" t="s">
        <v>16</v>
      </c>
      <c r="C118" s="164" t="s">
        <v>626</v>
      </c>
      <c r="D118" s="147"/>
      <c r="E118" s="163" t="s">
        <v>602</v>
      </c>
      <c r="F118" s="979"/>
      <c r="G118" s="147" t="s">
        <v>16</v>
      </c>
      <c r="H118" s="147" t="s">
        <v>565</v>
      </c>
      <c r="I118" s="979"/>
      <c r="J118" s="982"/>
      <c r="K118" s="970"/>
      <c r="L118" s="984"/>
      <c r="M118" s="980"/>
      <c r="N118" s="147" t="s">
        <v>25</v>
      </c>
      <c r="O118" s="163" t="s">
        <v>106</v>
      </c>
      <c r="P118" s="230">
        <v>1</v>
      </c>
      <c r="Q118" s="229">
        <v>12.15</v>
      </c>
      <c r="R118" s="153"/>
      <c r="S118" s="147"/>
      <c r="T118" s="226"/>
      <c r="U118" s="231">
        <v>2</v>
      </c>
      <c r="V118" s="213" t="s">
        <v>56</v>
      </c>
      <c r="W118" s="149">
        <v>0</v>
      </c>
      <c r="X118" s="148">
        <v>0</v>
      </c>
      <c r="Y118" s="149">
        <v>10</v>
      </c>
      <c r="Z118" s="148">
        <f t="shared" si="1"/>
        <v>10</v>
      </c>
      <c r="AA118" s="147"/>
      <c r="AB118" s="154"/>
      <c r="AC118" s="145"/>
      <c r="AD118" s="986"/>
      <c r="AE118" s="967"/>
      <c r="AF118" s="507"/>
      <c r="AG118" s="507"/>
      <c r="AH118" s="507"/>
      <c r="AI118" s="507"/>
      <c r="AJ118" s="507"/>
      <c r="AK118" s="507"/>
      <c r="AL118" s="507"/>
      <c r="AM118" s="507"/>
      <c r="AN118" s="507"/>
      <c r="AO118" s="507"/>
      <c r="AP118" s="507"/>
      <c r="AQ118" s="507"/>
      <c r="AR118" s="507"/>
      <c r="AS118" s="507"/>
      <c r="AT118" s="507"/>
      <c r="AU118" s="507"/>
      <c r="AV118" s="970"/>
    </row>
    <row r="119" spans="1:48">
      <c r="A119" s="145"/>
      <c r="B119" s="153" t="s">
        <v>18</v>
      </c>
      <c r="C119" s="162" t="s">
        <v>38</v>
      </c>
      <c r="D119" s="147"/>
      <c r="E119" s="147" t="s">
        <v>38</v>
      </c>
      <c r="F119" s="979"/>
      <c r="G119" s="147" t="s">
        <v>18</v>
      </c>
      <c r="H119" s="147" t="s">
        <v>19</v>
      </c>
      <c r="I119" s="979"/>
      <c r="J119" s="982"/>
      <c r="K119" s="970"/>
      <c r="L119" s="984"/>
      <c r="M119" s="980"/>
      <c r="N119" s="147"/>
      <c r="O119" s="163"/>
      <c r="P119" s="230"/>
      <c r="Q119" s="229"/>
      <c r="R119" s="153"/>
      <c r="S119" s="147"/>
      <c r="T119" s="152"/>
      <c r="U119" s="214">
        <v>3</v>
      </c>
      <c r="V119" s="150" t="s">
        <v>58</v>
      </c>
      <c r="W119" s="149">
        <v>0</v>
      </c>
      <c r="X119" s="148">
        <v>0</v>
      </c>
      <c r="Y119" s="149">
        <v>321</v>
      </c>
      <c r="Z119" s="148">
        <f t="shared" si="1"/>
        <v>321</v>
      </c>
      <c r="AA119" s="147"/>
      <c r="AB119" s="154"/>
      <c r="AC119" s="145"/>
      <c r="AD119" s="986"/>
      <c r="AE119" s="967"/>
      <c r="AF119" s="507"/>
      <c r="AG119" s="507"/>
      <c r="AH119" s="507"/>
      <c r="AI119" s="507"/>
      <c r="AJ119" s="507"/>
      <c r="AK119" s="507"/>
      <c r="AL119" s="507"/>
      <c r="AM119" s="507"/>
      <c r="AN119" s="507"/>
      <c r="AO119" s="507"/>
      <c r="AP119" s="507"/>
      <c r="AQ119" s="507"/>
      <c r="AR119" s="507"/>
      <c r="AS119" s="507"/>
      <c r="AT119" s="507"/>
      <c r="AU119" s="507"/>
      <c r="AV119" s="970"/>
    </row>
    <row r="120" spans="1:48" ht="45.6" customHeight="1">
      <c r="A120" s="145"/>
      <c r="B120" s="228" t="s">
        <v>12</v>
      </c>
      <c r="C120" s="156" t="s">
        <v>600</v>
      </c>
      <c r="D120" s="147"/>
      <c r="E120" s="154" t="s">
        <v>599</v>
      </c>
      <c r="F120" s="979"/>
      <c r="G120" s="147"/>
      <c r="H120" s="146"/>
      <c r="I120" s="979"/>
      <c r="J120" s="982"/>
      <c r="K120" s="970"/>
      <c r="L120" s="984"/>
      <c r="M120" s="980"/>
      <c r="N120" s="147"/>
      <c r="O120" s="163"/>
      <c r="P120" s="152"/>
      <c r="Q120" s="151"/>
      <c r="R120" s="153"/>
      <c r="S120" s="147"/>
      <c r="T120" s="152"/>
      <c r="U120" s="214">
        <v>4</v>
      </c>
      <c r="V120" s="150" t="s">
        <v>109</v>
      </c>
      <c r="W120" s="149">
        <v>0</v>
      </c>
      <c r="X120" s="148">
        <v>0</v>
      </c>
      <c r="Y120" s="149">
        <v>81</v>
      </c>
      <c r="Z120" s="148">
        <f t="shared" si="1"/>
        <v>81</v>
      </c>
      <c r="AA120" s="147"/>
      <c r="AB120" s="163"/>
      <c r="AC120" s="152"/>
      <c r="AD120" s="986"/>
      <c r="AE120" s="967"/>
      <c r="AF120" s="507"/>
      <c r="AG120" s="507"/>
      <c r="AH120" s="507"/>
      <c r="AI120" s="507"/>
      <c r="AJ120" s="507"/>
      <c r="AK120" s="507"/>
      <c r="AL120" s="507"/>
      <c r="AM120" s="507"/>
      <c r="AN120" s="507"/>
      <c r="AO120" s="507"/>
      <c r="AP120" s="507"/>
      <c r="AQ120" s="507"/>
      <c r="AR120" s="507"/>
      <c r="AS120" s="507"/>
      <c r="AT120" s="507"/>
      <c r="AU120" s="507"/>
      <c r="AV120" s="970"/>
    </row>
    <row r="121" spans="1:48" ht="14.7" customHeight="1">
      <c r="A121" s="145"/>
      <c r="B121" s="228" t="s">
        <v>8</v>
      </c>
      <c r="C121" s="190" t="s">
        <v>625</v>
      </c>
      <c r="D121" s="147"/>
      <c r="E121" s="154"/>
      <c r="F121" s="979"/>
      <c r="G121" s="147"/>
      <c r="H121" s="146"/>
      <c r="I121" s="979"/>
      <c r="J121" s="982"/>
      <c r="K121" s="970"/>
      <c r="L121" s="984"/>
      <c r="M121" s="980"/>
      <c r="N121" s="147"/>
      <c r="O121" s="163"/>
      <c r="P121" s="503"/>
      <c r="Q121" s="504"/>
      <c r="R121" s="153" t="s">
        <v>16</v>
      </c>
      <c r="S121" s="147" t="s">
        <v>15</v>
      </c>
      <c r="T121" s="503">
        <v>1</v>
      </c>
      <c r="U121" s="214">
        <v>1</v>
      </c>
      <c r="V121" s="150" t="s">
        <v>14</v>
      </c>
      <c r="W121" s="149">
        <v>0</v>
      </c>
      <c r="X121" s="148">
        <v>73</v>
      </c>
      <c r="Y121" s="149">
        <v>0</v>
      </c>
      <c r="Z121" s="148">
        <f t="shared" si="1"/>
        <v>73</v>
      </c>
      <c r="AA121" s="147"/>
      <c r="AB121" s="163"/>
      <c r="AC121" s="503"/>
      <c r="AD121" s="986"/>
      <c r="AE121" s="967"/>
      <c r="AF121" s="507"/>
      <c r="AG121" s="507"/>
      <c r="AH121" s="507"/>
      <c r="AI121" s="507"/>
      <c r="AJ121" s="507"/>
      <c r="AK121" s="507"/>
      <c r="AL121" s="507"/>
      <c r="AM121" s="507"/>
      <c r="AN121" s="507"/>
      <c r="AO121" s="507"/>
      <c r="AP121" s="507"/>
      <c r="AQ121" s="507"/>
      <c r="AR121" s="507"/>
      <c r="AS121" s="507"/>
      <c r="AT121" s="507"/>
      <c r="AU121" s="507"/>
      <c r="AV121" s="970"/>
    </row>
    <row r="122" spans="1:48" ht="14.7" customHeight="1">
      <c r="A122" s="145"/>
      <c r="B122" s="228"/>
      <c r="C122" s="190"/>
      <c r="D122" s="147"/>
      <c r="E122" s="154"/>
      <c r="F122" s="979"/>
      <c r="G122" s="147"/>
      <c r="H122" s="146"/>
      <c r="I122" s="979"/>
      <c r="J122" s="982"/>
      <c r="K122" s="970"/>
      <c r="L122" s="984"/>
      <c r="M122" s="980"/>
      <c r="N122" s="147"/>
      <c r="O122" s="163"/>
      <c r="P122" s="503"/>
      <c r="Q122" s="504"/>
      <c r="R122" s="153"/>
      <c r="S122" s="147"/>
      <c r="T122" s="503"/>
      <c r="U122" s="214"/>
      <c r="V122" s="150" t="s">
        <v>14</v>
      </c>
      <c r="W122" s="149">
        <v>0</v>
      </c>
      <c r="X122" s="148">
        <v>0</v>
      </c>
      <c r="Y122" s="149">
        <v>130</v>
      </c>
      <c r="Z122" s="148">
        <f t="shared" si="1"/>
        <v>130</v>
      </c>
      <c r="AA122" s="147"/>
      <c r="AB122" s="163"/>
      <c r="AC122" s="503"/>
      <c r="AD122" s="986"/>
      <c r="AE122" s="967"/>
      <c r="AF122" s="507"/>
      <c r="AG122" s="507"/>
      <c r="AH122" s="507"/>
      <c r="AI122" s="507"/>
      <c r="AJ122" s="507"/>
      <c r="AK122" s="507"/>
      <c r="AL122" s="507"/>
      <c r="AM122" s="507"/>
      <c r="AN122" s="507"/>
      <c r="AO122" s="507"/>
      <c r="AP122" s="507"/>
      <c r="AQ122" s="507"/>
      <c r="AR122" s="507"/>
      <c r="AS122" s="507"/>
      <c r="AT122" s="507"/>
      <c r="AU122" s="507"/>
      <c r="AV122" s="970"/>
    </row>
    <row r="123" spans="1:48">
      <c r="A123" s="129"/>
      <c r="B123" s="137"/>
      <c r="C123" s="141"/>
      <c r="D123" s="131"/>
      <c r="E123" s="140" t="s">
        <v>597</v>
      </c>
      <c r="F123" s="992"/>
      <c r="G123" s="131"/>
      <c r="H123" s="130"/>
      <c r="I123" s="992"/>
      <c r="J123" s="993"/>
      <c r="K123" s="971"/>
      <c r="L123" s="994"/>
      <c r="M123" s="985"/>
      <c r="N123" s="131"/>
      <c r="O123" s="138"/>
      <c r="P123" s="129"/>
      <c r="Q123" s="130"/>
      <c r="R123" s="153"/>
      <c r="S123" s="147"/>
      <c r="T123" s="152"/>
      <c r="U123" s="214"/>
      <c r="V123" s="150"/>
      <c r="W123" s="149"/>
      <c r="X123" s="148"/>
      <c r="Y123" s="149"/>
      <c r="Z123" s="209">
        <f t="shared" si="1"/>
        <v>0</v>
      </c>
      <c r="AA123" s="131"/>
      <c r="AB123" s="227"/>
      <c r="AC123" s="136"/>
      <c r="AD123" s="987"/>
      <c r="AE123" s="968"/>
      <c r="AF123" s="508"/>
      <c r="AG123" s="508"/>
      <c r="AH123" s="508"/>
      <c r="AI123" s="508"/>
      <c r="AJ123" s="508"/>
      <c r="AK123" s="508"/>
      <c r="AL123" s="508"/>
      <c r="AM123" s="508"/>
      <c r="AN123" s="508"/>
      <c r="AO123" s="508"/>
      <c r="AP123" s="508"/>
      <c r="AQ123" s="508"/>
      <c r="AR123" s="508"/>
      <c r="AS123" s="508"/>
      <c r="AT123" s="508"/>
      <c r="AU123" s="508"/>
      <c r="AV123" s="971"/>
    </row>
    <row r="124" spans="1:48">
      <c r="A124" s="185">
        <v>15</v>
      </c>
      <c r="B124" s="176" t="s">
        <v>25</v>
      </c>
      <c r="C124" s="184" t="s">
        <v>624</v>
      </c>
      <c r="D124" s="183"/>
      <c r="E124" s="170"/>
      <c r="F124" s="978" t="s">
        <v>623</v>
      </c>
      <c r="G124" s="182" t="s">
        <v>25</v>
      </c>
      <c r="H124" s="181" t="s">
        <v>568</v>
      </c>
      <c r="I124" s="998">
        <v>2621</v>
      </c>
      <c r="J124" s="981"/>
      <c r="K124" s="969" t="s">
        <v>622</v>
      </c>
      <c r="L124" s="1001" t="s">
        <v>46</v>
      </c>
      <c r="M124" s="996"/>
      <c r="N124" s="183"/>
      <c r="O124" s="179"/>
      <c r="P124" s="178"/>
      <c r="Q124" s="177"/>
      <c r="R124" s="176" t="s">
        <v>25</v>
      </c>
      <c r="S124" s="170" t="s">
        <v>24</v>
      </c>
      <c r="T124" s="175">
        <v>1</v>
      </c>
      <c r="U124" s="174">
        <v>1</v>
      </c>
      <c r="V124" s="173" t="s">
        <v>585</v>
      </c>
      <c r="W124" s="172">
        <v>0</v>
      </c>
      <c r="X124" s="171">
        <v>0</v>
      </c>
      <c r="Y124" s="172">
        <v>17</v>
      </c>
      <c r="Z124" s="148">
        <f t="shared" si="1"/>
        <v>17</v>
      </c>
      <c r="AA124" s="183"/>
      <c r="AB124" s="181"/>
      <c r="AC124" s="168"/>
      <c r="AD124" s="995"/>
      <c r="AE124" s="966"/>
      <c r="AF124" s="506"/>
      <c r="AG124" s="506"/>
      <c r="AH124" s="506"/>
      <c r="AI124" s="506"/>
      <c r="AJ124" s="506"/>
      <c r="AK124" s="506"/>
      <c r="AL124" s="506"/>
      <c r="AM124" s="506"/>
      <c r="AN124" s="506"/>
      <c r="AO124" s="506"/>
      <c r="AP124" s="506"/>
      <c r="AQ124" s="506"/>
      <c r="AR124" s="506"/>
      <c r="AS124" s="506"/>
      <c r="AT124" s="506"/>
      <c r="AU124" s="506"/>
      <c r="AV124" s="969"/>
    </row>
    <row r="125" spans="1:48">
      <c r="A125" s="221"/>
      <c r="B125" s="153" t="s">
        <v>16</v>
      </c>
      <c r="C125" s="164" t="s">
        <v>621</v>
      </c>
      <c r="D125" s="217"/>
      <c r="E125" s="147"/>
      <c r="F125" s="1000"/>
      <c r="G125" s="219"/>
      <c r="H125" s="154"/>
      <c r="I125" s="979"/>
      <c r="J125" s="982"/>
      <c r="K125" s="970"/>
      <c r="L125" s="984"/>
      <c r="M125" s="980"/>
      <c r="N125" s="217"/>
      <c r="O125" s="196"/>
      <c r="P125" s="204"/>
      <c r="Q125" s="203"/>
      <c r="R125" s="218"/>
      <c r="S125" s="147"/>
      <c r="T125" s="152"/>
      <c r="U125" s="151">
        <v>2</v>
      </c>
      <c r="V125" s="150" t="s">
        <v>109</v>
      </c>
      <c r="W125" s="149">
        <v>0</v>
      </c>
      <c r="X125" s="148">
        <v>0</v>
      </c>
      <c r="Y125" s="149">
        <v>11</v>
      </c>
      <c r="Z125" s="148">
        <f t="shared" si="1"/>
        <v>11</v>
      </c>
      <c r="AA125" s="217"/>
      <c r="AB125" s="154"/>
      <c r="AC125" s="145"/>
      <c r="AD125" s="986"/>
      <c r="AE125" s="967"/>
      <c r="AF125" s="507"/>
      <c r="AG125" s="507"/>
      <c r="AH125" s="507"/>
      <c r="AI125" s="507"/>
      <c r="AJ125" s="507"/>
      <c r="AK125" s="507"/>
      <c r="AL125" s="507"/>
      <c r="AM125" s="507"/>
      <c r="AN125" s="507"/>
      <c r="AO125" s="507"/>
      <c r="AP125" s="507"/>
      <c r="AQ125" s="507"/>
      <c r="AR125" s="507"/>
      <c r="AS125" s="507"/>
      <c r="AT125" s="507"/>
      <c r="AU125" s="507"/>
      <c r="AV125" s="970"/>
    </row>
    <row r="126" spans="1:48">
      <c r="A126" s="221"/>
      <c r="B126" s="153" t="s">
        <v>18</v>
      </c>
      <c r="C126" s="162" t="s">
        <v>613</v>
      </c>
      <c r="D126" s="217"/>
      <c r="E126" s="147"/>
      <c r="F126" s="1000"/>
      <c r="G126" s="219"/>
      <c r="H126" s="154"/>
      <c r="I126" s="979"/>
      <c r="J126" s="982"/>
      <c r="K126" s="970"/>
      <c r="L126" s="984"/>
      <c r="M126" s="980"/>
      <c r="N126" s="217"/>
      <c r="O126" s="196"/>
      <c r="P126" s="204"/>
      <c r="Q126" s="203"/>
      <c r="R126" s="218"/>
      <c r="S126" s="147"/>
      <c r="T126" s="152"/>
      <c r="U126" s="151">
        <v>3</v>
      </c>
      <c r="V126" s="150" t="s">
        <v>56</v>
      </c>
      <c r="W126" s="149">
        <v>0</v>
      </c>
      <c r="X126" s="148">
        <v>0</v>
      </c>
      <c r="Y126" s="149">
        <v>4</v>
      </c>
      <c r="Z126" s="148">
        <f t="shared" si="1"/>
        <v>4</v>
      </c>
      <c r="AA126" s="217"/>
      <c r="AB126" s="154"/>
      <c r="AC126" s="145"/>
      <c r="AD126" s="986"/>
      <c r="AE126" s="967"/>
      <c r="AF126" s="507"/>
      <c r="AG126" s="507"/>
      <c r="AH126" s="507"/>
      <c r="AI126" s="507"/>
      <c r="AJ126" s="507"/>
      <c r="AK126" s="507"/>
      <c r="AL126" s="507"/>
      <c r="AM126" s="507"/>
      <c r="AN126" s="507"/>
      <c r="AO126" s="507"/>
      <c r="AP126" s="507"/>
      <c r="AQ126" s="507"/>
      <c r="AR126" s="507"/>
      <c r="AS126" s="507"/>
      <c r="AT126" s="507"/>
      <c r="AU126" s="507"/>
      <c r="AV126" s="970"/>
    </row>
    <row r="127" spans="1:48" ht="41.4">
      <c r="A127" s="221"/>
      <c r="B127" s="157" t="s">
        <v>12</v>
      </c>
      <c r="C127" s="156" t="s">
        <v>600</v>
      </c>
      <c r="D127" s="217"/>
      <c r="E127" s="147"/>
      <c r="F127" s="1000"/>
      <c r="G127" s="219"/>
      <c r="H127" s="154"/>
      <c r="I127" s="979"/>
      <c r="J127" s="982"/>
      <c r="K127" s="970"/>
      <c r="L127" s="984"/>
      <c r="M127" s="980"/>
      <c r="N127" s="217"/>
      <c r="O127" s="196"/>
      <c r="P127" s="204"/>
      <c r="Q127" s="203"/>
      <c r="R127" s="218"/>
      <c r="S127" s="147"/>
      <c r="T127" s="152"/>
      <c r="U127" s="151">
        <v>4</v>
      </c>
      <c r="V127" s="150" t="s">
        <v>816</v>
      </c>
      <c r="W127" s="149">
        <v>0</v>
      </c>
      <c r="X127" s="148">
        <v>0</v>
      </c>
      <c r="Y127" s="149">
        <v>17</v>
      </c>
      <c r="Z127" s="148">
        <f t="shared" si="1"/>
        <v>17</v>
      </c>
      <c r="AA127" s="217"/>
      <c r="AB127" s="154"/>
      <c r="AC127" s="145"/>
      <c r="AD127" s="986"/>
      <c r="AE127" s="967"/>
      <c r="AF127" s="507"/>
      <c r="AG127" s="507"/>
      <c r="AH127" s="507"/>
      <c r="AI127" s="507"/>
      <c r="AJ127" s="507"/>
      <c r="AK127" s="507"/>
      <c r="AL127" s="507"/>
      <c r="AM127" s="507"/>
      <c r="AN127" s="507"/>
      <c r="AO127" s="507"/>
      <c r="AP127" s="507"/>
      <c r="AQ127" s="507"/>
      <c r="AR127" s="507"/>
      <c r="AS127" s="507"/>
      <c r="AT127" s="507"/>
      <c r="AU127" s="507"/>
      <c r="AV127" s="970"/>
    </row>
    <row r="128" spans="1:48">
      <c r="A128" s="221"/>
      <c r="B128" s="157" t="s">
        <v>8</v>
      </c>
      <c r="C128" s="156" t="s">
        <v>620</v>
      </c>
      <c r="D128" s="217"/>
      <c r="E128" s="147"/>
      <c r="F128" s="1000"/>
      <c r="G128" s="219"/>
      <c r="H128" s="154"/>
      <c r="I128" s="979"/>
      <c r="J128" s="982"/>
      <c r="K128" s="970"/>
      <c r="L128" s="984"/>
      <c r="M128" s="980"/>
      <c r="N128" s="217"/>
      <c r="O128" s="196"/>
      <c r="P128" s="204"/>
      <c r="Q128" s="203"/>
      <c r="R128" s="218"/>
      <c r="S128" s="147"/>
      <c r="T128" s="152"/>
      <c r="U128" s="151">
        <v>5</v>
      </c>
      <c r="V128" s="150" t="s">
        <v>817</v>
      </c>
      <c r="W128" s="149">
        <v>0</v>
      </c>
      <c r="X128" s="148">
        <v>0</v>
      </c>
      <c r="Y128" s="149">
        <v>11</v>
      </c>
      <c r="Z128" s="148">
        <f t="shared" si="1"/>
        <v>11</v>
      </c>
      <c r="AA128" s="217"/>
      <c r="AB128" s="154"/>
      <c r="AC128" s="145"/>
      <c r="AD128" s="986"/>
      <c r="AE128" s="967"/>
      <c r="AF128" s="507"/>
      <c r="AG128" s="507"/>
      <c r="AH128" s="507"/>
      <c r="AI128" s="507"/>
      <c r="AJ128" s="507"/>
      <c r="AK128" s="507"/>
      <c r="AL128" s="507"/>
      <c r="AM128" s="507"/>
      <c r="AN128" s="507"/>
      <c r="AO128" s="507"/>
      <c r="AP128" s="507"/>
      <c r="AQ128" s="507"/>
      <c r="AR128" s="507"/>
      <c r="AS128" s="507"/>
      <c r="AT128" s="507"/>
      <c r="AU128" s="507"/>
      <c r="AV128" s="970"/>
    </row>
    <row r="129" spans="1:48">
      <c r="A129" s="145"/>
      <c r="C129" s="215"/>
      <c r="D129" s="147"/>
      <c r="E129" s="163"/>
      <c r="F129" s="979"/>
      <c r="G129" s="147" t="s">
        <v>16</v>
      </c>
      <c r="H129" s="147" t="s">
        <v>565</v>
      </c>
      <c r="I129" s="979"/>
      <c r="J129" s="982"/>
      <c r="K129" s="970"/>
      <c r="L129" s="984"/>
      <c r="M129" s="980"/>
      <c r="N129" s="147"/>
      <c r="O129" s="196"/>
      <c r="P129" s="195"/>
      <c r="Q129" s="194"/>
      <c r="R129" s="153"/>
      <c r="S129" s="147"/>
      <c r="T129" s="152"/>
      <c r="U129" s="151"/>
      <c r="V129" s="150"/>
      <c r="W129" s="149"/>
      <c r="X129" s="148"/>
      <c r="Y129" s="149"/>
      <c r="Z129" s="148"/>
      <c r="AA129" s="147"/>
      <c r="AB129" s="154"/>
      <c r="AC129" s="145"/>
      <c r="AD129" s="986"/>
      <c r="AE129" s="967"/>
      <c r="AF129" s="507"/>
      <c r="AG129" s="507"/>
      <c r="AH129" s="507"/>
      <c r="AI129" s="507"/>
      <c r="AJ129" s="507"/>
      <c r="AK129" s="507"/>
      <c r="AL129" s="507"/>
      <c r="AM129" s="507"/>
      <c r="AN129" s="507"/>
      <c r="AO129" s="507"/>
      <c r="AP129" s="507"/>
      <c r="AQ129" s="507"/>
      <c r="AR129" s="507"/>
      <c r="AS129" s="507"/>
      <c r="AT129" s="507"/>
      <c r="AU129" s="507"/>
      <c r="AV129" s="970"/>
    </row>
    <row r="130" spans="1:48">
      <c r="A130" s="145"/>
      <c r="C130" s="215"/>
      <c r="D130" s="147"/>
      <c r="E130" s="147"/>
      <c r="F130" s="979"/>
      <c r="G130" s="147" t="s">
        <v>18</v>
      </c>
      <c r="H130" s="147" t="s">
        <v>19</v>
      </c>
      <c r="I130" s="979"/>
      <c r="J130" s="982"/>
      <c r="K130" s="970"/>
      <c r="L130" s="984"/>
      <c r="M130" s="980"/>
      <c r="N130" s="147"/>
      <c r="O130" s="196"/>
      <c r="P130" s="204"/>
      <c r="Q130" s="203"/>
      <c r="R130" s="153" t="s">
        <v>16</v>
      </c>
      <c r="S130" s="147" t="s">
        <v>15</v>
      </c>
      <c r="T130" s="152">
        <v>2</v>
      </c>
      <c r="U130" s="151">
        <v>1</v>
      </c>
      <c r="V130" s="150" t="s">
        <v>14</v>
      </c>
      <c r="W130" s="149">
        <v>0</v>
      </c>
      <c r="X130" s="148">
        <v>21</v>
      </c>
      <c r="Y130" s="149">
        <v>0</v>
      </c>
      <c r="Z130" s="148">
        <f>W130+X130+Y130</f>
        <v>21</v>
      </c>
      <c r="AA130" s="147"/>
      <c r="AB130" s="154"/>
      <c r="AC130" s="145"/>
      <c r="AD130" s="986"/>
      <c r="AE130" s="967"/>
      <c r="AF130" s="507"/>
      <c r="AG130" s="507"/>
      <c r="AH130" s="507"/>
      <c r="AI130" s="507"/>
      <c r="AJ130" s="507"/>
      <c r="AK130" s="507"/>
      <c r="AL130" s="507"/>
      <c r="AM130" s="507"/>
      <c r="AN130" s="507"/>
      <c r="AO130" s="507"/>
      <c r="AP130" s="507"/>
      <c r="AQ130" s="507"/>
      <c r="AR130" s="507"/>
      <c r="AS130" s="507"/>
      <c r="AT130" s="507"/>
      <c r="AU130" s="507"/>
      <c r="AV130" s="970"/>
    </row>
    <row r="131" spans="1:48">
      <c r="A131" s="145"/>
      <c r="C131" s="215"/>
      <c r="D131" s="146"/>
      <c r="E131" s="154"/>
      <c r="F131" s="979"/>
      <c r="G131" s="147"/>
      <c r="H131" s="146"/>
      <c r="I131" s="979"/>
      <c r="J131" s="982"/>
      <c r="K131" s="970"/>
      <c r="L131" s="984"/>
      <c r="M131" s="980"/>
      <c r="N131" s="147"/>
      <c r="O131" s="196"/>
      <c r="P131" s="204"/>
      <c r="Q131" s="203"/>
      <c r="R131" s="153"/>
      <c r="S131" s="147"/>
      <c r="T131" s="226"/>
      <c r="U131" s="504">
        <v>1</v>
      </c>
      <c r="V131" s="150" t="s">
        <v>14</v>
      </c>
      <c r="W131" s="149">
        <v>0</v>
      </c>
      <c r="X131" s="148">
        <v>0</v>
      </c>
      <c r="Y131" s="149">
        <v>40</v>
      </c>
      <c r="Z131" s="148">
        <f>W132+X132+Y132</f>
        <v>101</v>
      </c>
      <c r="AA131" s="147"/>
      <c r="AB131" s="163"/>
      <c r="AC131" s="152"/>
      <c r="AD131" s="986"/>
      <c r="AE131" s="967"/>
      <c r="AF131" s="507"/>
      <c r="AG131" s="507"/>
      <c r="AH131" s="507"/>
      <c r="AI131" s="507"/>
      <c r="AJ131" s="507"/>
      <c r="AK131" s="507"/>
      <c r="AL131" s="507"/>
      <c r="AM131" s="507"/>
      <c r="AN131" s="507"/>
      <c r="AO131" s="507"/>
      <c r="AP131" s="507"/>
      <c r="AQ131" s="507"/>
      <c r="AR131" s="507"/>
      <c r="AS131" s="507"/>
      <c r="AT131" s="507"/>
      <c r="AU131" s="507"/>
      <c r="AV131" s="970"/>
    </row>
    <row r="132" spans="1:48">
      <c r="A132" s="145"/>
      <c r="C132" s="215"/>
      <c r="D132" s="146"/>
      <c r="E132" s="154"/>
      <c r="F132" s="979"/>
      <c r="G132" s="147"/>
      <c r="H132" s="146"/>
      <c r="I132" s="979"/>
      <c r="J132" s="982"/>
      <c r="K132" s="970"/>
      <c r="L132" s="984"/>
      <c r="M132" s="980"/>
      <c r="N132" s="147"/>
      <c r="O132" s="196"/>
      <c r="P132" s="195"/>
      <c r="Q132" s="194"/>
      <c r="R132" s="153"/>
      <c r="S132" s="147"/>
      <c r="T132" s="226"/>
      <c r="U132" s="214">
        <v>2</v>
      </c>
      <c r="V132" s="150" t="s">
        <v>812</v>
      </c>
      <c r="W132" s="149">
        <v>0</v>
      </c>
      <c r="X132" s="148"/>
      <c r="Y132" s="149">
        <v>101</v>
      </c>
      <c r="Z132" s="148">
        <f>W133+X133+Y133</f>
        <v>52</v>
      </c>
      <c r="AA132" s="147"/>
      <c r="AB132" s="163"/>
      <c r="AC132" s="152"/>
      <c r="AD132" s="986"/>
      <c r="AE132" s="967"/>
      <c r="AF132" s="507"/>
      <c r="AG132" s="507"/>
      <c r="AH132" s="507"/>
      <c r="AI132" s="507"/>
      <c r="AJ132" s="507"/>
      <c r="AK132" s="507"/>
      <c r="AL132" s="507"/>
      <c r="AM132" s="507"/>
      <c r="AN132" s="507"/>
      <c r="AO132" s="507"/>
      <c r="AP132" s="507"/>
      <c r="AQ132" s="507"/>
      <c r="AR132" s="507"/>
      <c r="AS132" s="507"/>
      <c r="AT132" s="507"/>
      <c r="AU132" s="507"/>
      <c r="AV132" s="970"/>
    </row>
    <row r="133" spans="1:48">
      <c r="A133" s="145"/>
      <c r="B133" s="157"/>
      <c r="C133" s="156"/>
      <c r="D133" s="146"/>
      <c r="E133" s="154"/>
      <c r="F133" s="979"/>
      <c r="G133" s="147"/>
      <c r="H133" s="146"/>
      <c r="I133" s="979"/>
      <c r="J133" s="982"/>
      <c r="K133" s="970"/>
      <c r="L133" s="984"/>
      <c r="M133" s="980"/>
      <c r="N133" s="147"/>
      <c r="O133" s="196"/>
      <c r="P133" s="195"/>
      <c r="Q133" s="194"/>
      <c r="R133" s="153"/>
      <c r="S133" s="147"/>
      <c r="T133" s="226"/>
      <c r="U133" s="214">
        <v>3</v>
      </c>
      <c r="V133" s="150" t="s">
        <v>142</v>
      </c>
      <c r="W133" s="149">
        <v>0</v>
      </c>
      <c r="X133" s="148"/>
      <c r="Y133" s="149">
        <v>52</v>
      </c>
      <c r="Z133" s="222"/>
      <c r="AA133" s="147"/>
      <c r="AB133" s="163"/>
      <c r="AC133" s="152"/>
      <c r="AD133" s="986"/>
      <c r="AE133" s="967"/>
      <c r="AF133" s="507"/>
      <c r="AG133" s="507"/>
      <c r="AH133" s="507"/>
      <c r="AI133" s="507"/>
      <c r="AJ133" s="507"/>
      <c r="AK133" s="507"/>
      <c r="AL133" s="507"/>
      <c r="AM133" s="507"/>
      <c r="AN133" s="507"/>
      <c r="AO133" s="507"/>
      <c r="AP133" s="507"/>
      <c r="AQ133" s="507"/>
      <c r="AR133" s="507"/>
      <c r="AS133" s="507"/>
      <c r="AT133" s="507"/>
      <c r="AU133" s="507"/>
      <c r="AV133" s="970"/>
    </row>
    <row r="134" spans="1:48">
      <c r="A134" s="129"/>
      <c r="B134" s="137"/>
      <c r="C134" s="141"/>
      <c r="D134" s="131"/>
      <c r="E134" s="140"/>
      <c r="F134" s="992"/>
      <c r="G134" s="131"/>
      <c r="H134" s="130"/>
      <c r="I134" s="992"/>
      <c r="J134" s="993"/>
      <c r="K134" s="971"/>
      <c r="L134" s="994"/>
      <c r="M134" s="985"/>
      <c r="N134" s="131"/>
      <c r="O134" s="225"/>
      <c r="P134" s="224"/>
      <c r="Q134" s="223"/>
      <c r="R134" s="137"/>
      <c r="S134" s="131"/>
      <c r="T134" s="136"/>
      <c r="U134" s="135"/>
      <c r="V134" s="134"/>
      <c r="W134" s="133"/>
      <c r="X134" s="132"/>
      <c r="Y134" s="133"/>
      <c r="Z134" s="222"/>
      <c r="AA134" s="131"/>
      <c r="AB134" s="130"/>
      <c r="AC134" s="129"/>
      <c r="AD134" s="987"/>
      <c r="AE134" s="968"/>
      <c r="AF134" s="508"/>
      <c r="AG134" s="508"/>
      <c r="AH134" s="508"/>
      <c r="AI134" s="508"/>
      <c r="AJ134" s="508"/>
      <c r="AK134" s="508"/>
      <c r="AL134" s="508"/>
      <c r="AM134" s="508"/>
      <c r="AN134" s="508"/>
      <c r="AO134" s="508"/>
      <c r="AP134" s="508"/>
      <c r="AQ134" s="508"/>
      <c r="AR134" s="508"/>
      <c r="AS134" s="508"/>
      <c r="AT134" s="508"/>
      <c r="AU134" s="508"/>
      <c r="AV134" s="971"/>
    </row>
    <row r="135" spans="1:48">
      <c r="A135" s="185">
        <v>16</v>
      </c>
      <c r="B135" s="176" t="s">
        <v>25</v>
      </c>
      <c r="C135" s="184" t="s">
        <v>619</v>
      </c>
      <c r="D135" s="176" t="s">
        <v>25</v>
      </c>
      <c r="E135" s="184" t="s">
        <v>618</v>
      </c>
      <c r="F135" s="978" t="s">
        <v>617</v>
      </c>
      <c r="G135" s="182" t="s">
        <v>25</v>
      </c>
      <c r="H135" s="181" t="s">
        <v>568</v>
      </c>
      <c r="I135" s="998">
        <v>2846</v>
      </c>
      <c r="J135" s="981"/>
      <c r="K135" s="969" t="s">
        <v>616</v>
      </c>
      <c r="L135" s="1001" t="s">
        <v>46</v>
      </c>
      <c r="M135" s="996"/>
      <c r="N135" s="183"/>
      <c r="O135" s="179"/>
      <c r="P135" s="178"/>
      <c r="Q135" s="177"/>
      <c r="R135" s="176" t="s">
        <v>25</v>
      </c>
      <c r="S135" s="170" t="s">
        <v>24</v>
      </c>
      <c r="T135" s="175">
        <v>1</v>
      </c>
      <c r="U135" s="174">
        <v>1</v>
      </c>
      <c r="V135" s="173" t="s">
        <v>109</v>
      </c>
      <c r="W135" s="172">
        <v>0</v>
      </c>
      <c r="X135" s="171">
        <v>0</v>
      </c>
      <c r="Y135" s="172">
        <v>12</v>
      </c>
      <c r="Z135" s="171">
        <f>W135+X135+Y135</f>
        <v>12</v>
      </c>
      <c r="AA135" s="183"/>
      <c r="AB135" s="181"/>
      <c r="AC135" s="168"/>
      <c r="AD135" s="995"/>
      <c r="AE135" s="966"/>
      <c r="AF135" s="506"/>
      <c r="AG135" s="506"/>
      <c r="AH135" s="506"/>
      <c r="AI135" s="506"/>
      <c r="AJ135" s="506"/>
      <c r="AK135" s="506"/>
      <c r="AL135" s="506"/>
      <c r="AM135" s="506"/>
      <c r="AN135" s="506"/>
      <c r="AO135" s="506"/>
      <c r="AP135" s="506"/>
      <c r="AQ135" s="506"/>
      <c r="AR135" s="506"/>
      <c r="AS135" s="506"/>
      <c r="AT135" s="506"/>
      <c r="AU135" s="506"/>
      <c r="AV135" s="969"/>
    </row>
    <row r="136" spans="1:48">
      <c r="A136" s="221"/>
      <c r="B136" s="153" t="s">
        <v>16</v>
      </c>
      <c r="C136" s="164" t="s">
        <v>615</v>
      </c>
      <c r="D136" s="153" t="s">
        <v>16</v>
      </c>
      <c r="E136" s="164" t="s">
        <v>614</v>
      </c>
      <c r="F136" s="1000"/>
      <c r="G136" s="219"/>
      <c r="H136" s="154"/>
      <c r="I136" s="979"/>
      <c r="J136" s="982"/>
      <c r="K136" s="970"/>
      <c r="L136" s="984"/>
      <c r="M136" s="980"/>
      <c r="N136" s="217"/>
      <c r="O136" s="196"/>
      <c r="P136" s="204"/>
      <c r="Q136" s="203"/>
      <c r="R136" s="218"/>
      <c r="S136" s="147"/>
      <c r="T136" s="152"/>
      <c r="U136" s="151"/>
      <c r="V136" s="150"/>
      <c r="W136" s="149"/>
      <c r="X136" s="148"/>
      <c r="Y136" s="149"/>
      <c r="Z136" s="148"/>
      <c r="AA136" s="217"/>
      <c r="AB136" s="154"/>
      <c r="AC136" s="145"/>
      <c r="AD136" s="986"/>
      <c r="AE136" s="967"/>
      <c r="AF136" s="507"/>
      <c r="AG136" s="507"/>
      <c r="AH136" s="507"/>
      <c r="AI136" s="507"/>
      <c r="AJ136" s="507"/>
      <c r="AK136" s="507"/>
      <c r="AL136" s="507"/>
      <c r="AM136" s="507"/>
      <c r="AN136" s="507"/>
      <c r="AO136" s="507"/>
      <c r="AP136" s="507"/>
      <c r="AQ136" s="507"/>
      <c r="AR136" s="507"/>
      <c r="AS136" s="507"/>
      <c r="AT136" s="507"/>
      <c r="AU136" s="507"/>
      <c r="AV136" s="970"/>
    </row>
    <row r="137" spans="1:48">
      <c r="A137" s="221"/>
      <c r="B137" s="153" t="s">
        <v>18</v>
      </c>
      <c r="C137" s="162" t="s">
        <v>613</v>
      </c>
      <c r="D137" s="153" t="s">
        <v>18</v>
      </c>
      <c r="E137" s="162" t="s">
        <v>612</v>
      </c>
      <c r="F137" s="1000"/>
      <c r="G137" s="219"/>
      <c r="H137" s="154"/>
      <c r="I137" s="979"/>
      <c r="J137" s="982"/>
      <c r="K137" s="970"/>
      <c r="L137" s="984"/>
      <c r="M137" s="980"/>
      <c r="N137" s="217"/>
      <c r="O137" s="196"/>
      <c r="P137" s="204"/>
      <c r="Q137" s="203"/>
      <c r="R137" s="218"/>
      <c r="S137" s="147"/>
      <c r="T137" s="152"/>
      <c r="U137" s="151">
        <v>2</v>
      </c>
      <c r="V137" s="150" t="s">
        <v>816</v>
      </c>
      <c r="W137" s="149">
        <v>0</v>
      </c>
      <c r="X137" s="148">
        <v>0</v>
      </c>
      <c r="Y137" s="149">
        <v>50</v>
      </c>
      <c r="Z137" s="148">
        <f>W137+X137+Y137</f>
        <v>50</v>
      </c>
      <c r="AA137" s="217"/>
      <c r="AB137" s="154"/>
      <c r="AC137" s="145"/>
      <c r="AD137" s="986"/>
      <c r="AE137" s="967"/>
      <c r="AF137" s="507"/>
      <c r="AG137" s="507"/>
      <c r="AH137" s="507"/>
      <c r="AI137" s="507"/>
      <c r="AJ137" s="507"/>
      <c r="AK137" s="507"/>
      <c r="AL137" s="507"/>
      <c r="AM137" s="507"/>
      <c r="AN137" s="507"/>
      <c r="AO137" s="507"/>
      <c r="AP137" s="507"/>
      <c r="AQ137" s="507"/>
      <c r="AR137" s="507"/>
      <c r="AS137" s="507"/>
      <c r="AT137" s="507"/>
      <c r="AU137" s="507"/>
      <c r="AV137" s="970"/>
    </row>
    <row r="138" spans="1:48" ht="43.95" customHeight="1">
      <c r="A138" s="221"/>
      <c r="B138" s="157" t="s">
        <v>12</v>
      </c>
      <c r="C138" s="156" t="s">
        <v>611</v>
      </c>
      <c r="D138" s="157" t="s">
        <v>12</v>
      </c>
      <c r="E138" s="156" t="s">
        <v>610</v>
      </c>
      <c r="F138" s="1000"/>
      <c r="G138" s="219"/>
      <c r="H138" s="154"/>
      <c r="I138" s="979"/>
      <c r="J138" s="982"/>
      <c r="K138" s="970"/>
      <c r="L138" s="984"/>
      <c r="M138" s="980"/>
      <c r="N138" s="217"/>
      <c r="O138" s="196"/>
      <c r="P138" s="204"/>
      <c r="Q138" s="203"/>
      <c r="R138" s="218"/>
      <c r="S138" s="147"/>
      <c r="T138" s="152"/>
      <c r="U138" s="151">
        <v>3</v>
      </c>
      <c r="V138" s="150" t="s">
        <v>815</v>
      </c>
      <c r="W138" s="149">
        <v>0</v>
      </c>
      <c r="X138" s="148">
        <v>0</v>
      </c>
      <c r="Y138" s="149">
        <v>17</v>
      </c>
      <c r="Z138" s="148">
        <f>W138+X138+Y138</f>
        <v>17</v>
      </c>
      <c r="AA138" s="217"/>
      <c r="AB138" s="154"/>
      <c r="AC138" s="145"/>
      <c r="AD138" s="986"/>
      <c r="AE138" s="967"/>
      <c r="AF138" s="507"/>
      <c r="AG138" s="507"/>
      <c r="AH138" s="507"/>
      <c r="AI138" s="507"/>
      <c r="AJ138" s="507"/>
      <c r="AK138" s="507"/>
      <c r="AL138" s="507"/>
      <c r="AM138" s="507"/>
      <c r="AN138" s="507"/>
      <c r="AO138" s="507"/>
      <c r="AP138" s="507"/>
      <c r="AQ138" s="507"/>
      <c r="AR138" s="507"/>
      <c r="AS138" s="507"/>
      <c r="AT138" s="507"/>
      <c r="AU138" s="507"/>
      <c r="AV138" s="970"/>
    </row>
    <row r="139" spans="1:48">
      <c r="A139" s="221"/>
      <c r="B139" s="153" t="s">
        <v>8</v>
      </c>
      <c r="C139" s="220"/>
      <c r="D139" s="153" t="s">
        <v>8</v>
      </c>
      <c r="E139" s="220" t="s">
        <v>608</v>
      </c>
      <c r="F139" s="1000"/>
      <c r="G139" s="219"/>
      <c r="H139" s="154"/>
      <c r="I139" s="979"/>
      <c r="J139" s="982"/>
      <c r="K139" s="970"/>
      <c r="L139" s="984"/>
      <c r="M139" s="980"/>
      <c r="N139" s="217"/>
      <c r="O139" s="196"/>
      <c r="P139" s="204"/>
      <c r="Q139" s="203"/>
      <c r="R139" s="218"/>
      <c r="S139" s="147"/>
      <c r="T139" s="152"/>
      <c r="U139" s="151">
        <v>4</v>
      </c>
      <c r="V139" s="150" t="s">
        <v>814</v>
      </c>
      <c r="W139" s="149">
        <v>0</v>
      </c>
      <c r="X139" s="148">
        <v>0</v>
      </c>
      <c r="Y139" s="149">
        <v>7</v>
      </c>
      <c r="Z139" s="148">
        <f>W139+X139+Y139</f>
        <v>7</v>
      </c>
      <c r="AA139" s="217"/>
      <c r="AB139" s="154"/>
      <c r="AC139" s="145"/>
      <c r="AD139" s="986"/>
      <c r="AE139" s="967"/>
      <c r="AF139" s="507"/>
      <c r="AG139" s="507"/>
      <c r="AH139" s="507"/>
      <c r="AI139" s="507"/>
      <c r="AJ139" s="507"/>
      <c r="AK139" s="507"/>
      <c r="AL139" s="507"/>
      <c r="AM139" s="507"/>
      <c r="AN139" s="507"/>
      <c r="AO139" s="507"/>
      <c r="AP139" s="507"/>
      <c r="AQ139" s="507"/>
      <c r="AR139" s="507"/>
      <c r="AS139" s="507"/>
      <c r="AT139" s="507"/>
      <c r="AU139" s="507"/>
      <c r="AV139" s="970"/>
    </row>
    <row r="140" spans="1:48" ht="14.7" customHeight="1">
      <c r="A140" s="145"/>
      <c r="B140" s="216"/>
      <c r="C140" s="215"/>
      <c r="D140" s="216"/>
      <c r="E140" s="215"/>
      <c r="F140" s="979"/>
      <c r="G140" s="147" t="s">
        <v>16</v>
      </c>
      <c r="H140" s="147" t="s">
        <v>565</v>
      </c>
      <c r="I140" s="979"/>
      <c r="J140" s="982"/>
      <c r="K140" s="970"/>
      <c r="L140" s="984"/>
      <c r="M140" s="980"/>
      <c r="N140" s="147"/>
      <c r="O140" s="163"/>
      <c r="P140" s="201"/>
      <c r="Q140" s="151"/>
      <c r="R140" s="153"/>
      <c r="S140" s="147"/>
      <c r="T140" s="152"/>
      <c r="U140" s="151"/>
      <c r="V140" s="150"/>
      <c r="W140" s="149"/>
      <c r="X140" s="148"/>
      <c r="Y140" s="149"/>
      <c r="Z140" s="148"/>
      <c r="AA140" s="147"/>
      <c r="AB140" s="154"/>
      <c r="AC140" s="145"/>
      <c r="AD140" s="986"/>
      <c r="AE140" s="967"/>
      <c r="AF140" s="507"/>
      <c r="AG140" s="507"/>
      <c r="AH140" s="507"/>
      <c r="AI140" s="507"/>
      <c r="AJ140" s="507"/>
      <c r="AK140" s="507"/>
      <c r="AL140" s="507"/>
      <c r="AM140" s="507"/>
      <c r="AN140" s="507"/>
      <c r="AO140" s="507"/>
      <c r="AP140" s="507"/>
      <c r="AQ140" s="507"/>
      <c r="AR140" s="507"/>
      <c r="AS140" s="507"/>
      <c r="AT140" s="507"/>
      <c r="AU140" s="507"/>
      <c r="AV140" s="970"/>
    </row>
    <row r="141" spans="1:48">
      <c r="A141" s="145"/>
      <c r="B141" s="216"/>
      <c r="C141" s="215"/>
      <c r="D141" s="216"/>
      <c r="E141" s="215"/>
      <c r="F141" s="979"/>
      <c r="G141" s="147" t="s">
        <v>18</v>
      </c>
      <c r="H141" s="147" t="s">
        <v>19</v>
      </c>
      <c r="I141" s="979"/>
      <c r="J141" s="982"/>
      <c r="K141" s="970"/>
      <c r="L141" s="984"/>
      <c r="M141" s="980"/>
      <c r="N141" s="147"/>
      <c r="O141" s="154"/>
      <c r="P141" s="145"/>
      <c r="Q141" s="146"/>
      <c r="R141" s="153" t="s">
        <v>16</v>
      </c>
      <c r="S141" s="147" t="s">
        <v>15</v>
      </c>
      <c r="T141" s="152">
        <v>2</v>
      </c>
      <c r="U141" s="214">
        <v>1</v>
      </c>
      <c r="V141" s="150" t="s">
        <v>14</v>
      </c>
      <c r="W141" s="149">
        <v>0</v>
      </c>
      <c r="X141" s="148">
        <v>0</v>
      </c>
      <c r="Y141" s="149">
        <v>51</v>
      </c>
      <c r="Z141" s="148">
        <f>W141+X141+Y141</f>
        <v>51</v>
      </c>
      <c r="AA141" s="147"/>
      <c r="AB141" s="154"/>
      <c r="AC141" s="145"/>
      <c r="AD141" s="986"/>
      <c r="AE141" s="967"/>
      <c r="AF141" s="507"/>
      <c r="AG141" s="507"/>
      <c r="AH141" s="507"/>
      <c r="AI141" s="507"/>
      <c r="AJ141" s="507"/>
      <c r="AK141" s="507"/>
      <c r="AL141" s="507"/>
      <c r="AM141" s="507"/>
      <c r="AN141" s="507"/>
      <c r="AO141" s="507"/>
      <c r="AP141" s="507"/>
      <c r="AQ141" s="507"/>
      <c r="AR141" s="507"/>
      <c r="AS141" s="507"/>
      <c r="AT141" s="507"/>
      <c r="AU141" s="507"/>
      <c r="AV141" s="970"/>
    </row>
    <row r="142" spans="1:48" ht="14.7" customHeight="1">
      <c r="A142" s="145"/>
      <c r="B142" s="216"/>
      <c r="C142" s="215"/>
      <c r="D142" s="216"/>
      <c r="E142" s="215"/>
      <c r="F142" s="979"/>
      <c r="G142" s="147"/>
      <c r="H142" s="146"/>
      <c r="I142" s="979"/>
      <c r="J142" s="982"/>
      <c r="K142" s="970"/>
      <c r="L142" s="984"/>
      <c r="M142" s="980"/>
      <c r="N142" s="147"/>
      <c r="O142" s="154"/>
      <c r="P142" s="145"/>
      <c r="Q142" s="146"/>
      <c r="R142" s="153"/>
      <c r="S142" s="147"/>
      <c r="T142" s="152"/>
      <c r="U142" s="214">
        <v>2</v>
      </c>
      <c r="V142" s="213" t="s">
        <v>609</v>
      </c>
      <c r="W142" s="149">
        <v>0</v>
      </c>
      <c r="X142" s="148">
        <v>0</v>
      </c>
      <c r="Y142" s="149" t="s">
        <v>813</v>
      </c>
      <c r="Z142" s="148" t="s">
        <v>813</v>
      </c>
      <c r="AA142" s="147"/>
      <c r="AB142" s="154"/>
      <c r="AC142" s="145"/>
      <c r="AD142" s="986"/>
      <c r="AE142" s="967"/>
      <c r="AF142" s="507"/>
      <c r="AG142" s="507"/>
      <c r="AH142" s="507"/>
      <c r="AI142" s="507"/>
      <c r="AJ142" s="507"/>
      <c r="AK142" s="507"/>
      <c r="AL142" s="507"/>
      <c r="AM142" s="507"/>
      <c r="AN142" s="507"/>
      <c r="AO142" s="507"/>
      <c r="AP142" s="507"/>
      <c r="AQ142" s="507"/>
      <c r="AR142" s="507"/>
      <c r="AS142" s="507"/>
      <c r="AT142" s="507"/>
      <c r="AU142" s="507"/>
      <c r="AV142" s="970"/>
    </row>
    <row r="143" spans="1:48" ht="14.7" customHeight="1">
      <c r="A143" s="145"/>
      <c r="B143" s="216"/>
      <c r="C143" s="215"/>
      <c r="D143" s="216"/>
      <c r="E143" s="215"/>
      <c r="F143" s="979"/>
      <c r="G143" s="147"/>
      <c r="H143" s="146"/>
      <c r="I143" s="979"/>
      <c r="J143" s="982"/>
      <c r="K143" s="970"/>
      <c r="L143" s="984"/>
      <c r="M143" s="980"/>
      <c r="N143" s="147"/>
      <c r="O143" s="154"/>
      <c r="P143" s="145"/>
      <c r="Q143" s="146"/>
      <c r="R143" s="153"/>
      <c r="S143" s="147"/>
      <c r="T143" s="152"/>
      <c r="U143" s="214">
        <v>3</v>
      </c>
      <c r="V143" s="213" t="s">
        <v>812</v>
      </c>
      <c r="W143" s="149">
        <v>0</v>
      </c>
      <c r="X143" s="148">
        <v>0</v>
      </c>
      <c r="Y143" s="149">
        <v>73</v>
      </c>
      <c r="Z143" s="148">
        <f>W143+X143+Y143</f>
        <v>73</v>
      </c>
      <c r="AA143" s="147"/>
      <c r="AB143" s="154"/>
      <c r="AC143" s="145"/>
      <c r="AD143" s="986"/>
      <c r="AE143" s="967"/>
      <c r="AF143" s="507"/>
      <c r="AG143" s="507"/>
      <c r="AH143" s="507"/>
      <c r="AI143" s="507"/>
      <c r="AJ143" s="507"/>
      <c r="AK143" s="507"/>
      <c r="AL143" s="507"/>
      <c r="AM143" s="507"/>
      <c r="AN143" s="507"/>
      <c r="AO143" s="507"/>
      <c r="AP143" s="507"/>
      <c r="AQ143" s="507"/>
      <c r="AR143" s="507"/>
      <c r="AS143" s="507"/>
      <c r="AT143" s="507"/>
      <c r="AU143" s="507"/>
      <c r="AV143" s="970"/>
    </row>
    <row r="144" spans="1:48">
      <c r="A144" s="129"/>
      <c r="B144" s="212"/>
      <c r="C144" s="211"/>
      <c r="D144" s="212"/>
      <c r="E144" s="211"/>
      <c r="F144" s="992"/>
      <c r="G144" s="131"/>
      <c r="H144" s="130"/>
      <c r="I144" s="992"/>
      <c r="J144" s="993"/>
      <c r="K144" s="971"/>
      <c r="L144" s="994"/>
      <c r="M144" s="985"/>
      <c r="N144" s="131"/>
      <c r="O144" s="138"/>
      <c r="P144" s="129"/>
      <c r="Q144" s="130"/>
      <c r="R144" s="137"/>
      <c r="S144" s="131"/>
      <c r="T144" s="136"/>
      <c r="U144" s="210">
        <v>4</v>
      </c>
      <c r="V144" s="134" t="s">
        <v>811</v>
      </c>
      <c r="W144" s="208">
        <v>0</v>
      </c>
      <c r="X144" s="209">
        <v>0</v>
      </c>
      <c r="Y144" s="208">
        <v>15</v>
      </c>
      <c r="Z144" s="148">
        <f>W144+X144+Y144</f>
        <v>15</v>
      </c>
      <c r="AA144" s="131"/>
      <c r="AB144" s="138"/>
      <c r="AC144" s="129"/>
      <c r="AD144" s="987"/>
      <c r="AE144" s="968"/>
      <c r="AF144" s="508"/>
      <c r="AG144" s="508"/>
      <c r="AH144" s="508"/>
      <c r="AI144" s="508"/>
      <c r="AJ144" s="508"/>
      <c r="AK144" s="508"/>
      <c r="AL144" s="508"/>
      <c r="AM144" s="508"/>
      <c r="AN144" s="508"/>
      <c r="AO144" s="508"/>
      <c r="AP144" s="508"/>
      <c r="AQ144" s="508"/>
      <c r="AR144" s="508"/>
      <c r="AS144" s="508"/>
      <c r="AT144" s="508"/>
      <c r="AU144" s="508"/>
      <c r="AV144" s="971"/>
    </row>
    <row r="145" spans="1:48">
      <c r="A145" s="185">
        <v>17</v>
      </c>
      <c r="B145" s="176" t="s">
        <v>25</v>
      </c>
      <c r="C145" s="184" t="s">
        <v>607</v>
      </c>
      <c r="D145" s="183"/>
      <c r="E145" s="170" t="s">
        <v>606</v>
      </c>
      <c r="F145" s="978" t="s">
        <v>605</v>
      </c>
      <c r="G145" s="182" t="s">
        <v>25</v>
      </c>
      <c r="H145" s="181" t="s">
        <v>568</v>
      </c>
      <c r="I145" s="998">
        <v>2099</v>
      </c>
      <c r="J145" s="981"/>
      <c r="K145" s="969" t="s">
        <v>604</v>
      </c>
      <c r="L145" s="969"/>
      <c r="M145" s="975"/>
      <c r="N145" s="170"/>
      <c r="O145" s="179"/>
      <c r="P145" s="178"/>
      <c r="Q145" s="177"/>
      <c r="R145" s="207" t="s">
        <v>25</v>
      </c>
      <c r="S145" s="170" t="s">
        <v>24</v>
      </c>
      <c r="T145" s="175"/>
      <c r="U145" s="174"/>
      <c r="V145" s="173"/>
      <c r="W145" s="206"/>
      <c r="X145" s="205"/>
      <c r="Y145" s="206"/>
      <c r="Z145" s="205"/>
      <c r="AA145" s="170"/>
      <c r="AB145" s="169"/>
      <c r="AC145" s="168"/>
      <c r="AD145" s="167"/>
      <c r="AE145" s="166"/>
      <c r="AF145" s="506"/>
      <c r="AG145" s="506"/>
      <c r="AH145" s="506"/>
      <c r="AI145" s="506"/>
      <c r="AJ145" s="506"/>
      <c r="AK145" s="506"/>
      <c r="AL145" s="506"/>
      <c r="AM145" s="506"/>
      <c r="AN145" s="506"/>
      <c r="AO145" s="506"/>
      <c r="AP145" s="506"/>
      <c r="AQ145" s="506"/>
      <c r="AR145" s="506"/>
      <c r="AS145" s="506"/>
      <c r="AT145" s="506"/>
      <c r="AU145" s="506"/>
      <c r="AV145" s="165"/>
    </row>
    <row r="146" spans="1:48">
      <c r="A146" s="145"/>
      <c r="B146" s="153" t="s">
        <v>16</v>
      </c>
      <c r="C146" s="164" t="s">
        <v>603</v>
      </c>
      <c r="D146" s="147"/>
      <c r="E146" s="163" t="s">
        <v>602</v>
      </c>
      <c r="F146" s="979"/>
      <c r="G146" s="147" t="s">
        <v>16</v>
      </c>
      <c r="H146" s="147" t="s">
        <v>565</v>
      </c>
      <c r="I146" s="979"/>
      <c r="J146" s="982"/>
      <c r="K146" s="970"/>
      <c r="L146" s="970"/>
      <c r="M146" s="976"/>
      <c r="N146" s="147"/>
      <c r="O146" s="196"/>
      <c r="P146" s="195"/>
      <c r="Q146" s="194"/>
      <c r="R146" s="153"/>
      <c r="S146" s="147"/>
      <c r="T146" s="152"/>
      <c r="U146" s="151"/>
      <c r="V146" s="150"/>
      <c r="W146" s="202"/>
      <c r="X146" s="201"/>
      <c r="Y146" s="202"/>
      <c r="Z146" s="201"/>
      <c r="AA146" s="147"/>
      <c r="AB146" s="146"/>
      <c r="AC146" s="145"/>
      <c r="AD146" s="144"/>
      <c r="AE146" s="143"/>
      <c r="AF146" s="507"/>
      <c r="AG146" s="507"/>
      <c r="AH146" s="507"/>
      <c r="AI146" s="507"/>
      <c r="AJ146" s="507"/>
      <c r="AK146" s="507"/>
      <c r="AL146" s="507"/>
      <c r="AM146" s="507"/>
      <c r="AN146" s="507"/>
      <c r="AO146" s="507"/>
      <c r="AP146" s="507"/>
      <c r="AQ146" s="507"/>
      <c r="AR146" s="507"/>
      <c r="AS146" s="507"/>
      <c r="AT146" s="507"/>
      <c r="AU146" s="507"/>
      <c r="AV146" s="142"/>
    </row>
    <row r="147" spans="1:48">
      <c r="A147" s="145"/>
      <c r="B147" s="153" t="s">
        <v>18</v>
      </c>
      <c r="C147" s="162" t="s">
        <v>601</v>
      </c>
      <c r="D147" s="147"/>
      <c r="E147" s="147" t="s">
        <v>38</v>
      </c>
      <c r="F147" s="979"/>
      <c r="G147" s="147" t="s">
        <v>18</v>
      </c>
      <c r="H147" s="147" t="s">
        <v>19</v>
      </c>
      <c r="I147" s="979"/>
      <c r="J147" s="982"/>
      <c r="K147" s="970"/>
      <c r="L147" s="970"/>
      <c r="M147" s="976"/>
      <c r="N147" s="147"/>
      <c r="O147" s="196"/>
      <c r="P147" s="195"/>
      <c r="Q147" s="194"/>
      <c r="R147" s="153" t="s">
        <v>16</v>
      </c>
      <c r="S147" s="147" t="s">
        <v>15</v>
      </c>
      <c r="T147" s="152"/>
      <c r="U147" s="151"/>
      <c r="V147" s="150"/>
      <c r="W147" s="202"/>
      <c r="X147" s="201"/>
      <c r="Y147" s="202"/>
      <c r="Z147" s="201"/>
      <c r="AA147" s="147"/>
      <c r="AB147" s="146"/>
      <c r="AC147" s="145"/>
      <c r="AD147" s="144"/>
      <c r="AE147" s="143"/>
      <c r="AF147" s="507"/>
      <c r="AG147" s="507"/>
      <c r="AH147" s="507"/>
      <c r="AI147" s="507"/>
      <c r="AJ147" s="507"/>
      <c r="AK147" s="507"/>
      <c r="AL147" s="507"/>
      <c r="AM147" s="507"/>
      <c r="AN147" s="507"/>
      <c r="AO147" s="507"/>
      <c r="AP147" s="507"/>
      <c r="AQ147" s="507"/>
      <c r="AR147" s="507"/>
      <c r="AS147" s="507"/>
      <c r="AT147" s="507"/>
      <c r="AU147" s="507"/>
      <c r="AV147" s="142"/>
    </row>
    <row r="148" spans="1:48" ht="82.8">
      <c r="A148" s="145"/>
      <c r="B148" s="157" t="s">
        <v>12</v>
      </c>
      <c r="C148" s="156" t="s">
        <v>600</v>
      </c>
      <c r="D148" s="147"/>
      <c r="E148" s="154" t="s">
        <v>599</v>
      </c>
      <c r="F148" s="979"/>
      <c r="G148" s="147"/>
      <c r="H148" s="146"/>
      <c r="I148" s="979"/>
      <c r="J148" s="982"/>
      <c r="K148" s="970"/>
      <c r="L148" s="970"/>
      <c r="M148" s="976"/>
      <c r="N148" s="147"/>
      <c r="O148" s="196"/>
      <c r="P148" s="204"/>
      <c r="Q148" s="203"/>
      <c r="R148" s="153"/>
      <c r="S148" s="147"/>
      <c r="T148" s="152"/>
      <c r="U148" s="151"/>
      <c r="V148" s="150"/>
      <c r="W148" s="202"/>
      <c r="X148" s="201"/>
      <c r="Y148" s="202"/>
      <c r="Z148" s="201"/>
      <c r="AA148" s="147"/>
      <c r="AB148" s="146"/>
      <c r="AC148" s="145"/>
      <c r="AD148" s="144"/>
      <c r="AE148" s="143"/>
      <c r="AF148" s="507"/>
      <c r="AG148" s="507"/>
      <c r="AH148" s="507"/>
      <c r="AI148" s="507"/>
      <c r="AJ148" s="507"/>
      <c r="AK148" s="507"/>
      <c r="AL148" s="507"/>
      <c r="AM148" s="507"/>
      <c r="AN148" s="507"/>
      <c r="AO148" s="507"/>
      <c r="AP148" s="507"/>
      <c r="AQ148" s="507"/>
      <c r="AR148" s="507"/>
      <c r="AS148" s="507"/>
      <c r="AT148" s="507"/>
      <c r="AU148" s="507"/>
      <c r="AV148" s="142"/>
    </row>
    <row r="149" spans="1:48">
      <c r="A149" s="145"/>
      <c r="B149" s="157" t="s">
        <v>8</v>
      </c>
      <c r="C149" s="190" t="s">
        <v>598</v>
      </c>
      <c r="D149" s="147"/>
      <c r="E149" s="140" t="s">
        <v>597</v>
      </c>
      <c r="F149" s="979"/>
      <c r="G149" s="147"/>
      <c r="H149" s="146"/>
      <c r="I149" s="979"/>
      <c r="J149" s="982"/>
      <c r="K149" s="970"/>
      <c r="L149" s="971"/>
      <c r="M149" s="977"/>
      <c r="N149" s="147"/>
      <c r="O149" s="196"/>
      <c r="P149" s="204"/>
      <c r="Q149" s="203"/>
      <c r="R149" s="153"/>
      <c r="S149" s="147"/>
      <c r="T149" s="152"/>
      <c r="U149" s="151"/>
      <c r="V149" s="150"/>
      <c r="W149" s="202"/>
      <c r="X149" s="201"/>
      <c r="Y149" s="202"/>
      <c r="Z149" s="201"/>
      <c r="AA149" s="147"/>
      <c r="AB149" s="146"/>
      <c r="AC149" s="145"/>
      <c r="AD149" s="144"/>
      <c r="AE149" s="143"/>
      <c r="AF149" s="507"/>
      <c r="AG149" s="507"/>
      <c r="AH149" s="507"/>
      <c r="AI149" s="507"/>
      <c r="AJ149" s="507"/>
      <c r="AK149" s="507"/>
      <c r="AL149" s="507"/>
      <c r="AM149" s="507"/>
      <c r="AN149" s="507"/>
      <c r="AO149" s="507"/>
      <c r="AP149" s="507"/>
      <c r="AQ149" s="507"/>
      <c r="AR149" s="507"/>
      <c r="AS149" s="507"/>
      <c r="AT149" s="507"/>
      <c r="AU149" s="507"/>
      <c r="AV149" s="142"/>
    </row>
    <row r="150" spans="1:48">
      <c r="A150" s="200">
        <v>18</v>
      </c>
      <c r="B150" s="176" t="s">
        <v>25</v>
      </c>
      <c r="C150" s="184" t="s">
        <v>596</v>
      </c>
      <c r="D150" s="183"/>
      <c r="E150" s="170"/>
      <c r="F150" s="978" t="s">
        <v>595</v>
      </c>
      <c r="G150" s="182" t="s">
        <v>25</v>
      </c>
      <c r="H150" s="181" t="s">
        <v>568</v>
      </c>
      <c r="I150" s="978">
        <v>1819</v>
      </c>
      <c r="J150" s="981"/>
      <c r="K150" s="969" t="s">
        <v>594</v>
      </c>
      <c r="L150" s="180"/>
      <c r="M150" s="975"/>
      <c r="N150" s="170"/>
      <c r="O150" s="181"/>
      <c r="P150" s="199"/>
      <c r="Q150" s="198"/>
      <c r="R150" s="176" t="s">
        <v>25</v>
      </c>
      <c r="S150" s="170" t="s">
        <v>24</v>
      </c>
      <c r="T150" s="175"/>
      <c r="U150" s="174">
        <v>1</v>
      </c>
      <c r="V150" s="173" t="s">
        <v>58</v>
      </c>
      <c r="W150" s="191">
        <v>0</v>
      </c>
      <c r="X150" s="192">
        <v>0</v>
      </c>
      <c r="Y150" s="191">
        <v>9</v>
      </c>
      <c r="Z150" s="192">
        <f>SUM(W150:Y150)</f>
        <v>9</v>
      </c>
      <c r="AA150" s="170"/>
      <c r="AB150" s="169"/>
      <c r="AC150" s="168"/>
      <c r="AD150" s="167"/>
      <c r="AE150" s="166"/>
      <c r="AF150" s="506"/>
      <c r="AG150" s="506"/>
      <c r="AH150" s="506"/>
      <c r="AI150" s="506"/>
      <c r="AJ150" s="506"/>
      <c r="AK150" s="506"/>
      <c r="AL150" s="506"/>
      <c r="AM150" s="506"/>
      <c r="AN150" s="506"/>
      <c r="AO150" s="506"/>
      <c r="AP150" s="506"/>
      <c r="AQ150" s="506"/>
      <c r="AR150" s="506"/>
      <c r="AS150" s="506"/>
      <c r="AT150" s="506"/>
      <c r="AU150" s="506"/>
      <c r="AV150" s="165"/>
    </row>
    <row r="151" spans="1:48">
      <c r="A151" s="145"/>
      <c r="B151" s="153" t="s">
        <v>16</v>
      </c>
      <c r="C151" s="164" t="s">
        <v>593</v>
      </c>
      <c r="D151" s="147"/>
      <c r="E151" s="163"/>
      <c r="F151" s="979"/>
      <c r="G151" s="147" t="s">
        <v>16</v>
      </c>
      <c r="H151" s="147" t="s">
        <v>565</v>
      </c>
      <c r="I151" s="979"/>
      <c r="J151" s="982"/>
      <c r="K151" s="970"/>
      <c r="L151" s="155"/>
      <c r="M151" s="976"/>
      <c r="N151" s="147"/>
      <c r="O151" s="154"/>
      <c r="P151" s="145"/>
      <c r="Q151" s="146"/>
      <c r="R151" s="153"/>
      <c r="S151" s="147"/>
      <c r="T151" s="152"/>
      <c r="U151" s="151">
        <v>2</v>
      </c>
      <c r="V151" s="150" t="s">
        <v>109</v>
      </c>
      <c r="W151" s="189">
        <v>0</v>
      </c>
      <c r="X151" s="188">
        <v>0</v>
      </c>
      <c r="Y151" s="189">
        <v>5</v>
      </c>
      <c r="Z151" s="188">
        <f>SUM(W151:Y151)</f>
        <v>5</v>
      </c>
      <c r="AA151" s="147"/>
      <c r="AB151" s="146"/>
      <c r="AC151" s="145"/>
      <c r="AD151" s="144"/>
      <c r="AE151" s="143"/>
      <c r="AF151" s="507"/>
      <c r="AG151" s="507"/>
      <c r="AH151" s="507"/>
      <c r="AI151" s="507"/>
      <c r="AJ151" s="507"/>
      <c r="AK151" s="507"/>
      <c r="AL151" s="507"/>
      <c r="AM151" s="507"/>
      <c r="AN151" s="507"/>
      <c r="AO151" s="507"/>
      <c r="AP151" s="507"/>
      <c r="AQ151" s="507"/>
      <c r="AR151" s="507"/>
      <c r="AS151" s="507"/>
      <c r="AT151" s="507"/>
      <c r="AU151" s="507"/>
      <c r="AV151" s="142"/>
    </row>
    <row r="152" spans="1:48">
      <c r="A152" s="145"/>
      <c r="B152" s="153" t="s">
        <v>18</v>
      </c>
      <c r="C152" s="164" t="s">
        <v>592</v>
      </c>
      <c r="D152" s="147"/>
      <c r="E152" s="163"/>
      <c r="F152" s="979"/>
      <c r="G152" s="147"/>
      <c r="H152" s="147"/>
      <c r="I152" s="979"/>
      <c r="J152" s="982"/>
      <c r="K152" s="970"/>
      <c r="L152" s="155"/>
      <c r="M152" s="976"/>
      <c r="N152" s="147"/>
      <c r="O152" s="154"/>
      <c r="P152" s="145"/>
      <c r="Q152" s="146"/>
      <c r="R152" s="153"/>
      <c r="S152" s="147"/>
      <c r="T152" s="152"/>
      <c r="U152" s="151">
        <v>3</v>
      </c>
      <c r="V152" s="150" t="s">
        <v>585</v>
      </c>
      <c r="W152" s="189">
        <v>0</v>
      </c>
      <c r="X152" s="188">
        <v>0</v>
      </c>
      <c r="Y152" s="189">
        <v>15</v>
      </c>
      <c r="Z152" s="188">
        <f>SUM(W152:Y152)</f>
        <v>15</v>
      </c>
      <c r="AA152" s="147"/>
      <c r="AB152" s="146"/>
      <c r="AC152" s="145"/>
      <c r="AD152" s="144"/>
      <c r="AE152" s="143"/>
      <c r="AF152" s="507"/>
      <c r="AG152" s="507"/>
      <c r="AH152" s="507"/>
      <c r="AI152" s="507"/>
      <c r="AJ152" s="507"/>
      <c r="AK152" s="507"/>
      <c r="AL152" s="507"/>
      <c r="AM152" s="507"/>
      <c r="AN152" s="507"/>
      <c r="AO152" s="507"/>
      <c r="AP152" s="507"/>
      <c r="AQ152" s="507"/>
      <c r="AR152" s="507"/>
      <c r="AS152" s="507"/>
      <c r="AT152" s="507"/>
      <c r="AU152" s="507"/>
      <c r="AV152" s="142"/>
    </row>
    <row r="153" spans="1:48" ht="55.2">
      <c r="A153" s="145"/>
      <c r="B153" s="153" t="s">
        <v>12</v>
      </c>
      <c r="C153" s="164" t="s">
        <v>591</v>
      </c>
      <c r="D153" s="147"/>
      <c r="E153" s="163"/>
      <c r="F153" s="979"/>
      <c r="G153" s="147"/>
      <c r="H153" s="147"/>
      <c r="I153" s="979"/>
      <c r="J153" s="982"/>
      <c r="K153" s="970"/>
      <c r="L153" s="155"/>
      <c r="M153" s="976"/>
      <c r="N153" s="147"/>
      <c r="O153" s="154"/>
      <c r="P153" s="145"/>
      <c r="Q153" s="146"/>
      <c r="R153" s="153"/>
      <c r="S153" s="147"/>
      <c r="T153" s="152"/>
      <c r="U153" s="151"/>
      <c r="V153" s="150"/>
      <c r="W153" s="189"/>
      <c r="X153" s="188"/>
      <c r="Y153" s="189"/>
      <c r="Z153" s="188"/>
      <c r="AA153" s="147"/>
      <c r="AB153" s="146"/>
      <c r="AC153" s="145"/>
      <c r="AD153" s="144"/>
      <c r="AE153" s="143"/>
      <c r="AF153" s="507"/>
      <c r="AG153" s="507"/>
      <c r="AH153" s="507"/>
      <c r="AI153" s="507"/>
      <c r="AJ153" s="507"/>
      <c r="AK153" s="507"/>
      <c r="AL153" s="507"/>
      <c r="AM153" s="507"/>
      <c r="AN153" s="507"/>
      <c r="AO153" s="507"/>
      <c r="AP153" s="507"/>
      <c r="AQ153" s="507"/>
      <c r="AR153" s="507"/>
      <c r="AS153" s="507"/>
      <c r="AT153" s="507"/>
      <c r="AU153" s="507"/>
      <c r="AV153" s="142"/>
    </row>
    <row r="154" spans="1:48">
      <c r="A154" s="145"/>
      <c r="B154" s="153" t="s">
        <v>8</v>
      </c>
      <c r="C154" s="162" t="s">
        <v>590</v>
      </c>
      <c r="D154" s="147"/>
      <c r="E154" s="147"/>
      <c r="F154" s="979"/>
      <c r="G154" s="147" t="s">
        <v>18</v>
      </c>
      <c r="H154" s="147" t="s">
        <v>19</v>
      </c>
      <c r="I154" s="979"/>
      <c r="J154" s="982"/>
      <c r="K154" s="970"/>
      <c r="L154" s="155"/>
      <c r="M154" s="976"/>
      <c r="N154" s="147"/>
      <c r="O154" s="154"/>
      <c r="P154" s="145"/>
      <c r="Q154" s="146"/>
      <c r="R154" s="153" t="s">
        <v>16</v>
      </c>
      <c r="S154" s="147" t="s">
        <v>15</v>
      </c>
      <c r="T154" s="152"/>
      <c r="U154" s="151">
        <v>1</v>
      </c>
      <c r="V154" s="150" t="s">
        <v>14</v>
      </c>
      <c r="W154" s="189">
        <v>0</v>
      </c>
      <c r="X154" s="188">
        <v>0</v>
      </c>
      <c r="Y154" s="189">
        <v>12</v>
      </c>
      <c r="Z154" s="188">
        <f>SUM(W154:Y154)</f>
        <v>12</v>
      </c>
      <c r="AA154" s="147"/>
      <c r="AB154" s="146"/>
      <c r="AC154" s="145"/>
      <c r="AD154" s="144"/>
      <c r="AE154" s="143"/>
      <c r="AF154" s="507"/>
      <c r="AG154" s="507"/>
      <c r="AH154" s="507"/>
      <c r="AI154" s="507"/>
      <c r="AJ154" s="507"/>
      <c r="AK154" s="507"/>
      <c r="AL154" s="507"/>
      <c r="AM154" s="507"/>
      <c r="AN154" s="507"/>
      <c r="AO154" s="507"/>
      <c r="AP154" s="507"/>
      <c r="AQ154" s="507"/>
      <c r="AR154" s="507"/>
      <c r="AS154" s="507"/>
      <c r="AT154" s="507"/>
      <c r="AU154" s="507"/>
      <c r="AV154" s="142"/>
    </row>
    <row r="155" spans="1:48">
      <c r="A155" s="145"/>
      <c r="B155" s="157"/>
      <c r="C155" s="156"/>
      <c r="D155" s="147"/>
      <c r="E155" s="154"/>
      <c r="F155" s="979"/>
      <c r="G155" s="147"/>
      <c r="H155" s="146"/>
      <c r="I155" s="979"/>
      <c r="J155" s="982"/>
      <c r="K155" s="970"/>
      <c r="L155" s="155"/>
      <c r="M155" s="976"/>
      <c r="N155" s="147"/>
      <c r="O155" s="154"/>
      <c r="P155" s="145"/>
      <c r="Q155" s="146"/>
      <c r="R155" s="153"/>
      <c r="S155" s="147"/>
      <c r="T155" s="152"/>
      <c r="U155" s="151">
        <v>2</v>
      </c>
      <c r="V155" s="150" t="s">
        <v>137</v>
      </c>
      <c r="W155" s="189">
        <v>0</v>
      </c>
      <c r="X155" s="188">
        <v>0</v>
      </c>
      <c r="Y155" s="189">
        <v>23</v>
      </c>
      <c r="Z155" s="188">
        <f>SUM(W155:Y155)</f>
        <v>23</v>
      </c>
      <c r="AA155" s="147"/>
      <c r="AB155" s="146"/>
      <c r="AC155" s="145"/>
      <c r="AD155" s="144"/>
      <c r="AE155" s="143"/>
      <c r="AF155" s="507"/>
      <c r="AG155" s="507"/>
      <c r="AH155" s="507"/>
      <c r="AI155" s="507"/>
      <c r="AJ155" s="507"/>
      <c r="AK155" s="507"/>
      <c r="AL155" s="507"/>
      <c r="AM155" s="507"/>
      <c r="AN155" s="507"/>
      <c r="AO155" s="507"/>
      <c r="AP155" s="507"/>
      <c r="AQ155" s="507"/>
      <c r="AR155" s="507"/>
      <c r="AS155" s="507"/>
      <c r="AT155" s="507"/>
      <c r="AU155" s="507"/>
      <c r="AV155" s="142"/>
    </row>
    <row r="156" spans="1:48">
      <c r="A156" s="145"/>
      <c r="B156" s="157"/>
      <c r="C156" s="156"/>
      <c r="D156" s="147"/>
      <c r="E156" s="154"/>
      <c r="F156" s="979"/>
      <c r="G156" s="147"/>
      <c r="H156" s="146"/>
      <c r="I156" s="979"/>
      <c r="J156" s="982"/>
      <c r="K156" s="970"/>
      <c r="L156" s="155"/>
      <c r="M156" s="976"/>
      <c r="N156" s="147"/>
      <c r="O156" s="154"/>
      <c r="P156" s="145"/>
      <c r="Q156" s="146"/>
      <c r="R156" s="153"/>
      <c r="S156" s="147"/>
      <c r="T156" s="152"/>
      <c r="U156" s="151">
        <v>3</v>
      </c>
      <c r="V156" s="150" t="s">
        <v>136</v>
      </c>
      <c r="W156" s="189">
        <v>0</v>
      </c>
      <c r="X156" s="188">
        <v>0</v>
      </c>
      <c r="Y156" s="189">
        <v>17</v>
      </c>
      <c r="Z156" s="188">
        <f>SUM(W156:Y156)</f>
        <v>17</v>
      </c>
      <c r="AA156" s="147"/>
      <c r="AB156" s="146"/>
      <c r="AC156" s="145"/>
      <c r="AD156" s="144"/>
      <c r="AE156" s="143"/>
      <c r="AF156" s="507"/>
      <c r="AG156" s="507"/>
      <c r="AH156" s="507"/>
      <c r="AI156" s="507"/>
      <c r="AJ156" s="507"/>
      <c r="AK156" s="507"/>
      <c r="AL156" s="507"/>
      <c r="AM156" s="507"/>
      <c r="AN156" s="507"/>
      <c r="AO156" s="507"/>
      <c r="AP156" s="507"/>
      <c r="AQ156" s="507"/>
      <c r="AR156" s="507"/>
      <c r="AS156" s="507"/>
      <c r="AT156" s="507"/>
      <c r="AU156" s="507"/>
      <c r="AV156" s="142"/>
    </row>
    <row r="157" spans="1:48">
      <c r="A157" s="129"/>
      <c r="B157" s="197"/>
      <c r="C157" s="141"/>
      <c r="D157" s="131"/>
      <c r="E157" s="140"/>
      <c r="F157" s="992"/>
      <c r="G157" s="131"/>
      <c r="H157" s="130"/>
      <c r="I157" s="992"/>
      <c r="J157" s="993"/>
      <c r="K157" s="971"/>
      <c r="L157" s="139"/>
      <c r="M157" s="977"/>
      <c r="N157" s="131"/>
      <c r="O157" s="138"/>
      <c r="P157" s="129"/>
      <c r="Q157" s="130"/>
      <c r="R157" s="137"/>
      <c r="S157" s="131"/>
      <c r="T157" s="136"/>
      <c r="U157" s="135"/>
      <c r="V157" s="134"/>
      <c r="W157" s="187"/>
      <c r="X157" s="186"/>
      <c r="Y157" s="187"/>
      <c r="Z157" s="186"/>
      <c r="AA157" s="131"/>
      <c r="AB157" s="130"/>
      <c r="AC157" s="129"/>
      <c r="AD157" s="128"/>
      <c r="AE157" s="127"/>
      <c r="AF157" s="508"/>
      <c r="AG157" s="508"/>
      <c r="AH157" s="508"/>
      <c r="AI157" s="508"/>
      <c r="AJ157" s="508"/>
      <c r="AK157" s="508"/>
      <c r="AL157" s="508"/>
      <c r="AM157" s="508"/>
      <c r="AN157" s="508"/>
      <c r="AO157" s="508"/>
      <c r="AP157" s="508"/>
      <c r="AQ157" s="508"/>
      <c r="AR157" s="508"/>
      <c r="AS157" s="508"/>
      <c r="AT157" s="508"/>
      <c r="AU157" s="508"/>
      <c r="AV157" s="126"/>
    </row>
    <row r="158" spans="1:48" ht="16.5" customHeight="1">
      <c r="A158" s="185">
        <v>19</v>
      </c>
      <c r="B158" s="176" t="s">
        <v>25</v>
      </c>
      <c r="C158" s="184" t="s">
        <v>589</v>
      </c>
      <c r="D158" s="183" t="s">
        <v>25</v>
      </c>
      <c r="E158" s="170" t="s">
        <v>588</v>
      </c>
      <c r="F158" s="978" t="s">
        <v>587</v>
      </c>
      <c r="G158" s="182" t="s">
        <v>25</v>
      </c>
      <c r="H158" s="181" t="s">
        <v>568</v>
      </c>
      <c r="I158" s="978"/>
      <c r="J158" s="981"/>
      <c r="K158" s="969" t="s">
        <v>586</v>
      </c>
      <c r="L158" s="180"/>
      <c r="M158" s="975"/>
      <c r="N158" s="170"/>
      <c r="O158" s="181" t="s">
        <v>810</v>
      </c>
      <c r="P158" s="168"/>
      <c r="Q158" s="169"/>
      <c r="R158" s="176" t="s">
        <v>25</v>
      </c>
      <c r="S158" s="170" t="s">
        <v>24</v>
      </c>
      <c r="T158" s="175">
        <v>1</v>
      </c>
      <c r="U158" s="174">
        <v>1</v>
      </c>
      <c r="V158" s="173" t="s">
        <v>585</v>
      </c>
      <c r="W158" s="191">
        <v>0</v>
      </c>
      <c r="X158" s="192">
        <v>0</v>
      </c>
      <c r="Y158" s="191">
        <v>20</v>
      </c>
      <c r="Z158" s="188">
        <f>W158+X158+Y158</f>
        <v>20</v>
      </c>
      <c r="AA158" s="170"/>
      <c r="AB158" s="169"/>
      <c r="AC158" s="168"/>
      <c r="AD158" s="167"/>
      <c r="AE158" s="166"/>
      <c r="AF158" s="506"/>
      <c r="AG158" s="506"/>
      <c r="AH158" s="506"/>
      <c r="AI158" s="506"/>
      <c r="AJ158" s="506"/>
      <c r="AK158" s="506"/>
      <c r="AL158" s="506"/>
      <c r="AM158" s="506"/>
      <c r="AN158" s="506"/>
      <c r="AO158" s="506"/>
      <c r="AP158" s="506"/>
      <c r="AQ158" s="506"/>
      <c r="AR158" s="506"/>
      <c r="AS158" s="506"/>
      <c r="AT158" s="506"/>
      <c r="AU158" s="506"/>
      <c r="AV158" s="165"/>
    </row>
    <row r="159" spans="1:48">
      <c r="A159" s="145"/>
      <c r="B159" s="153" t="s">
        <v>16</v>
      </c>
      <c r="C159" s="164" t="s">
        <v>584</v>
      </c>
      <c r="D159" s="147" t="s">
        <v>16</v>
      </c>
      <c r="E159" s="163" t="s">
        <v>583</v>
      </c>
      <c r="F159" s="979"/>
      <c r="G159" s="147" t="s">
        <v>16</v>
      </c>
      <c r="H159" s="147" t="s">
        <v>565</v>
      </c>
      <c r="I159" s="979"/>
      <c r="J159" s="982"/>
      <c r="K159" s="970"/>
      <c r="L159" s="155"/>
      <c r="M159" s="976"/>
      <c r="N159" s="147" t="s">
        <v>25</v>
      </c>
      <c r="O159" s="196" t="s">
        <v>52</v>
      </c>
      <c r="P159" s="195">
        <v>1</v>
      </c>
      <c r="Q159" s="194">
        <v>40</v>
      </c>
      <c r="R159" s="153"/>
      <c r="S159" s="147"/>
      <c r="T159" s="152"/>
      <c r="U159" s="151">
        <v>2</v>
      </c>
      <c r="V159" s="150" t="s">
        <v>58</v>
      </c>
      <c r="W159" s="189">
        <v>0</v>
      </c>
      <c r="X159" s="188">
        <v>0</v>
      </c>
      <c r="Y159" s="189">
        <v>250</v>
      </c>
      <c r="Z159" s="188"/>
      <c r="AA159" s="147"/>
      <c r="AB159" s="146"/>
      <c r="AC159" s="145"/>
      <c r="AD159" s="144"/>
      <c r="AE159" s="143"/>
      <c r="AF159" s="507"/>
      <c r="AG159" s="507"/>
      <c r="AH159" s="507"/>
      <c r="AI159" s="507"/>
      <c r="AJ159" s="507"/>
      <c r="AK159" s="507"/>
      <c r="AL159" s="507"/>
      <c r="AM159" s="507"/>
      <c r="AN159" s="507"/>
      <c r="AO159" s="507"/>
      <c r="AP159" s="507"/>
      <c r="AQ159" s="507"/>
      <c r="AR159" s="507"/>
      <c r="AS159" s="507"/>
      <c r="AT159" s="507"/>
      <c r="AU159" s="507"/>
      <c r="AV159" s="142"/>
    </row>
    <row r="160" spans="1:48">
      <c r="A160" s="145"/>
      <c r="B160" s="153" t="s">
        <v>18</v>
      </c>
      <c r="C160" s="162" t="s">
        <v>38</v>
      </c>
      <c r="D160" s="147" t="s">
        <v>18</v>
      </c>
      <c r="E160" s="147" t="s">
        <v>38</v>
      </c>
      <c r="F160" s="979"/>
      <c r="G160" s="147" t="s">
        <v>18</v>
      </c>
      <c r="H160" s="147" t="s">
        <v>19</v>
      </c>
      <c r="I160" s="979"/>
      <c r="J160" s="982"/>
      <c r="K160" s="970"/>
      <c r="L160" s="155"/>
      <c r="M160" s="976"/>
      <c r="N160" s="147"/>
      <c r="O160" s="196"/>
      <c r="P160" s="195"/>
      <c r="Q160" s="194"/>
      <c r="R160" s="153"/>
      <c r="S160" s="147"/>
      <c r="T160" s="152"/>
      <c r="U160" s="151">
        <v>3</v>
      </c>
      <c r="V160" s="150" t="s">
        <v>88</v>
      </c>
      <c r="W160" s="189">
        <v>0</v>
      </c>
      <c r="X160" s="188">
        <v>0</v>
      </c>
      <c r="Y160" s="189">
        <v>120</v>
      </c>
      <c r="Z160" s="188">
        <f t="shared" ref="Z160:Z181" si="2">W160+X160+Y160</f>
        <v>120</v>
      </c>
      <c r="AA160" s="147"/>
      <c r="AB160" s="146"/>
      <c r="AC160" s="145"/>
      <c r="AD160" s="144"/>
      <c r="AE160" s="143"/>
      <c r="AF160" s="507"/>
      <c r="AG160" s="507"/>
      <c r="AH160" s="507"/>
      <c r="AI160" s="507"/>
      <c r="AJ160" s="507"/>
      <c r="AK160" s="507"/>
      <c r="AL160" s="507"/>
      <c r="AM160" s="507"/>
      <c r="AN160" s="507"/>
      <c r="AO160" s="507"/>
      <c r="AP160" s="507"/>
      <c r="AQ160" s="507"/>
      <c r="AR160" s="507"/>
      <c r="AS160" s="507"/>
      <c r="AT160" s="507"/>
      <c r="AU160" s="507"/>
      <c r="AV160" s="142"/>
    </row>
    <row r="161" spans="1:48" ht="55.2">
      <c r="A161" s="145"/>
      <c r="B161" s="157" t="s">
        <v>12</v>
      </c>
      <c r="C161" s="156" t="s">
        <v>582</v>
      </c>
      <c r="D161" s="147" t="s">
        <v>12</v>
      </c>
      <c r="E161" s="154" t="s">
        <v>581</v>
      </c>
      <c r="F161" s="979"/>
      <c r="G161" s="147"/>
      <c r="H161" s="146"/>
      <c r="I161" s="979"/>
      <c r="J161" s="982"/>
      <c r="K161" s="970"/>
      <c r="L161" s="155"/>
      <c r="M161" s="976"/>
      <c r="N161" s="147"/>
      <c r="O161" s="154"/>
      <c r="P161" s="145"/>
      <c r="Q161" s="146"/>
      <c r="R161" s="153"/>
      <c r="S161" s="147"/>
      <c r="T161" s="152"/>
      <c r="U161" s="151">
        <v>4</v>
      </c>
      <c r="V161" s="150" t="s">
        <v>56</v>
      </c>
      <c r="W161" s="189">
        <v>0</v>
      </c>
      <c r="X161" s="188">
        <v>0</v>
      </c>
      <c r="Y161" s="189">
        <v>300</v>
      </c>
      <c r="Z161" s="188">
        <f t="shared" si="2"/>
        <v>300</v>
      </c>
      <c r="AA161" s="147"/>
      <c r="AB161" s="146"/>
      <c r="AC161" s="145"/>
      <c r="AD161" s="144"/>
      <c r="AE161" s="143"/>
      <c r="AF161" s="507"/>
      <c r="AG161" s="507"/>
      <c r="AH161" s="507"/>
      <c r="AI161" s="507"/>
      <c r="AJ161" s="507"/>
      <c r="AK161" s="507"/>
      <c r="AL161" s="507"/>
      <c r="AM161" s="507"/>
      <c r="AN161" s="507"/>
      <c r="AO161" s="507"/>
      <c r="AP161" s="507"/>
      <c r="AQ161" s="507"/>
      <c r="AR161" s="507"/>
      <c r="AS161" s="507"/>
      <c r="AT161" s="507"/>
      <c r="AU161" s="507"/>
      <c r="AV161" s="142"/>
    </row>
    <row r="162" spans="1:48">
      <c r="A162" s="145"/>
      <c r="B162" s="157"/>
      <c r="C162" s="190" t="s">
        <v>580</v>
      </c>
      <c r="D162" s="147"/>
      <c r="E162" s="193" t="s">
        <v>579</v>
      </c>
      <c r="F162" s="979"/>
      <c r="G162" s="147"/>
      <c r="H162" s="146"/>
      <c r="I162" s="979"/>
      <c r="J162" s="982"/>
      <c r="K162" s="970"/>
      <c r="L162" s="155"/>
      <c r="M162" s="976"/>
      <c r="N162" s="147"/>
      <c r="O162" s="154"/>
      <c r="P162" s="145"/>
      <c r="Q162" s="146"/>
      <c r="R162" s="153"/>
      <c r="S162" s="147"/>
      <c r="T162" s="152"/>
      <c r="U162" s="151">
        <v>5</v>
      </c>
      <c r="V162" s="150" t="s">
        <v>10</v>
      </c>
      <c r="W162" s="189">
        <v>0</v>
      </c>
      <c r="X162" s="188">
        <v>0</v>
      </c>
      <c r="Y162" s="189">
        <v>6</v>
      </c>
      <c r="Z162" s="188">
        <f t="shared" si="2"/>
        <v>6</v>
      </c>
      <c r="AA162" s="147"/>
      <c r="AB162" s="146"/>
      <c r="AC162" s="145"/>
      <c r="AD162" s="144"/>
      <c r="AE162" s="143"/>
      <c r="AF162" s="507"/>
      <c r="AG162" s="507"/>
      <c r="AH162" s="507"/>
      <c r="AI162" s="507"/>
      <c r="AJ162" s="507"/>
      <c r="AK162" s="507"/>
      <c r="AL162" s="507"/>
      <c r="AM162" s="507"/>
      <c r="AN162" s="507"/>
      <c r="AO162" s="507"/>
      <c r="AP162" s="507"/>
      <c r="AQ162" s="507"/>
      <c r="AR162" s="507"/>
      <c r="AS162" s="507"/>
      <c r="AT162" s="507"/>
      <c r="AU162" s="507"/>
      <c r="AV162" s="142"/>
    </row>
    <row r="163" spans="1:48">
      <c r="A163" s="145"/>
      <c r="B163" s="157"/>
      <c r="C163" s="156"/>
      <c r="D163" s="147"/>
      <c r="E163" s="154"/>
      <c r="F163" s="979"/>
      <c r="G163" s="147"/>
      <c r="H163" s="146"/>
      <c r="I163" s="979"/>
      <c r="J163" s="982"/>
      <c r="K163" s="970"/>
      <c r="L163" s="155"/>
      <c r="M163" s="976"/>
      <c r="N163" s="147"/>
      <c r="O163" s="154"/>
      <c r="P163" s="145"/>
      <c r="Q163" s="146"/>
      <c r="R163" s="153"/>
      <c r="S163" s="147"/>
      <c r="T163" s="152"/>
      <c r="U163" s="151">
        <v>6</v>
      </c>
      <c r="V163" s="150" t="s">
        <v>809</v>
      </c>
      <c r="W163" s="189">
        <v>0</v>
      </c>
      <c r="X163" s="188">
        <v>0</v>
      </c>
      <c r="Y163" s="189">
        <v>40</v>
      </c>
      <c r="Z163" s="188">
        <f t="shared" si="2"/>
        <v>40</v>
      </c>
      <c r="AA163" s="147"/>
      <c r="AB163" s="146"/>
      <c r="AC163" s="145"/>
      <c r="AD163" s="144"/>
      <c r="AE163" s="143"/>
      <c r="AF163" s="507"/>
      <c r="AG163" s="507"/>
      <c r="AH163" s="507"/>
      <c r="AI163" s="507"/>
      <c r="AJ163" s="507"/>
      <c r="AK163" s="507"/>
      <c r="AL163" s="507"/>
      <c r="AM163" s="507"/>
      <c r="AN163" s="507"/>
      <c r="AO163" s="507"/>
      <c r="AP163" s="507"/>
      <c r="AQ163" s="507"/>
      <c r="AR163" s="507"/>
      <c r="AS163" s="507"/>
      <c r="AT163" s="507"/>
      <c r="AU163" s="507"/>
      <c r="AV163" s="142"/>
    </row>
    <row r="164" spans="1:48">
      <c r="A164" s="145"/>
      <c r="B164" s="157"/>
      <c r="C164" s="156"/>
      <c r="D164" s="147"/>
      <c r="E164" s="154"/>
      <c r="F164" s="979"/>
      <c r="G164" s="147"/>
      <c r="H164" s="146"/>
      <c r="I164" s="979"/>
      <c r="J164" s="982"/>
      <c r="K164" s="970"/>
      <c r="L164" s="155"/>
      <c r="M164" s="976"/>
      <c r="N164" s="147"/>
      <c r="O164" s="154"/>
      <c r="P164" s="145"/>
      <c r="Q164" s="146"/>
      <c r="R164" s="153"/>
      <c r="S164" s="147"/>
      <c r="T164" s="152"/>
      <c r="U164" s="151">
        <v>7</v>
      </c>
      <c r="V164" s="150" t="s">
        <v>87</v>
      </c>
      <c r="W164" s="189">
        <v>0</v>
      </c>
      <c r="X164" s="188">
        <v>0</v>
      </c>
      <c r="Y164" s="189">
        <v>50</v>
      </c>
      <c r="Z164" s="188">
        <f t="shared" si="2"/>
        <v>50</v>
      </c>
      <c r="AA164" s="147"/>
      <c r="AB164" s="146"/>
      <c r="AC164" s="145"/>
      <c r="AD164" s="144"/>
      <c r="AE164" s="143"/>
      <c r="AF164" s="507"/>
      <c r="AG164" s="507"/>
      <c r="AH164" s="507"/>
      <c r="AI164" s="507"/>
      <c r="AJ164" s="507"/>
      <c r="AK164" s="507"/>
      <c r="AL164" s="507"/>
      <c r="AM164" s="507"/>
      <c r="AN164" s="507"/>
      <c r="AO164" s="507"/>
      <c r="AP164" s="507"/>
      <c r="AQ164" s="507"/>
      <c r="AR164" s="507"/>
      <c r="AS164" s="507"/>
      <c r="AT164" s="507"/>
      <c r="AU164" s="507"/>
      <c r="AV164" s="142"/>
    </row>
    <row r="165" spans="1:48">
      <c r="A165" s="145"/>
      <c r="B165" s="157"/>
      <c r="C165" s="156"/>
      <c r="D165" s="147"/>
      <c r="E165" s="154"/>
      <c r="F165" s="979"/>
      <c r="G165" s="147"/>
      <c r="H165" s="146"/>
      <c r="I165" s="979"/>
      <c r="J165" s="982"/>
      <c r="K165" s="970"/>
      <c r="L165" s="155"/>
      <c r="M165" s="976"/>
      <c r="N165" s="147"/>
      <c r="O165" s="154"/>
      <c r="P165" s="145"/>
      <c r="Q165" s="146"/>
      <c r="R165" s="153"/>
      <c r="S165" s="147"/>
      <c r="T165" s="152"/>
      <c r="U165" s="151">
        <v>8</v>
      </c>
      <c r="V165" s="150" t="s">
        <v>109</v>
      </c>
      <c r="W165" s="189">
        <v>0</v>
      </c>
      <c r="X165" s="188">
        <v>0</v>
      </c>
      <c r="Y165" s="189">
        <v>70</v>
      </c>
      <c r="Z165" s="188">
        <f t="shared" si="2"/>
        <v>70</v>
      </c>
      <c r="AA165" s="147"/>
      <c r="AB165" s="146"/>
      <c r="AC165" s="145"/>
      <c r="AD165" s="144"/>
      <c r="AE165" s="143"/>
      <c r="AF165" s="507"/>
      <c r="AG165" s="507"/>
      <c r="AH165" s="507"/>
      <c r="AI165" s="507"/>
      <c r="AJ165" s="507"/>
      <c r="AK165" s="507"/>
      <c r="AL165" s="507"/>
      <c r="AM165" s="507"/>
      <c r="AN165" s="507"/>
      <c r="AO165" s="507"/>
      <c r="AP165" s="507"/>
      <c r="AQ165" s="507"/>
      <c r="AR165" s="507"/>
      <c r="AS165" s="507"/>
      <c r="AT165" s="507"/>
      <c r="AU165" s="507"/>
      <c r="AV165" s="142"/>
    </row>
    <row r="166" spans="1:48">
      <c r="A166" s="145"/>
      <c r="B166" s="157"/>
      <c r="C166" s="156"/>
      <c r="D166" s="147"/>
      <c r="E166" s="154"/>
      <c r="F166" s="979"/>
      <c r="G166" s="147"/>
      <c r="H166" s="146"/>
      <c r="I166" s="979"/>
      <c r="J166" s="982"/>
      <c r="K166" s="970"/>
      <c r="L166" s="155"/>
      <c r="M166" s="976"/>
      <c r="N166" s="147"/>
      <c r="O166" s="154"/>
      <c r="P166" s="145"/>
      <c r="Q166" s="146"/>
      <c r="R166" s="153"/>
      <c r="S166" s="147"/>
      <c r="T166" s="152"/>
      <c r="U166" s="151"/>
      <c r="V166" s="150"/>
      <c r="W166" s="189"/>
      <c r="X166" s="188"/>
      <c r="Y166" s="189"/>
      <c r="Z166" s="188">
        <f t="shared" si="2"/>
        <v>0</v>
      </c>
      <c r="AA166" s="147"/>
      <c r="AB166" s="146"/>
      <c r="AC166" s="145"/>
      <c r="AD166" s="144"/>
      <c r="AE166" s="143"/>
      <c r="AF166" s="507"/>
      <c r="AG166" s="507"/>
      <c r="AH166" s="507"/>
      <c r="AI166" s="507"/>
      <c r="AJ166" s="507"/>
      <c r="AK166" s="507"/>
      <c r="AL166" s="507"/>
      <c r="AM166" s="507"/>
      <c r="AN166" s="507"/>
      <c r="AO166" s="507"/>
      <c r="AP166" s="507"/>
      <c r="AQ166" s="507"/>
      <c r="AR166" s="507"/>
      <c r="AS166" s="507"/>
      <c r="AT166" s="507"/>
      <c r="AU166" s="507"/>
      <c r="AV166" s="142"/>
    </row>
    <row r="167" spans="1:48">
      <c r="A167" s="145"/>
      <c r="B167" s="157"/>
      <c r="C167" s="156"/>
      <c r="D167" s="147"/>
      <c r="E167" s="154"/>
      <c r="F167" s="979"/>
      <c r="G167" s="147"/>
      <c r="H167" s="146"/>
      <c r="I167" s="979"/>
      <c r="J167" s="982"/>
      <c r="K167" s="970"/>
      <c r="L167" s="155"/>
      <c r="M167" s="976"/>
      <c r="N167" s="147"/>
      <c r="O167" s="154"/>
      <c r="P167" s="145"/>
      <c r="Q167" s="146"/>
      <c r="R167" s="153" t="s">
        <v>16</v>
      </c>
      <c r="S167" s="147" t="s">
        <v>15</v>
      </c>
      <c r="T167" s="152">
        <v>1</v>
      </c>
      <c r="U167" s="151">
        <v>1</v>
      </c>
      <c r="V167" s="150" t="s">
        <v>14</v>
      </c>
      <c r="W167" s="189">
        <v>0</v>
      </c>
      <c r="X167" s="188">
        <v>0</v>
      </c>
      <c r="Y167" s="189">
        <v>150</v>
      </c>
      <c r="Z167" s="188">
        <f t="shared" si="2"/>
        <v>150</v>
      </c>
      <c r="AA167" s="147"/>
      <c r="AB167" s="146"/>
      <c r="AC167" s="145"/>
      <c r="AD167" s="144"/>
      <c r="AE167" s="143"/>
      <c r="AF167" s="507"/>
      <c r="AG167" s="507"/>
      <c r="AH167" s="507"/>
      <c r="AI167" s="507"/>
      <c r="AJ167" s="507"/>
      <c r="AK167" s="507"/>
      <c r="AL167" s="507"/>
      <c r="AM167" s="507"/>
      <c r="AN167" s="507"/>
      <c r="AO167" s="507"/>
      <c r="AP167" s="507"/>
      <c r="AQ167" s="507"/>
      <c r="AR167" s="507"/>
      <c r="AS167" s="507"/>
      <c r="AT167" s="507"/>
      <c r="AU167" s="507"/>
      <c r="AV167" s="142"/>
    </row>
    <row r="168" spans="1:48">
      <c r="A168" s="145"/>
      <c r="B168" s="157"/>
      <c r="C168" s="156"/>
      <c r="D168" s="147"/>
      <c r="E168" s="154"/>
      <c r="F168" s="979"/>
      <c r="G168" s="147"/>
      <c r="H168" s="146"/>
      <c r="I168" s="979"/>
      <c r="J168" s="982"/>
      <c r="K168" s="970"/>
      <c r="L168" s="155"/>
      <c r="M168" s="976"/>
      <c r="N168" s="147"/>
      <c r="O168" s="154"/>
      <c r="P168" s="145"/>
      <c r="Q168" s="146"/>
      <c r="R168" s="153"/>
      <c r="S168" s="147"/>
      <c r="T168" s="152"/>
      <c r="U168" s="151">
        <v>2</v>
      </c>
      <c r="V168" s="150" t="s">
        <v>142</v>
      </c>
      <c r="W168" s="189">
        <v>0</v>
      </c>
      <c r="X168" s="188">
        <v>0</v>
      </c>
      <c r="Y168" s="189">
        <v>40</v>
      </c>
      <c r="Z168" s="188">
        <f t="shared" si="2"/>
        <v>40</v>
      </c>
      <c r="AA168" s="147"/>
      <c r="AB168" s="146"/>
      <c r="AC168" s="145"/>
      <c r="AD168" s="144"/>
      <c r="AE168" s="143"/>
      <c r="AF168" s="507"/>
      <c r="AG168" s="507"/>
      <c r="AH168" s="507"/>
      <c r="AI168" s="507"/>
      <c r="AJ168" s="507"/>
      <c r="AK168" s="507"/>
      <c r="AL168" s="507"/>
      <c r="AM168" s="507"/>
      <c r="AN168" s="507"/>
      <c r="AO168" s="507"/>
      <c r="AP168" s="507"/>
      <c r="AQ168" s="507"/>
      <c r="AR168" s="507"/>
      <c r="AS168" s="507"/>
      <c r="AT168" s="507"/>
      <c r="AU168" s="507"/>
      <c r="AV168" s="142"/>
    </row>
    <row r="169" spans="1:48">
      <c r="A169" s="129"/>
      <c r="B169" s="137"/>
      <c r="C169" s="141"/>
      <c r="D169" s="131"/>
      <c r="E169" s="140"/>
      <c r="F169" s="992"/>
      <c r="G169" s="131"/>
      <c r="H169" s="130"/>
      <c r="I169" s="992"/>
      <c r="J169" s="993"/>
      <c r="K169" s="971"/>
      <c r="L169" s="139"/>
      <c r="M169" s="977"/>
      <c r="N169" s="131"/>
      <c r="O169" s="138"/>
      <c r="P169" s="129"/>
      <c r="Q169" s="130"/>
      <c r="R169" s="137"/>
      <c r="S169" s="131"/>
      <c r="T169" s="136"/>
      <c r="U169" s="135">
        <v>3</v>
      </c>
      <c r="V169" s="134" t="s">
        <v>379</v>
      </c>
      <c r="W169" s="187">
        <v>0</v>
      </c>
      <c r="X169" s="186">
        <v>0</v>
      </c>
      <c r="Y169" s="187">
        <v>40</v>
      </c>
      <c r="Z169" s="186">
        <f t="shared" si="2"/>
        <v>40</v>
      </c>
      <c r="AA169" s="131"/>
      <c r="AB169" s="130"/>
      <c r="AC169" s="129"/>
      <c r="AD169" s="128"/>
      <c r="AE169" s="127"/>
      <c r="AF169" s="508"/>
      <c r="AG169" s="508"/>
      <c r="AH169" s="508"/>
      <c r="AI169" s="508"/>
      <c r="AJ169" s="508"/>
      <c r="AK169" s="508"/>
      <c r="AL169" s="508"/>
      <c r="AM169" s="508"/>
      <c r="AN169" s="508"/>
      <c r="AO169" s="508"/>
      <c r="AP169" s="508"/>
      <c r="AQ169" s="508"/>
      <c r="AR169" s="508"/>
      <c r="AS169" s="508"/>
      <c r="AT169" s="508"/>
      <c r="AU169" s="508"/>
      <c r="AV169" s="126"/>
    </row>
    <row r="170" spans="1:48" ht="16.5" customHeight="1">
      <c r="A170" s="185" t="s">
        <v>578</v>
      </c>
      <c r="B170" s="176" t="s">
        <v>25</v>
      </c>
      <c r="C170" s="184" t="s">
        <v>577</v>
      </c>
      <c r="D170" s="183"/>
      <c r="E170" s="170"/>
      <c r="F170" s="978" t="s">
        <v>576</v>
      </c>
      <c r="G170" s="182" t="s">
        <v>25</v>
      </c>
      <c r="H170" s="181" t="s">
        <v>568</v>
      </c>
      <c r="I170" s="978">
        <v>1400</v>
      </c>
      <c r="J170" s="981"/>
      <c r="K170" s="969" t="s">
        <v>575</v>
      </c>
      <c r="L170" s="180"/>
      <c r="M170" s="975"/>
      <c r="N170" s="170"/>
      <c r="O170" s="179"/>
      <c r="P170" s="178"/>
      <c r="Q170" s="177"/>
      <c r="R170" s="176" t="s">
        <v>25</v>
      </c>
      <c r="S170" s="170" t="s">
        <v>24</v>
      </c>
      <c r="T170" s="175"/>
      <c r="U170" s="174">
        <v>1</v>
      </c>
      <c r="V170" s="173" t="s">
        <v>58</v>
      </c>
      <c r="W170" s="191">
        <v>0</v>
      </c>
      <c r="X170" s="192">
        <v>0</v>
      </c>
      <c r="Y170" s="191">
        <v>1707</v>
      </c>
      <c r="Z170" s="188">
        <f t="shared" si="2"/>
        <v>1707</v>
      </c>
      <c r="AA170" s="170"/>
      <c r="AB170" s="169"/>
      <c r="AC170" s="168"/>
      <c r="AD170" s="167"/>
      <c r="AE170" s="166"/>
      <c r="AF170" s="506"/>
      <c r="AG170" s="506"/>
      <c r="AH170" s="506"/>
      <c r="AI170" s="506"/>
      <c r="AJ170" s="506"/>
      <c r="AK170" s="506"/>
      <c r="AL170" s="506"/>
      <c r="AM170" s="506"/>
      <c r="AN170" s="506"/>
      <c r="AO170" s="506"/>
      <c r="AP170" s="506"/>
      <c r="AQ170" s="506"/>
      <c r="AR170" s="506"/>
      <c r="AS170" s="506"/>
      <c r="AT170" s="506"/>
      <c r="AU170" s="506"/>
      <c r="AV170" s="165"/>
    </row>
    <row r="171" spans="1:48">
      <c r="A171" s="145"/>
      <c r="B171" s="153" t="s">
        <v>16</v>
      </c>
      <c r="C171" s="164" t="s">
        <v>574</v>
      </c>
      <c r="D171" s="147"/>
      <c r="E171" s="163"/>
      <c r="F171" s="979"/>
      <c r="G171" s="147" t="s">
        <v>16</v>
      </c>
      <c r="H171" s="147" t="s">
        <v>565</v>
      </c>
      <c r="I171" s="979"/>
      <c r="J171" s="982"/>
      <c r="K171" s="970"/>
      <c r="L171" s="155"/>
      <c r="M171" s="976"/>
      <c r="N171" s="147"/>
      <c r="O171" s="154"/>
      <c r="P171" s="145"/>
      <c r="Q171" s="146"/>
      <c r="R171" s="153"/>
      <c r="S171" s="147"/>
      <c r="T171" s="152"/>
      <c r="U171" s="151">
        <v>2</v>
      </c>
      <c r="V171" s="150" t="s">
        <v>56</v>
      </c>
      <c r="W171" s="189">
        <v>0</v>
      </c>
      <c r="X171" s="188">
        <v>0</v>
      </c>
      <c r="Y171" s="189">
        <v>5</v>
      </c>
      <c r="Z171" s="188">
        <f t="shared" si="2"/>
        <v>5</v>
      </c>
      <c r="AA171" s="147"/>
      <c r="AB171" s="146"/>
      <c r="AC171" s="145"/>
      <c r="AD171" s="144"/>
      <c r="AE171" s="143"/>
      <c r="AF171" s="507"/>
      <c r="AG171" s="507"/>
      <c r="AH171" s="507"/>
      <c r="AI171" s="507"/>
      <c r="AJ171" s="507"/>
      <c r="AK171" s="507"/>
      <c r="AL171" s="507"/>
      <c r="AM171" s="507"/>
      <c r="AN171" s="507"/>
      <c r="AO171" s="507"/>
      <c r="AP171" s="507"/>
      <c r="AQ171" s="507"/>
      <c r="AR171" s="507"/>
      <c r="AS171" s="507"/>
      <c r="AT171" s="507"/>
      <c r="AU171" s="507"/>
      <c r="AV171" s="142"/>
    </row>
    <row r="172" spans="1:48">
      <c r="A172" s="145"/>
      <c r="B172" s="153" t="s">
        <v>18</v>
      </c>
      <c r="C172" s="162" t="s">
        <v>38</v>
      </c>
      <c r="D172" s="147"/>
      <c r="E172" s="147"/>
      <c r="F172" s="979"/>
      <c r="G172" s="147" t="s">
        <v>18</v>
      </c>
      <c r="H172" s="147" t="s">
        <v>19</v>
      </c>
      <c r="I172" s="979"/>
      <c r="J172" s="982"/>
      <c r="K172" s="970"/>
      <c r="L172" s="155"/>
      <c r="M172" s="976"/>
      <c r="N172" s="147"/>
      <c r="O172" s="154"/>
      <c r="P172" s="145"/>
      <c r="Q172" s="146"/>
      <c r="R172" s="153"/>
      <c r="S172" s="147"/>
      <c r="T172" s="152"/>
      <c r="U172" s="151"/>
      <c r="V172" s="150"/>
      <c r="W172" s="189"/>
      <c r="X172" s="188"/>
      <c r="Y172" s="189"/>
      <c r="Z172" s="188">
        <f t="shared" si="2"/>
        <v>0</v>
      </c>
      <c r="AA172" s="147"/>
      <c r="AB172" s="146"/>
      <c r="AC172" s="145"/>
      <c r="AD172" s="144"/>
      <c r="AE172" s="143"/>
      <c r="AF172" s="507"/>
      <c r="AG172" s="507"/>
      <c r="AH172" s="507"/>
      <c r="AI172" s="507"/>
      <c r="AJ172" s="507"/>
      <c r="AK172" s="507"/>
      <c r="AL172" s="507"/>
      <c r="AM172" s="507"/>
      <c r="AN172" s="507"/>
      <c r="AO172" s="507"/>
      <c r="AP172" s="507"/>
      <c r="AQ172" s="507"/>
      <c r="AR172" s="507"/>
      <c r="AS172" s="507"/>
      <c r="AT172" s="507"/>
      <c r="AU172" s="507"/>
      <c r="AV172" s="142"/>
    </row>
    <row r="173" spans="1:48" ht="55.2">
      <c r="A173" s="145"/>
      <c r="B173" s="157" t="s">
        <v>12</v>
      </c>
      <c r="C173" s="156" t="s">
        <v>573</v>
      </c>
      <c r="D173" s="147"/>
      <c r="E173" s="154"/>
      <c r="F173" s="979"/>
      <c r="G173" s="147"/>
      <c r="H173" s="146"/>
      <c r="I173" s="979"/>
      <c r="J173" s="982"/>
      <c r="K173" s="970"/>
      <c r="L173" s="155"/>
      <c r="M173" s="976"/>
      <c r="N173" s="147"/>
      <c r="O173" s="154"/>
      <c r="P173" s="145"/>
      <c r="Q173" s="146"/>
      <c r="R173" s="153" t="s">
        <v>16</v>
      </c>
      <c r="S173" s="147" t="s">
        <v>15</v>
      </c>
      <c r="T173" s="152"/>
      <c r="U173" s="151">
        <v>1</v>
      </c>
      <c r="V173" s="150" t="s">
        <v>808</v>
      </c>
      <c r="W173" s="189">
        <v>0</v>
      </c>
      <c r="X173" s="188"/>
      <c r="Y173" s="189">
        <v>420</v>
      </c>
      <c r="Z173" s="188">
        <f t="shared" si="2"/>
        <v>420</v>
      </c>
      <c r="AA173" s="147"/>
      <c r="AB173" s="146"/>
      <c r="AC173" s="145"/>
      <c r="AD173" s="144"/>
      <c r="AE173" s="143"/>
      <c r="AF173" s="507"/>
      <c r="AG173" s="507"/>
      <c r="AH173" s="507"/>
      <c r="AI173" s="507"/>
      <c r="AJ173" s="507"/>
      <c r="AK173" s="507"/>
      <c r="AL173" s="507"/>
      <c r="AM173" s="507"/>
      <c r="AN173" s="507"/>
      <c r="AO173" s="507"/>
      <c r="AP173" s="507"/>
      <c r="AQ173" s="507"/>
      <c r="AR173" s="507"/>
      <c r="AS173" s="507"/>
      <c r="AT173" s="507"/>
      <c r="AU173" s="507"/>
      <c r="AV173" s="142"/>
    </row>
    <row r="174" spans="1:48">
      <c r="A174" s="145"/>
      <c r="B174" s="157" t="s">
        <v>8</v>
      </c>
      <c r="C174" s="190" t="s">
        <v>572</v>
      </c>
      <c r="D174" s="147"/>
      <c r="E174" s="154"/>
      <c r="F174" s="979"/>
      <c r="G174" s="147"/>
      <c r="H174" s="146"/>
      <c r="I174" s="979"/>
      <c r="J174" s="982"/>
      <c r="K174" s="970"/>
      <c r="L174" s="155"/>
      <c r="M174" s="976"/>
      <c r="N174" s="147"/>
      <c r="O174" s="154"/>
      <c r="P174" s="145"/>
      <c r="Q174" s="146"/>
      <c r="R174" s="153"/>
      <c r="S174" s="147"/>
      <c r="T174" s="152"/>
      <c r="U174" s="151">
        <v>2</v>
      </c>
      <c r="V174" s="150" t="s">
        <v>808</v>
      </c>
      <c r="W174" s="189">
        <v>0</v>
      </c>
      <c r="X174" s="188">
        <v>10</v>
      </c>
      <c r="Y174" s="189">
        <v>0</v>
      </c>
      <c r="Z174" s="188">
        <f t="shared" si="2"/>
        <v>10</v>
      </c>
      <c r="AA174" s="147"/>
      <c r="AB174" s="146"/>
      <c r="AC174" s="145"/>
      <c r="AD174" s="144"/>
      <c r="AE174" s="143"/>
      <c r="AF174" s="507"/>
      <c r="AG174" s="507"/>
      <c r="AH174" s="507"/>
      <c r="AI174" s="507"/>
      <c r="AJ174" s="507"/>
      <c r="AK174" s="507"/>
      <c r="AL174" s="507"/>
      <c r="AM174" s="507"/>
      <c r="AN174" s="507"/>
      <c r="AO174" s="507"/>
      <c r="AP174" s="507"/>
      <c r="AQ174" s="507"/>
      <c r="AR174" s="507"/>
      <c r="AS174" s="507"/>
      <c r="AT174" s="507"/>
      <c r="AU174" s="507"/>
      <c r="AV174" s="142"/>
    </row>
    <row r="175" spans="1:48">
      <c r="A175" s="145"/>
      <c r="B175" s="157"/>
      <c r="C175" s="156"/>
      <c r="D175" s="147"/>
      <c r="E175" s="154"/>
      <c r="F175" s="979"/>
      <c r="G175" s="147"/>
      <c r="H175" s="146"/>
      <c r="I175" s="979"/>
      <c r="J175" s="982"/>
      <c r="K175" s="970"/>
      <c r="L175" s="155"/>
      <c r="M175" s="976"/>
      <c r="N175" s="147"/>
      <c r="O175" s="154"/>
      <c r="P175" s="145"/>
      <c r="Q175" s="146"/>
      <c r="R175" s="153"/>
      <c r="S175" s="147"/>
      <c r="T175" s="152"/>
      <c r="U175" s="151">
        <v>3</v>
      </c>
      <c r="V175" s="150" t="s">
        <v>14</v>
      </c>
      <c r="W175" s="189">
        <v>0</v>
      </c>
      <c r="X175" s="188">
        <v>10</v>
      </c>
      <c r="Y175" s="189"/>
      <c r="Z175" s="188">
        <f t="shared" si="2"/>
        <v>10</v>
      </c>
      <c r="AA175" s="147"/>
      <c r="AB175" s="146"/>
      <c r="AC175" s="145"/>
      <c r="AD175" s="144"/>
      <c r="AE175" s="143"/>
      <c r="AF175" s="507"/>
      <c r="AG175" s="507"/>
      <c r="AH175" s="507"/>
      <c r="AI175" s="507"/>
      <c r="AJ175" s="507"/>
      <c r="AK175" s="507"/>
      <c r="AL175" s="507"/>
      <c r="AM175" s="507"/>
      <c r="AN175" s="507"/>
      <c r="AO175" s="507"/>
      <c r="AP175" s="507"/>
      <c r="AQ175" s="507"/>
      <c r="AR175" s="507"/>
      <c r="AS175" s="507"/>
      <c r="AT175" s="507"/>
      <c r="AU175" s="507"/>
      <c r="AV175" s="142"/>
    </row>
    <row r="176" spans="1:48">
      <c r="A176" s="145"/>
      <c r="B176" s="157"/>
      <c r="C176" s="156"/>
      <c r="D176" s="147"/>
      <c r="E176" s="154"/>
      <c r="F176" s="979"/>
      <c r="G176" s="147"/>
      <c r="H176" s="146"/>
      <c r="I176" s="979"/>
      <c r="J176" s="982"/>
      <c r="K176" s="970"/>
      <c r="L176" s="515"/>
      <c r="M176" s="976"/>
      <c r="N176" s="147"/>
      <c r="O176" s="154"/>
      <c r="P176" s="145"/>
      <c r="Q176" s="146"/>
      <c r="R176" s="153"/>
      <c r="S176" s="147"/>
      <c r="T176" s="503"/>
      <c r="U176" s="504"/>
      <c r="V176" s="150" t="s">
        <v>14</v>
      </c>
      <c r="W176" s="189">
        <v>0</v>
      </c>
      <c r="X176" s="188"/>
      <c r="Y176" s="189">
        <v>500</v>
      </c>
      <c r="Z176" s="188"/>
      <c r="AA176" s="147"/>
      <c r="AB176" s="146"/>
      <c r="AC176" s="145"/>
      <c r="AD176" s="513"/>
      <c r="AE176" s="507"/>
      <c r="AF176" s="507"/>
      <c r="AG176" s="507"/>
      <c r="AH176" s="507"/>
      <c r="AI176" s="507"/>
      <c r="AJ176" s="507"/>
      <c r="AK176" s="507"/>
      <c r="AL176" s="507"/>
      <c r="AM176" s="507"/>
      <c r="AN176" s="507"/>
      <c r="AO176" s="507"/>
      <c r="AP176" s="507"/>
      <c r="AQ176" s="507"/>
      <c r="AR176" s="507"/>
      <c r="AS176" s="507"/>
      <c r="AT176" s="507"/>
      <c r="AU176" s="507"/>
      <c r="AV176" s="505"/>
    </row>
    <row r="177" spans="1:48">
      <c r="A177" s="145"/>
      <c r="B177" s="157"/>
      <c r="C177" s="156"/>
      <c r="D177" s="147"/>
      <c r="E177" s="154"/>
      <c r="F177" s="979"/>
      <c r="G177" s="147"/>
      <c r="H177" s="146"/>
      <c r="I177" s="979"/>
      <c r="J177" s="982"/>
      <c r="K177" s="970"/>
      <c r="L177" s="155"/>
      <c r="M177" s="976"/>
      <c r="N177" s="147"/>
      <c r="O177" s="154"/>
      <c r="P177" s="145"/>
      <c r="Q177" s="146"/>
      <c r="R177" s="153"/>
      <c r="S177" s="147"/>
      <c r="T177" s="152"/>
      <c r="U177" s="151">
        <v>4</v>
      </c>
      <c r="V177" s="150" t="s">
        <v>219</v>
      </c>
      <c r="W177" s="189">
        <v>0</v>
      </c>
      <c r="X177" s="188">
        <v>5</v>
      </c>
      <c r="Y177" s="189">
        <v>0</v>
      </c>
      <c r="Z177" s="188">
        <f t="shared" si="2"/>
        <v>5</v>
      </c>
      <c r="AA177" s="147"/>
      <c r="AB177" s="146"/>
      <c r="AC177" s="145"/>
      <c r="AD177" s="144"/>
      <c r="AE177" s="143"/>
      <c r="AF177" s="507"/>
      <c r="AG177" s="507"/>
      <c r="AH177" s="507"/>
      <c r="AI177" s="507"/>
      <c r="AJ177" s="507"/>
      <c r="AK177" s="507"/>
      <c r="AL177" s="507"/>
      <c r="AM177" s="507"/>
      <c r="AN177" s="507"/>
      <c r="AO177" s="507"/>
      <c r="AP177" s="507"/>
      <c r="AQ177" s="507"/>
      <c r="AR177" s="507"/>
      <c r="AS177" s="507"/>
      <c r="AT177" s="507"/>
      <c r="AU177" s="507"/>
      <c r="AV177" s="142"/>
    </row>
    <row r="178" spans="1:48">
      <c r="A178" s="145"/>
      <c r="B178" s="157"/>
      <c r="C178" s="156"/>
      <c r="D178" s="147"/>
      <c r="E178" s="154"/>
      <c r="F178" s="979"/>
      <c r="G178" s="147"/>
      <c r="H178" s="146"/>
      <c r="I178" s="979"/>
      <c r="J178" s="982"/>
      <c r="K178" s="970"/>
      <c r="L178" s="155"/>
      <c r="M178" s="976"/>
      <c r="N178" s="147"/>
      <c r="O178" s="154"/>
      <c r="P178" s="145"/>
      <c r="Q178" s="146"/>
      <c r="R178" s="153"/>
      <c r="S178" s="147"/>
      <c r="T178" s="152"/>
      <c r="U178" s="151">
        <v>5</v>
      </c>
      <c r="V178" s="150" t="s">
        <v>265</v>
      </c>
      <c r="W178" s="189">
        <v>0</v>
      </c>
      <c r="X178" s="188">
        <v>0</v>
      </c>
      <c r="Y178" s="189">
        <v>5</v>
      </c>
      <c r="Z178" s="188">
        <f t="shared" si="2"/>
        <v>5</v>
      </c>
      <c r="AA178" s="147"/>
      <c r="AB178" s="146"/>
      <c r="AC178" s="145"/>
      <c r="AD178" s="144"/>
      <c r="AE178" s="143"/>
      <c r="AF178" s="507"/>
      <c r="AG178" s="507"/>
      <c r="AH178" s="507"/>
      <c r="AI178" s="507"/>
      <c r="AJ178" s="507"/>
      <c r="AK178" s="507"/>
      <c r="AL178" s="507"/>
      <c r="AM178" s="507"/>
      <c r="AN178" s="507"/>
      <c r="AO178" s="507"/>
      <c r="AP178" s="507"/>
      <c r="AQ178" s="507"/>
      <c r="AR178" s="507"/>
      <c r="AS178" s="507"/>
      <c r="AT178" s="507"/>
      <c r="AU178" s="507"/>
      <c r="AV178" s="142"/>
    </row>
    <row r="179" spans="1:48">
      <c r="A179" s="145"/>
      <c r="B179" s="157"/>
      <c r="C179" s="156"/>
      <c r="D179" s="147"/>
      <c r="E179" s="154"/>
      <c r="F179" s="979"/>
      <c r="G179" s="147"/>
      <c r="H179" s="146"/>
      <c r="I179" s="979"/>
      <c r="J179" s="982"/>
      <c r="K179" s="970"/>
      <c r="L179" s="155"/>
      <c r="M179" s="976"/>
      <c r="N179" s="147"/>
      <c r="O179" s="154"/>
      <c r="P179" s="145"/>
      <c r="Q179" s="146"/>
      <c r="R179" s="153"/>
      <c r="S179" s="147"/>
      <c r="T179" s="152"/>
      <c r="U179" s="151">
        <v>6</v>
      </c>
      <c r="V179" s="150" t="s">
        <v>137</v>
      </c>
      <c r="W179" s="189">
        <v>0</v>
      </c>
      <c r="X179" s="188">
        <v>0</v>
      </c>
      <c r="Y179" s="189">
        <v>10</v>
      </c>
      <c r="Z179" s="188">
        <f t="shared" si="2"/>
        <v>10</v>
      </c>
      <c r="AA179" s="147"/>
      <c r="AB179" s="146"/>
      <c r="AC179" s="145"/>
      <c r="AD179" s="144"/>
      <c r="AE179" s="143"/>
      <c r="AF179" s="507"/>
      <c r="AG179" s="507"/>
      <c r="AH179" s="507"/>
      <c r="AI179" s="507"/>
      <c r="AJ179" s="507"/>
      <c r="AK179" s="507"/>
      <c r="AL179" s="507"/>
      <c r="AM179" s="507"/>
      <c r="AN179" s="507"/>
      <c r="AO179" s="507"/>
      <c r="AP179" s="507"/>
      <c r="AQ179" s="507"/>
      <c r="AR179" s="507"/>
      <c r="AS179" s="507"/>
      <c r="AT179" s="507"/>
      <c r="AU179" s="507"/>
      <c r="AV179" s="142"/>
    </row>
    <row r="180" spans="1:48">
      <c r="A180" s="145"/>
      <c r="B180" s="157"/>
      <c r="C180" s="156"/>
      <c r="D180" s="147"/>
      <c r="E180" s="154"/>
      <c r="F180" s="979"/>
      <c r="G180" s="147"/>
      <c r="H180" s="146"/>
      <c r="I180" s="979"/>
      <c r="J180" s="982"/>
      <c r="K180" s="970"/>
      <c r="L180" s="155"/>
      <c r="M180" s="976"/>
      <c r="N180" s="147"/>
      <c r="O180" s="154"/>
      <c r="P180" s="145"/>
      <c r="Q180" s="146"/>
      <c r="R180" s="153"/>
      <c r="S180" s="147"/>
      <c r="T180" s="152"/>
      <c r="U180" s="151">
        <v>7</v>
      </c>
      <c r="V180" s="150" t="s">
        <v>410</v>
      </c>
      <c r="W180" s="189">
        <v>0</v>
      </c>
      <c r="X180" s="188">
        <v>0</v>
      </c>
      <c r="Y180" s="189">
        <v>844</v>
      </c>
      <c r="Z180" s="188">
        <f t="shared" si="2"/>
        <v>844</v>
      </c>
      <c r="AA180" s="147"/>
      <c r="AB180" s="146"/>
      <c r="AC180" s="145"/>
      <c r="AD180" s="144"/>
      <c r="AE180" s="143"/>
      <c r="AF180" s="507"/>
      <c r="AG180" s="507"/>
      <c r="AH180" s="507"/>
      <c r="AI180" s="507"/>
      <c r="AJ180" s="507"/>
      <c r="AK180" s="507"/>
      <c r="AL180" s="507"/>
      <c r="AM180" s="507"/>
      <c r="AN180" s="507"/>
      <c r="AO180" s="507"/>
      <c r="AP180" s="507"/>
      <c r="AQ180" s="507"/>
      <c r="AR180" s="507"/>
      <c r="AS180" s="507"/>
      <c r="AT180" s="507"/>
      <c r="AU180" s="507"/>
      <c r="AV180" s="142"/>
    </row>
    <row r="181" spans="1:48">
      <c r="A181" s="145"/>
      <c r="B181" s="157"/>
      <c r="C181" s="156"/>
      <c r="D181" s="147"/>
      <c r="E181" s="154"/>
      <c r="F181" s="979"/>
      <c r="G181" s="147"/>
      <c r="H181" s="146"/>
      <c r="I181" s="979"/>
      <c r="J181" s="982"/>
      <c r="K181" s="970"/>
      <c r="L181" s="155"/>
      <c r="M181" s="976"/>
      <c r="N181" s="147"/>
      <c r="O181" s="154"/>
      <c r="P181" s="145"/>
      <c r="Q181" s="146"/>
      <c r="R181" s="153"/>
      <c r="S181" s="147"/>
      <c r="T181" s="152"/>
      <c r="U181" s="151">
        <v>8</v>
      </c>
      <c r="V181" s="150" t="s">
        <v>807</v>
      </c>
      <c r="W181" s="189">
        <v>0</v>
      </c>
      <c r="X181" s="188">
        <v>0</v>
      </c>
      <c r="Y181" s="189">
        <v>199</v>
      </c>
      <c r="Z181" s="188">
        <f t="shared" si="2"/>
        <v>199</v>
      </c>
      <c r="AA181" s="147"/>
      <c r="AB181" s="146"/>
      <c r="AC181" s="145"/>
      <c r="AD181" s="144"/>
      <c r="AE181" s="143"/>
      <c r="AF181" s="507"/>
      <c r="AG181" s="507"/>
      <c r="AH181" s="507"/>
      <c r="AI181" s="507"/>
      <c r="AJ181" s="507"/>
      <c r="AK181" s="507"/>
      <c r="AL181" s="507"/>
      <c r="AM181" s="507"/>
      <c r="AN181" s="507"/>
      <c r="AO181" s="507"/>
      <c r="AP181" s="507"/>
      <c r="AQ181" s="507"/>
      <c r="AR181" s="507"/>
      <c r="AS181" s="507"/>
      <c r="AT181" s="507"/>
      <c r="AU181" s="507"/>
      <c r="AV181" s="142"/>
    </row>
    <row r="182" spans="1:48">
      <c r="A182" s="129"/>
      <c r="B182" s="137"/>
      <c r="C182" s="141"/>
      <c r="D182" s="131"/>
      <c r="E182" s="140"/>
      <c r="F182" s="992"/>
      <c r="G182" s="131"/>
      <c r="H182" s="130"/>
      <c r="I182" s="992"/>
      <c r="J182" s="993"/>
      <c r="K182" s="971"/>
      <c r="L182" s="139"/>
      <c r="M182" s="977"/>
      <c r="N182" s="131"/>
      <c r="O182" s="138"/>
      <c r="P182" s="129"/>
      <c r="Q182" s="130"/>
      <c r="R182" s="137"/>
      <c r="S182" s="131"/>
      <c r="T182" s="136"/>
      <c r="U182" s="135"/>
      <c r="V182" s="134"/>
      <c r="W182" s="187"/>
      <c r="X182" s="186"/>
      <c r="Y182" s="187"/>
      <c r="Z182" s="186"/>
      <c r="AA182" s="131"/>
      <c r="AB182" s="130"/>
      <c r="AC182" s="129"/>
      <c r="AD182" s="128"/>
      <c r="AE182" s="127"/>
      <c r="AF182" s="508"/>
      <c r="AG182" s="508"/>
      <c r="AH182" s="508"/>
      <c r="AI182" s="508"/>
      <c r="AJ182" s="508"/>
      <c r="AK182" s="508"/>
      <c r="AL182" s="508"/>
      <c r="AM182" s="508"/>
      <c r="AN182" s="508"/>
      <c r="AO182" s="508"/>
      <c r="AP182" s="508"/>
      <c r="AQ182" s="508"/>
      <c r="AR182" s="508"/>
      <c r="AS182" s="508"/>
      <c r="AT182" s="508"/>
      <c r="AU182" s="508"/>
      <c r="AV182" s="126"/>
    </row>
    <row r="183" spans="1:48">
      <c r="A183" s="185" t="s">
        <v>571</v>
      </c>
      <c r="B183" s="176" t="s">
        <v>25</v>
      </c>
      <c r="C183" s="184" t="s">
        <v>570</v>
      </c>
      <c r="D183" s="183"/>
      <c r="E183" s="170"/>
      <c r="F183" s="978" t="s">
        <v>569</v>
      </c>
      <c r="G183" s="182" t="s">
        <v>25</v>
      </c>
      <c r="H183" s="181" t="s">
        <v>568</v>
      </c>
      <c r="I183" s="978">
        <v>3796</v>
      </c>
      <c r="J183" s="981"/>
      <c r="K183" s="969" t="s">
        <v>567</v>
      </c>
      <c r="L183" s="180"/>
      <c r="M183" s="975"/>
      <c r="N183" s="170"/>
      <c r="O183" s="179"/>
      <c r="P183" s="178"/>
      <c r="Q183" s="177"/>
      <c r="R183" s="176" t="s">
        <v>25</v>
      </c>
      <c r="S183" s="170" t="s">
        <v>24</v>
      </c>
      <c r="T183" s="175"/>
      <c r="U183" s="174">
        <v>1</v>
      </c>
      <c r="V183" s="173" t="s">
        <v>58</v>
      </c>
      <c r="W183" s="172">
        <v>0</v>
      </c>
      <c r="X183" s="171">
        <v>0</v>
      </c>
      <c r="Y183" s="172">
        <v>358</v>
      </c>
      <c r="Z183" s="171">
        <f>SUM(W183:Y183)</f>
        <v>358</v>
      </c>
      <c r="AA183" s="170"/>
      <c r="AB183" s="169"/>
      <c r="AC183" s="168"/>
      <c r="AD183" s="167"/>
      <c r="AE183" s="166"/>
      <c r="AF183" s="506"/>
      <c r="AG183" s="506"/>
      <c r="AH183" s="506"/>
      <c r="AI183" s="506"/>
      <c r="AJ183" s="506"/>
      <c r="AK183" s="506"/>
      <c r="AL183" s="506"/>
      <c r="AM183" s="506"/>
      <c r="AN183" s="506"/>
      <c r="AO183" s="506"/>
      <c r="AP183" s="506"/>
      <c r="AQ183" s="506"/>
      <c r="AR183" s="506"/>
      <c r="AS183" s="506"/>
      <c r="AT183" s="506"/>
      <c r="AU183" s="506"/>
      <c r="AV183" s="165"/>
    </row>
    <row r="184" spans="1:48">
      <c r="A184" s="145"/>
      <c r="B184" s="153" t="s">
        <v>16</v>
      </c>
      <c r="C184" s="164" t="s">
        <v>566</v>
      </c>
      <c r="D184" s="147"/>
      <c r="E184" s="163"/>
      <c r="F184" s="979"/>
      <c r="G184" s="147" t="s">
        <v>16</v>
      </c>
      <c r="H184" s="147" t="s">
        <v>565</v>
      </c>
      <c r="I184" s="979"/>
      <c r="J184" s="982"/>
      <c r="K184" s="970"/>
      <c r="L184" s="155"/>
      <c r="M184" s="976"/>
      <c r="N184" s="147"/>
      <c r="O184" s="154"/>
      <c r="P184" s="145"/>
      <c r="Q184" s="146"/>
      <c r="R184" s="153"/>
      <c r="S184" s="147"/>
      <c r="T184" s="152"/>
      <c r="U184" s="151">
        <v>2</v>
      </c>
      <c r="V184" s="150" t="s">
        <v>585</v>
      </c>
      <c r="W184" s="149">
        <v>0</v>
      </c>
      <c r="X184" s="148">
        <v>0</v>
      </c>
      <c r="Y184" s="149">
        <v>17</v>
      </c>
      <c r="Z184" s="148">
        <f>SUM(W184:Y184)</f>
        <v>17</v>
      </c>
      <c r="AA184" s="147"/>
      <c r="AB184" s="146"/>
      <c r="AC184" s="145"/>
      <c r="AD184" s="144"/>
      <c r="AE184" s="143"/>
      <c r="AF184" s="507"/>
      <c r="AG184" s="507"/>
      <c r="AH184" s="507"/>
      <c r="AI184" s="507"/>
      <c r="AJ184" s="507"/>
      <c r="AK184" s="507"/>
      <c r="AL184" s="507"/>
      <c r="AM184" s="507"/>
      <c r="AN184" s="507"/>
      <c r="AO184" s="507"/>
      <c r="AP184" s="507"/>
      <c r="AQ184" s="507"/>
      <c r="AR184" s="507"/>
      <c r="AS184" s="507"/>
      <c r="AT184" s="507"/>
      <c r="AU184" s="507"/>
      <c r="AV184" s="142"/>
    </row>
    <row r="185" spans="1:48">
      <c r="A185" s="145"/>
      <c r="B185" s="153" t="s">
        <v>18</v>
      </c>
      <c r="C185" s="162" t="s">
        <v>38</v>
      </c>
      <c r="D185" s="147"/>
      <c r="E185" s="147"/>
      <c r="F185" s="979"/>
      <c r="G185" s="147" t="s">
        <v>18</v>
      </c>
      <c r="H185" s="147" t="s">
        <v>19</v>
      </c>
      <c r="I185" s="979"/>
      <c r="J185" s="982"/>
      <c r="K185" s="970"/>
      <c r="L185" s="155"/>
      <c r="M185" s="976"/>
      <c r="N185" s="147"/>
      <c r="O185" s="154"/>
      <c r="P185" s="145"/>
      <c r="Q185" s="146"/>
      <c r="R185" s="153"/>
      <c r="S185" s="147"/>
      <c r="T185" s="152"/>
      <c r="U185" s="151">
        <v>3</v>
      </c>
      <c r="V185" s="150" t="s">
        <v>109</v>
      </c>
      <c r="W185" s="149">
        <v>0</v>
      </c>
      <c r="X185" s="148">
        <v>0</v>
      </c>
      <c r="Y185" s="149">
        <v>31</v>
      </c>
      <c r="Z185" s="148">
        <f>SUM(W185:Y185)</f>
        <v>31</v>
      </c>
      <c r="AA185" s="147"/>
      <c r="AB185" s="146"/>
      <c r="AC185" s="145"/>
      <c r="AD185" s="144"/>
      <c r="AE185" s="143"/>
      <c r="AF185" s="507"/>
      <c r="AG185" s="507"/>
      <c r="AH185" s="507"/>
      <c r="AI185" s="507"/>
      <c r="AJ185" s="507"/>
      <c r="AK185" s="507"/>
      <c r="AL185" s="507"/>
      <c r="AM185" s="507"/>
      <c r="AN185" s="507"/>
      <c r="AO185" s="507"/>
      <c r="AP185" s="507"/>
      <c r="AQ185" s="507"/>
      <c r="AR185" s="507"/>
      <c r="AS185" s="507"/>
      <c r="AT185" s="507"/>
      <c r="AU185" s="507"/>
      <c r="AV185" s="142"/>
    </row>
    <row r="186" spans="1:48" ht="55.2">
      <c r="A186" s="145"/>
      <c r="B186" s="157" t="s">
        <v>12</v>
      </c>
      <c r="C186" s="156" t="s">
        <v>564</v>
      </c>
      <c r="D186" s="147"/>
      <c r="E186" s="154"/>
      <c r="F186" s="979"/>
      <c r="G186" s="147"/>
      <c r="H186" s="146"/>
      <c r="I186" s="979"/>
      <c r="J186" s="982"/>
      <c r="K186" s="970"/>
      <c r="L186" s="155"/>
      <c r="M186" s="976"/>
      <c r="N186" s="147"/>
      <c r="O186" s="154"/>
      <c r="P186" s="145"/>
      <c r="Q186" s="146"/>
      <c r="R186" s="153"/>
      <c r="S186" s="147"/>
      <c r="T186" s="152"/>
      <c r="U186" s="144">
        <v>4</v>
      </c>
      <c r="V186" s="161" t="s">
        <v>806</v>
      </c>
      <c r="W186" s="160">
        <v>0</v>
      </c>
      <c r="X186" s="159">
        <v>0</v>
      </c>
      <c r="Y186" s="160">
        <v>15</v>
      </c>
      <c r="Z186" s="159">
        <f>SUM(W186:Y186)</f>
        <v>15</v>
      </c>
      <c r="AA186" s="147"/>
      <c r="AB186" s="146"/>
      <c r="AC186" s="145"/>
      <c r="AD186" s="144"/>
      <c r="AE186" s="143"/>
      <c r="AF186" s="507"/>
      <c r="AG186" s="507"/>
      <c r="AH186" s="507"/>
      <c r="AI186" s="507"/>
      <c r="AJ186" s="507"/>
      <c r="AK186" s="507"/>
      <c r="AL186" s="507"/>
      <c r="AM186" s="507"/>
      <c r="AN186" s="507"/>
      <c r="AO186" s="507"/>
      <c r="AP186" s="507"/>
      <c r="AQ186" s="507"/>
      <c r="AR186" s="507"/>
      <c r="AS186" s="507"/>
      <c r="AT186" s="507"/>
      <c r="AU186" s="507"/>
      <c r="AV186" s="142"/>
    </row>
    <row r="187" spans="1:48" ht="27.6">
      <c r="A187" s="145"/>
      <c r="B187" s="157" t="s">
        <v>8</v>
      </c>
      <c r="C187" s="156" t="s">
        <v>563</v>
      </c>
      <c r="D187" s="147"/>
      <c r="E187" s="154"/>
      <c r="F187" s="979"/>
      <c r="G187" s="147"/>
      <c r="H187" s="146"/>
      <c r="I187" s="979"/>
      <c r="J187" s="982"/>
      <c r="K187" s="970"/>
      <c r="L187" s="155"/>
      <c r="M187" s="976"/>
      <c r="N187" s="147"/>
      <c r="O187" s="154"/>
      <c r="P187" s="145"/>
      <c r="Q187" s="146"/>
      <c r="R187" s="153" t="s">
        <v>16</v>
      </c>
      <c r="S187" s="147" t="s">
        <v>15</v>
      </c>
      <c r="T187" s="152"/>
      <c r="U187" s="151">
        <v>1</v>
      </c>
      <c r="V187" s="150" t="s">
        <v>666</v>
      </c>
      <c r="W187" s="149">
        <v>0</v>
      </c>
      <c r="X187" s="148">
        <v>0</v>
      </c>
      <c r="Y187" s="158" t="s">
        <v>805</v>
      </c>
      <c r="Z187" s="158" t="s">
        <v>805</v>
      </c>
      <c r="AA187" s="147"/>
      <c r="AB187" s="146"/>
      <c r="AC187" s="145"/>
      <c r="AD187" s="144"/>
      <c r="AE187" s="143"/>
      <c r="AF187" s="507"/>
      <c r="AG187" s="507"/>
      <c r="AH187" s="507"/>
      <c r="AI187" s="507"/>
      <c r="AJ187" s="507"/>
      <c r="AK187" s="507"/>
      <c r="AL187" s="507"/>
      <c r="AM187" s="507"/>
      <c r="AN187" s="507"/>
      <c r="AO187" s="507"/>
      <c r="AP187" s="507"/>
      <c r="AQ187" s="507"/>
      <c r="AR187" s="507"/>
      <c r="AS187" s="507"/>
      <c r="AT187" s="507"/>
      <c r="AU187" s="507"/>
      <c r="AV187" s="142"/>
    </row>
    <row r="188" spans="1:48">
      <c r="A188" s="145"/>
      <c r="B188" s="157"/>
      <c r="C188" s="156"/>
      <c r="D188" s="147"/>
      <c r="E188" s="154"/>
      <c r="F188" s="979"/>
      <c r="G188" s="147"/>
      <c r="H188" s="146"/>
      <c r="I188" s="979"/>
      <c r="J188" s="982"/>
      <c r="K188" s="970"/>
      <c r="L188" s="155"/>
      <c r="M188" s="976"/>
      <c r="N188" s="147"/>
      <c r="O188" s="154"/>
      <c r="P188" s="145"/>
      <c r="Q188" s="146"/>
      <c r="R188" s="153"/>
      <c r="S188" s="147"/>
      <c r="T188" s="152"/>
      <c r="U188" s="151">
        <v>2</v>
      </c>
      <c r="V188" s="150" t="s">
        <v>14</v>
      </c>
      <c r="W188" s="149">
        <v>0</v>
      </c>
      <c r="X188" s="148">
        <v>0</v>
      </c>
      <c r="Y188" s="149">
        <v>148</v>
      </c>
      <c r="Z188" s="148">
        <f>SUM(W188:Y188)</f>
        <v>148</v>
      </c>
      <c r="AA188" s="147"/>
      <c r="AB188" s="146"/>
      <c r="AC188" s="145"/>
      <c r="AD188" s="144"/>
      <c r="AE188" s="143"/>
      <c r="AF188" s="507"/>
      <c r="AG188" s="507"/>
      <c r="AH188" s="507"/>
      <c r="AI188" s="507"/>
      <c r="AJ188" s="507"/>
      <c r="AK188" s="507"/>
      <c r="AL188" s="507"/>
      <c r="AM188" s="507"/>
      <c r="AN188" s="507"/>
      <c r="AO188" s="507"/>
      <c r="AP188" s="507"/>
      <c r="AQ188" s="507"/>
      <c r="AR188" s="507"/>
      <c r="AS188" s="507"/>
      <c r="AT188" s="507"/>
      <c r="AU188" s="507"/>
      <c r="AV188" s="142"/>
    </row>
    <row r="189" spans="1:48">
      <c r="A189" s="145"/>
      <c r="B189" s="157"/>
      <c r="C189" s="156"/>
      <c r="D189" s="147"/>
      <c r="E189" s="154"/>
      <c r="F189" s="979"/>
      <c r="G189" s="147"/>
      <c r="H189" s="146"/>
      <c r="I189" s="979"/>
      <c r="J189" s="982"/>
      <c r="K189" s="970"/>
      <c r="L189" s="155"/>
      <c r="M189" s="976"/>
      <c r="N189" s="147"/>
      <c r="O189" s="154"/>
      <c r="P189" s="145"/>
      <c r="Q189" s="146"/>
      <c r="R189" s="153"/>
      <c r="S189" s="147"/>
      <c r="T189" s="152"/>
      <c r="U189" s="151">
        <v>3</v>
      </c>
      <c r="V189" s="150" t="s">
        <v>82</v>
      </c>
      <c r="W189" s="149">
        <v>0</v>
      </c>
      <c r="X189" s="148">
        <v>0</v>
      </c>
      <c r="Y189" s="149">
        <v>120</v>
      </c>
      <c r="Z189" s="148">
        <f>SUM(W189:Y189)</f>
        <v>120</v>
      </c>
      <c r="AA189" s="147"/>
      <c r="AB189" s="146"/>
      <c r="AC189" s="145"/>
      <c r="AD189" s="144"/>
      <c r="AE189" s="143"/>
      <c r="AF189" s="507"/>
      <c r="AG189" s="507"/>
      <c r="AH189" s="507"/>
      <c r="AI189" s="507"/>
      <c r="AJ189" s="507"/>
      <c r="AK189" s="507"/>
      <c r="AL189" s="507"/>
      <c r="AM189" s="507"/>
      <c r="AN189" s="507"/>
      <c r="AO189" s="507"/>
      <c r="AP189" s="507"/>
      <c r="AQ189" s="507"/>
      <c r="AR189" s="507"/>
      <c r="AS189" s="507"/>
      <c r="AT189" s="507"/>
      <c r="AU189" s="507"/>
      <c r="AV189" s="142"/>
    </row>
    <row r="190" spans="1:48">
      <c r="A190" s="129"/>
      <c r="B190" s="137"/>
      <c r="C190" s="141"/>
      <c r="D190" s="131"/>
      <c r="E190" s="140"/>
      <c r="F190" s="992"/>
      <c r="G190" s="131"/>
      <c r="H190" s="130"/>
      <c r="I190" s="992"/>
      <c r="J190" s="993"/>
      <c r="K190" s="971"/>
      <c r="L190" s="139"/>
      <c r="M190" s="977"/>
      <c r="N190" s="131"/>
      <c r="O190" s="138"/>
      <c r="P190" s="129"/>
      <c r="Q190" s="130"/>
      <c r="R190" s="137"/>
      <c r="S190" s="131"/>
      <c r="T190" s="136"/>
      <c r="U190" s="135"/>
      <c r="V190" s="134"/>
      <c r="W190" s="133"/>
      <c r="X190" s="132"/>
      <c r="Y190" s="133"/>
      <c r="Z190" s="132"/>
      <c r="AA190" s="131"/>
      <c r="AB190" s="130"/>
      <c r="AC190" s="129"/>
      <c r="AD190" s="128"/>
      <c r="AE190" s="127"/>
      <c r="AF190" s="508"/>
      <c r="AG190" s="508"/>
      <c r="AH190" s="508"/>
      <c r="AI190" s="508"/>
      <c r="AJ190" s="508"/>
      <c r="AK190" s="508"/>
      <c r="AL190" s="508"/>
      <c r="AM190" s="508"/>
      <c r="AN190" s="508"/>
      <c r="AO190" s="508"/>
      <c r="AP190" s="508"/>
      <c r="AQ190" s="508"/>
      <c r="AR190" s="508"/>
      <c r="AS190" s="508"/>
      <c r="AT190" s="508"/>
      <c r="AU190" s="508"/>
      <c r="AV190" s="126"/>
    </row>
    <row r="191" spans="1:48">
      <c r="R191" s="125"/>
      <c r="S191" s="125"/>
      <c r="T191" s="125"/>
      <c r="U191" s="125"/>
      <c r="V191" s="125"/>
      <c r="W191" s="125"/>
      <c r="X191" s="125"/>
      <c r="Y191" s="125"/>
      <c r="Z191" s="125"/>
    </row>
    <row r="192" spans="1:48">
      <c r="A192" s="1"/>
      <c r="B192" s="1"/>
      <c r="C192" s="1"/>
      <c r="D192" s="1"/>
      <c r="E192" s="1"/>
      <c r="F192" s="3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 t="s">
        <v>1806</v>
      </c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>
      <c r="A193" s="1"/>
      <c r="B193" s="1"/>
      <c r="C193" s="1"/>
      <c r="D193" s="1"/>
      <c r="E193" s="1"/>
      <c r="F193" s="3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>
      <c r="A194" s="930" t="s">
        <v>562</v>
      </c>
      <c r="B194" s="930"/>
      <c r="C194" s="930"/>
      <c r="D194" s="930"/>
      <c r="E194" s="930"/>
      <c r="F194" s="930"/>
      <c r="G194" s="930"/>
      <c r="H194" s="930"/>
      <c r="I194" s="930"/>
      <c r="J194" s="930"/>
      <c r="K194" s="930"/>
      <c r="L194" s="930"/>
      <c r="M194" s="930"/>
      <c r="N194" s="930"/>
      <c r="O194" s="930"/>
      <c r="P194" s="930"/>
      <c r="Q194" s="930"/>
      <c r="R194" s="930"/>
      <c r="S194" s="930"/>
      <c r="T194" s="930"/>
      <c r="U194" s="930"/>
      <c r="V194" s="930"/>
      <c r="W194" s="930"/>
      <c r="X194" s="930"/>
      <c r="Y194" s="930"/>
      <c r="Z194" s="930"/>
      <c r="AA194" s="930"/>
      <c r="AB194" s="930"/>
      <c r="AC194" s="930"/>
      <c r="AD194" s="930"/>
      <c r="AE194" s="930"/>
      <c r="AF194" s="930"/>
      <c r="AG194" s="930"/>
      <c r="AH194" s="930"/>
      <c r="AI194" s="930"/>
      <c r="AJ194" s="930"/>
      <c r="AK194" s="930"/>
      <c r="AL194" s="930"/>
      <c r="AM194" s="930"/>
      <c r="AN194" s="930"/>
      <c r="AO194" s="930"/>
      <c r="AP194" s="930"/>
      <c r="AQ194" s="930"/>
      <c r="AR194" s="930"/>
      <c r="AS194" s="930"/>
      <c r="AT194" s="930"/>
      <c r="AU194" s="930"/>
      <c r="AV194" s="930"/>
    </row>
    <row r="195" spans="1:48">
      <c r="A195" s="1"/>
      <c r="B195" s="1"/>
      <c r="C195" s="1"/>
      <c r="D195" s="1"/>
      <c r="E195" s="438" t="s">
        <v>1536</v>
      </c>
      <c r="F195" s="3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38"/>
      <c r="Z195" s="1"/>
      <c r="AA195" s="438" t="s">
        <v>1535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>
      <c r="A196" s="1"/>
      <c r="B196" s="1"/>
      <c r="C196" s="1"/>
      <c r="D196" s="1"/>
      <c r="E196" s="438" t="s">
        <v>559</v>
      </c>
      <c r="F196" s="3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38"/>
      <c r="Z196" s="1"/>
      <c r="AA196" s="438" t="s">
        <v>559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>
      <c r="A197" s="1"/>
      <c r="B197" s="1"/>
      <c r="C197" s="1"/>
      <c r="D197" s="1"/>
      <c r="E197" s="438"/>
      <c r="F197" s="3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38"/>
      <c r="Z197" s="1"/>
      <c r="AA197" s="43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>
      <c r="A198" s="1"/>
      <c r="B198" s="1"/>
      <c r="C198" s="1"/>
      <c r="D198" s="1"/>
      <c r="E198" s="438"/>
      <c r="F198" s="3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38"/>
      <c r="Z198" s="1"/>
      <c r="AA198" s="43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>
      <c r="A199" s="1"/>
      <c r="B199" s="1"/>
      <c r="C199" s="1"/>
      <c r="D199" s="1"/>
      <c r="E199" s="487" t="s">
        <v>1805</v>
      </c>
      <c r="F199" s="3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38"/>
      <c r="Z199" s="1"/>
      <c r="AA199" s="487" t="s">
        <v>1805</v>
      </c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>
      <c r="A200" s="1"/>
      <c r="B200" s="1"/>
      <c r="C200" s="1"/>
      <c r="D200" s="1"/>
      <c r="E200" s="438"/>
      <c r="F200" s="3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38"/>
      <c r="Z200" s="1"/>
      <c r="AA200" s="43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>
      <c r="A201" s="1"/>
      <c r="B201" s="1"/>
      <c r="C201" s="1"/>
      <c r="D201" s="1"/>
      <c r="E201" s="438"/>
      <c r="F201" s="3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438"/>
      <c r="Z201" s="1"/>
      <c r="AA201" s="43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>
      <c r="A202" s="1"/>
      <c r="B202" s="1"/>
      <c r="C202" s="1"/>
      <c r="D202" s="1"/>
      <c r="E202" s="438"/>
      <c r="F202" s="3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38"/>
      <c r="Z202" s="1"/>
      <c r="AA202" s="43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>
      <c r="A203" s="1"/>
      <c r="B203" s="1"/>
      <c r="C203" s="1"/>
      <c r="D203" s="1"/>
      <c r="E203" s="434" t="s">
        <v>1534</v>
      </c>
      <c r="F203" s="3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34"/>
      <c r="Z203" s="1"/>
      <c r="AA203" s="434" t="s">
        <v>1801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>
      <c r="A204" s="1"/>
      <c r="B204" s="1"/>
      <c r="C204" s="1"/>
      <c r="D204" s="1"/>
      <c r="E204" s="438" t="s">
        <v>556</v>
      </c>
      <c r="F204" s="3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38"/>
      <c r="Z204" s="1"/>
      <c r="AA204" s="459" t="s">
        <v>1802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</sheetData>
  <autoFilter ref="V1:V204"/>
  <mergeCells count="220">
    <mergeCell ref="AF11:AT11"/>
    <mergeCell ref="AU11:AU14"/>
    <mergeCell ref="AF12:AN12"/>
    <mergeCell ref="AO12:AS12"/>
    <mergeCell ref="AF13:AG13"/>
    <mergeCell ref="AH13:AJ13"/>
    <mergeCell ref="AK13:AM13"/>
    <mergeCell ref="AN13:AN14"/>
    <mergeCell ref="AO13:AP13"/>
    <mergeCell ref="AQ13:AR13"/>
    <mergeCell ref="U11:Z11"/>
    <mergeCell ref="AA11:AC11"/>
    <mergeCell ref="AA12:AB13"/>
    <mergeCell ref="A6:AV6"/>
    <mergeCell ref="A7:AV7"/>
    <mergeCell ref="A8:AV8"/>
    <mergeCell ref="A9:AV9"/>
    <mergeCell ref="A11:A13"/>
    <mergeCell ref="B11:E11"/>
    <mergeCell ref="F11:K11"/>
    <mergeCell ref="L11:M11"/>
    <mergeCell ref="N11:Q11"/>
    <mergeCell ref="R11:T11"/>
    <mergeCell ref="AD11:AD13"/>
    <mergeCell ref="AE11:AE13"/>
    <mergeCell ref="AV11:AV13"/>
    <mergeCell ref="B12:C13"/>
    <mergeCell ref="D12:E13"/>
    <mergeCell ref="F12:F13"/>
    <mergeCell ref="G12:H13"/>
    <mergeCell ref="I12:I13"/>
    <mergeCell ref="U12:Y12"/>
    <mergeCell ref="Z12:Z13"/>
    <mergeCell ref="AC12:AC13"/>
    <mergeCell ref="Q12:Q13"/>
    <mergeCell ref="R12:S13"/>
    <mergeCell ref="T12:T13"/>
    <mergeCell ref="N14:O14"/>
    <mergeCell ref="R14:S14"/>
    <mergeCell ref="AA14:AB14"/>
    <mergeCell ref="J12:J13"/>
    <mergeCell ref="K12:K13"/>
    <mergeCell ref="L12:L13"/>
    <mergeCell ref="M12:M13"/>
    <mergeCell ref="N12:O13"/>
    <mergeCell ref="P12:P13"/>
    <mergeCell ref="A15:A19"/>
    <mergeCell ref="F15:F19"/>
    <mergeCell ref="J15:J19"/>
    <mergeCell ref="K15:K19"/>
    <mergeCell ref="L15:L19"/>
    <mergeCell ref="M15:M19"/>
    <mergeCell ref="AD15:AD19"/>
    <mergeCell ref="AE15:AE19"/>
    <mergeCell ref="AV15:AV19"/>
    <mergeCell ref="T17:T19"/>
    <mergeCell ref="F20:F26"/>
    <mergeCell ref="I20:I26"/>
    <mergeCell ref="J20:J26"/>
    <mergeCell ref="K20:K26"/>
    <mergeCell ref="L20:L26"/>
    <mergeCell ref="M20:M26"/>
    <mergeCell ref="AD20:AD26"/>
    <mergeCell ref="AE20:AE26"/>
    <mergeCell ref="AV20:AV26"/>
    <mergeCell ref="F27:F36"/>
    <mergeCell ref="I27:I36"/>
    <mergeCell ref="J27:J36"/>
    <mergeCell ref="K27:K36"/>
    <mergeCell ref="L27:L36"/>
    <mergeCell ref="M27:M36"/>
    <mergeCell ref="AD27:AD36"/>
    <mergeCell ref="AE27:AE36"/>
    <mergeCell ref="AV27:AV36"/>
    <mergeCell ref="F37:F43"/>
    <mergeCell ref="I37:I43"/>
    <mergeCell ref="J37:J43"/>
    <mergeCell ref="K37:K43"/>
    <mergeCell ref="L37:L43"/>
    <mergeCell ref="M37:M43"/>
    <mergeCell ref="AD37:AD43"/>
    <mergeCell ref="AE37:AE43"/>
    <mergeCell ref="AV37:AV43"/>
    <mergeCell ref="F44:F50"/>
    <mergeCell ref="I44:I50"/>
    <mergeCell ref="J44:J50"/>
    <mergeCell ref="K44:K50"/>
    <mergeCell ref="L44:L50"/>
    <mergeCell ref="M44:M50"/>
    <mergeCell ref="AD44:AD50"/>
    <mergeCell ref="AE44:AE50"/>
    <mergeCell ref="AV44:AV50"/>
    <mergeCell ref="F51:F57"/>
    <mergeCell ref="I51:I57"/>
    <mergeCell ref="J51:J57"/>
    <mergeCell ref="K51:K57"/>
    <mergeCell ref="L51:L57"/>
    <mergeCell ref="M51:M57"/>
    <mergeCell ref="AD51:AD57"/>
    <mergeCell ref="AE51:AE57"/>
    <mergeCell ref="AV51:AV57"/>
    <mergeCell ref="AV58:AV63"/>
    <mergeCell ref="F64:F68"/>
    <mergeCell ref="I64:I68"/>
    <mergeCell ref="K64:K68"/>
    <mergeCell ref="L64:L68"/>
    <mergeCell ref="M64:M68"/>
    <mergeCell ref="AD64:AD68"/>
    <mergeCell ref="AE64:AE68"/>
    <mergeCell ref="AV64:AV68"/>
    <mergeCell ref="F58:F63"/>
    <mergeCell ref="I58:I63"/>
    <mergeCell ref="K58:K63"/>
    <mergeCell ref="L58:L63"/>
    <mergeCell ref="M58:M63"/>
    <mergeCell ref="AD58:AD63"/>
    <mergeCell ref="AE58:AE63"/>
    <mergeCell ref="F69:F73"/>
    <mergeCell ref="I69:I73"/>
    <mergeCell ref="K69:K73"/>
    <mergeCell ref="L69:L73"/>
    <mergeCell ref="M69:M73"/>
    <mergeCell ref="AD69:AD73"/>
    <mergeCell ref="AE69:AE73"/>
    <mergeCell ref="AV69:AV73"/>
    <mergeCell ref="F75:F79"/>
    <mergeCell ref="I75:I79"/>
    <mergeCell ref="K75:K79"/>
    <mergeCell ref="L75:L79"/>
    <mergeCell ref="M75:M79"/>
    <mergeCell ref="AD75:AD79"/>
    <mergeCell ref="AE75:AE79"/>
    <mergeCell ref="AV75:AV79"/>
    <mergeCell ref="F81:F86"/>
    <mergeCell ref="I81:I86"/>
    <mergeCell ref="K81:K86"/>
    <mergeCell ref="M81:M86"/>
    <mergeCell ref="AV81:AV86"/>
    <mergeCell ref="F87:F93"/>
    <mergeCell ref="I87:I93"/>
    <mergeCell ref="J87:J93"/>
    <mergeCell ref="K87:K93"/>
    <mergeCell ref="L87:L93"/>
    <mergeCell ref="M87:M93"/>
    <mergeCell ref="AD87:AD93"/>
    <mergeCell ref="AE87:AE93"/>
    <mergeCell ref="AV87:AV93"/>
    <mergeCell ref="T89:T93"/>
    <mergeCell ref="AE135:AE144"/>
    <mergeCell ref="AV104:AV116"/>
    <mergeCell ref="F94:F103"/>
    <mergeCell ref="I94:I103"/>
    <mergeCell ref="J94:J103"/>
    <mergeCell ref="K94:K103"/>
    <mergeCell ref="L94:L103"/>
    <mergeCell ref="M94:M103"/>
    <mergeCell ref="AD94:AD103"/>
    <mergeCell ref="AE94:AE103"/>
    <mergeCell ref="AV94:AV103"/>
    <mergeCell ref="F104:F116"/>
    <mergeCell ref="I104:I116"/>
    <mergeCell ref="J104:J116"/>
    <mergeCell ref="K104:K116"/>
    <mergeCell ref="L104:L116"/>
    <mergeCell ref="M104:M116"/>
    <mergeCell ref="AD104:AD116"/>
    <mergeCell ref="AE104:AE116"/>
    <mergeCell ref="AE117:AE123"/>
    <mergeCell ref="AV117:AV123"/>
    <mergeCell ref="F124:F134"/>
    <mergeCell ref="I124:I134"/>
    <mergeCell ref="J124:J134"/>
    <mergeCell ref="K124:K134"/>
    <mergeCell ref="L124:L134"/>
    <mergeCell ref="M124:M134"/>
    <mergeCell ref="AD124:AD134"/>
    <mergeCell ref="AE124:AE134"/>
    <mergeCell ref="AV124:AV134"/>
    <mergeCell ref="F117:F123"/>
    <mergeCell ref="I117:I123"/>
    <mergeCell ref="J117:J123"/>
    <mergeCell ref="K117:K123"/>
    <mergeCell ref="L117:L123"/>
    <mergeCell ref="M117:M123"/>
    <mergeCell ref="AD117:AD123"/>
    <mergeCell ref="AV135:AV144"/>
    <mergeCell ref="F150:F157"/>
    <mergeCell ref="I150:I157"/>
    <mergeCell ref="J150:J157"/>
    <mergeCell ref="K150:K157"/>
    <mergeCell ref="M150:M157"/>
    <mergeCell ref="F158:F169"/>
    <mergeCell ref="I158:I169"/>
    <mergeCell ref="J158:J169"/>
    <mergeCell ref="K158:K169"/>
    <mergeCell ref="M158:M169"/>
    <mergeCell ref="F145:F149"/>
    <mergeCell ref="I145:I149"/>
    <mergeCell ref="J145:J149"/>
    <mergeCell ref="K145:K149"/>
    <mergeCell ref="L145:L149"/>
    <mergeCell ref="M145:M149"/>
    <mergeCell ref="F135:F144"/>
    <mergeCell ref="I135:I144"/>
    <mergeCell ref="J135:J144"/>
    <mergeCell ref="K135:K144"/>
    <mergeCell ref="L135:L144"/>
    <mergeCell ref="M135:M144"/>
    <mergeCell ref="AD135:AD144"/>
    <mergeCell ref="M183:M190"/>
    <mergeCell ref="A194:AV194"/>
    <mergeCell ref="F170:F182"/>
    <mergeCell ref="I170:I182"/>
    <mergeCell ref="J170:J182"/>
    <mergeCell ref="K170:K182"/>
    <mergeCell ref="M170:M182"/>
    <mergeCell ref="F183:F190"/>
    <mergeCell ref="I183:I190"/>
    <mergeCell ref="J183:J190"/>
    <mergeCell ref="K183:K190"/>
  </mergeCells>
  <printOptions horizontalCentered="1"/>
  <pageMargins left="0.19685039370078741" right="0.19685039370078741" top="0.74803149606299213" bottom="0.19685039370078741" header="0.19685039370078741" footer="0.19685039370078741"/>
  <pageSetup paperSize="8" scale="55" fitToHeight="0" orientation="landscape" horizontalDpi="4294967293" verticalDpi="4294967293" r:id="rId1"/>
  <headerFooter>
    <oddHeader>&amp;RPage &amp;P of &amp;N</oddHeader>
  </headerFooter>
  <rowBreaks count="3" manualBreakCount="3">
    <brk id="63" max="31" man="1"/>
    <brk id="123" max="31" man="1"/>
    <brk id="169" max="31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V222"/>
  <sheetViews>
    <sheetView view="pageBreakPreview" topLeftCell="I1" zoomScale="40" zoomScaleSheetLayoutView="40" workbookViewId="0">
      <selection activeCell="AK223" sqref="AK223"/>
    </sheetView>
  </sheetViews>
  <sheetFormatPr defaultColWidth="9.109375" defaultRowHeight="14.4"/>
  <cols>
    <col min="1" max="1" width="9.109375" style="4"/>
    <col min="2" max="2" width="3.33203125" style="4" customWidth="1"/>
    <col min="3" max="3" width="33.109375" style="4" customWidth="1"/>
    <col min="4" max="4" width="3.5546875" style="4" hidden="1" customWidth="1"/>
    <col min="5" max="5" width="21" style="4" hidden="1" customWidth="1"/>
    <col min="6" max="6" width="7.109375" style="4" customWidth="1"/>
    <col min="7" max="7" width="3.5546875" style="4" hidden="1" customWidth="1"/>
    <col min="8" max="8" width="20.6640625" style="4" hidden="1" customWidth="1"/>
    <col min="9" max="10" width="9.109375" style="4"/>
    <col min="11" max="11" width="21.88671875" style="4" customWidth="1"/>
    <col min="12" max="13" width="0" style="4" hidden="1" customWidth="1"/>
    <col min="14" max="14" width="4" style="4" customWidth="1"/>
    <col min="15" max="15" width="19.6640625" style="4" customWidth="1"/>
    <col min="16" max="17" width="9.109375" style="4"/>
    <col min="18" max="18" width="3.5546875" style="4" customWidth="1"/>
    <col min="19" max="19" width="11.88671875" style="4" customWidth="1"/>
    <col min="20" max="21" width="9.109375" style="4"/>
    <col min="22" max="22" width="19.44140625" style="4" customWidth="1"/>
    <col min="23" max="25" width="9.109375" style="4"/>
    <col min="26" max="26" width="12.33203125" style="325" hidden="1" customWidth="1"/>
    <col min="27" max="27" width="2.88671875" style="4" hidden="1" customWidth="1"/>
    <col min="28" max="28" width="17.5546875" style="4" hidden="1" customWidth="1"/>
    <col min="29" max="29" width="0" style="4" hidden="1" customWidth="1"/>
    <col min="30" max="30" width="15.109375" style="4" hidden="1" customWidth="1"/>
    <col min="31" max="31" width="17" style="4" hidden="1" customWidth="1"/>
    <col min="32" max="36" width="17" style="4" customWidth="1"/>
    <col min="37" max="37" width="17" style="716" customWidth="1"/>
    <col min="38" max="47" width="17" style="4" customWidth="1"/>
    <col min="48" max="48" width="17.44140625" style="4" hidden="1" customWidth="1"/>
    <col min="49" max="16384" width="9.109375" style="4"/>
  </cols>
  <sheetData>
    <row r="1" spans="1:48">
      <c r="A1" s="107" t="s">
        <v>554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372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714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>
      <c r="A2" s="107" t="s">
        <v>553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372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>
      <c r="A3" s="107" t="s">
        <v>552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372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>
      <c r="A4" s="107" t="s">
        <v>551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372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>
      <c r="A5" s="107" t="s">
        <v>550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372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23.4">
      <c r="A6" s="1011" t="s">
        <v>549</v>
      </c>
      <c r="B6" s="1011"/>
      <c r="C6" s="1011"/>
      <c r="D6" s="1011"/>
      <c r="E6" s="1011"/>
      <c r="F6" s="1011"/>
      <c r="G6" s="1011"/>
      <c r="H6" s="1011"/>
      <c r="I6" s="1011"/>
      <c r="J6" s="1011"/>
      <c r="K6" s="1011"/>
      <c r="L6" s="1011"/>
      <c r="M6" s="1011"/>
      <c r="N6" s="1011"/>
      <c r="O6" s="1011"/>
      <c r="P6" s="1011"/>
      <c r="Q6" s="1011"/>
      <c r="R6" s="1011"/>
      <c r="S6" s="1011"/>
      <c r="T6" s="1011"/>
      <c r="U6" s="1011"/>
      <c r="V6" s="1011"/>
      <c r="W6" s="1011"/>
      <c r="X6" s="1011"/>
      <c r="Y6" s="1011"/>
      <c r="Z6" s="1011"/>
      <c r="AA6" s="1011"/>
      <c r="AB6" s="1011"/>
      <c r="AC6" s="1011"/>
      <c r="AD6" s="1011"/>
      <c r="AE6" s="1011"/>
      <c r="AF6" s="1011"/>
      <c r="AG6" s="1011"/>
      <c r="AH6" s="1011"/>
      <c r="AI6" s="1011"/>
      <c r="AJ6" s="1011"/>
      <c r="AK6" s="1011"/>
      <c r="AL6" s="1011"/>
      <c r="AM6" s="1011"/>
      <c r="AN6" s="1011"/>
      <c r="AO6" s="1011"/>
      <c r="AP6" s="1011"/>
      <c r="AQ6" s="1011"/>
      <c r="AR6" s="1011"/>
      <c r="AS6" s="1011"/>
      <c r="AT6" s="1011"/>
      <c r="AU6" s="1011"/>
      <c r="AV6" s="1011"/>
    </row>
    <row r="7" spans="1:48" ht="23.4">
      <c r="A7" s="1011" t="s">
        <v>943</v>
      </c>
      <c r="B7" s="1011"/>
      <c r="C7" s="1011"/>
      <c r="D7" s="1011"/>
      <c r="E7" s="1011"/>
      <c r="F7" s="1011"/>
      <c r="G7" s="1011"/>
      <c r="H7" s="1011"/>
      <c r="I7" s="1011"/>
      <c r="J7" s="1011"/>
      <c r="K7" s="1011"/>
      <c r="L7" s="1011"/>
      <c r="M7" s="1011"/>
      <c r="N7" s="1011"/>
      <c r="O7" s="1011"/>
      <c r="P7" s="1011"/>
      <c r="Q7" s="1011"/>
      <c r="R7" s="1011"/>
      <c r="S7" s="1011"/>
      <c r="T7" s="1011"/>
      <c r="U7" s="1011"/>
      <c r="V7" s="1011"/>
      <c r="W7" s="1011"/>
      <c r="X7" s="1011"/>
      <c r="Y7" s="1011"/>
      <c r="Z7" s="1011"/>
      <c r="AA7" s="1011"/>
      <c r="AB7" s="1011"/>
      <c r="AC7" s="1011"/>
      <c r="AD7" s="1011"/>
      <c r="AE7" s="1011"/>
      <c r="AF7" s="1011"/>
      <c r="AG7" s="1011"/>
      <c r="AH7" s="1011"/>
      <c r="AI7" s="1011"/>
      <c r="AJ7" s="1011"/>
      <c r="AK7" s="1011"/>
      <c r="AL7" s="1011"/>
      <c r="AM7" s="1011"/>
      <c r="AN7" s="1011"/>
      <c r="AO7" s="1011"/>
      <c r="AP7" s="1011"/>
      <c r="AQ7" s="1011"/>
      <c r="AR7" s="1011"/>
      <c r="AS7" s="1011"/>
      <c r="AT7" s="1011"/>
      <c r="AU7" s="1011"/>
      <c r="AV7" s="1011"/>
    </row>
    <row r="8" spans="1:48" ht="17.399999999999999">
      <c r="A8" s="915" t="s">
        <v>1809</v>
      </c>
      <c r="B8" s="915"/>
      <c r="C8" s="915"/>
      <c r="D8" s="915"/>
      <c r="E8" s="915"/>
      <c r="F8" s="915"/>
      <c r="G8" s="915"/>
      <c r="H8" s="915"/>
      <c r="I8" s="915"/>
      <c r="J8" s="915"/>
      <c r="K8" s="915"/>
      <c r="L8" s="915"/>
      <c r="M8" s="915"/>
      <c r="N8" s="915"/>
      <c r="O8" s="915"/>
      <c r="P8" s="915"/>
      <c r="Q8" s="915"/>
      <c r="R8" s="915"/>
      <c r="S8" s="915"/>
      <c r="T8" s="915"/>
      <c r="U8" s="915"/>
      <c r="V8" s="915"/>
      <c r="W8" s="915"/>
      <c r="X8" s="915"/>
      <c r="Y8" s="915"/>
      <c r="Z8" s="915"/>
      <c r="AA8" s="915"/>
      <c r="AB8" s="915"/>
      <c r="AC8" s="915"/>
      <c r="AD8" s="915"/>
      <c r="AE8" s="915"/>
      <c r="AF8" s="915"/>
      <c r="AG8" s="915"/>
      <c r="AH8" s="915"/>
      <c r="AI8" s="915"/>
      <c r="AJ8" s="915"/>
      <c r="AK8" s="915"/>
      <c r="AL8" s="915"/>
      <c r="AM8" s="915"/>
      <c r="AN8" s="915"/>
      <c r="AO8" s="915"/>
      <c r="AP8" s="915"/>
      <c r="AQ8" s="915"/>
      <c r="AR8" s="915"/>
      <c r="AS8" s="915"/>
      <c r="AT8" s="915"/>
      <c r="AU8" s="915"/>
      <c r="AV8" s="915"/>
    </row>
    <row r="9" spans="1:48" ht="17.399999999999999">
      <c r="A9" s="915" t="s">
        <v>1807</v>
      </c>
      <c r="B9" s="915"/>
      <c r="C9" s="915"/>
      <c r="D9" s="915"/>
      <c r="E9" s="915"/>
      <c r="F9" s="915"/>
      <c r="G9" s="915"/>
      <c r="H9" s="915"/>
      <c r="I9" s="915"/>
      <c r="J9" s="915"/>
      <c r="K9" s="915"/>
      <c r="L9" s="915"/>
      <c r="M9" s="915"/>
      <c r="N9" s="915"/>
      <c r="O9" s="915"/>
      <c r="P9" s="915"/>
      <c r="Q9" s="915"/>
      <c r="R9" s="915"/>
      <c r="S9" s="915"/>
      <c r="T9" s="915"/>
      <c r="U9" s="915"/>
      <c r="V9" s="915"/>
      <c r="W9" s="915"/>
      <c r="X9" s="915"/>
      <c r="Y9" s="915"/>
      <c r="Z9" s="915"/>
      <c r="AA9" s="915"/>
      <c r="AB9" s="915"/>
      <c r="AC9" s="915"/>
      <c r="AD9" s="915"/>
      <c r="AE9" s="915"/>
      <c r="AF9" s="915"/>
      <c r="AG9" s="915"/>
      <c r="AH9" s="915"/>
      <c r="AI9" s="915"/>
      <c r="AJ9" s="915"/>
      <c r="AK9" s="915"/>
      <c r="AL9" s="915"/>
      <c r="AM9" s="915"/>
      <c r="AN9" s="915"/>
      <c r="AO9" s="915"/>
      <c r="AP9" s="915"/>
      <c r="AQ9" s="915"/>
      <c r="AR9" s="915"/>
      <c r="AS9" s="915"/>
      <c r="AT9" s="915"/>
      <c r="AU9" s="915"/>
      <c r="AV9" s="915"/>
    </row>
    <row r="10" spans="1:48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372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 ht="46.5" customHeight="1">
      <c r="A11" s="946" t="s">
        <v>547</v>
      </c>
      <c r="B11" s="946" t="s">
        <v>546</v>
      </c>
      <c r="C11" s="946"/>
      <c r="D11" s="946"/>
      <c r="E11" s="946"/>
      <c r="F11" s="946" t="s">
        <v>545</v>
      </c>
      <c r="G11" s="946"/>
      <c r="H11" s="946"/>
      <c r="I11" s="946"/>
      <c r="J11" s="946"/>
      <c r="K11" s="946"/>
      <c r="L11" s="946" t="s">
        <v>544</v>
      </c>
      <c r="M11" s="946"/>
      <c r="N11" s="946" t="s">
        <v>543</v>
      </c>
      <c r="O11" s="946"/>
      <c r="P11" s="946"/>
      <c r="Q11" s="946"/>
      <c r="R11" s="946" t="s">
        <v>542</v>
      </c>
      <c r="S11" s="946"/>
      <c r="T11" s="946"/>
      <c r="U11" s="946" t="s">
        <v>541</v>
      </c>
      <c r="V11" s="946"/>
      <c r="W11" s="946"/>
      <c r="X11" s="946"/>
      <c r="Y11" s="946"/>
      <c r="Z11" s="946"/>
      <c r="AA11" s="946" t="s">
        <v>540</v>
      </c>
      <c r="AB11" s="946"/>
      <c r="AC11" s="946"/>
      <c r="AD11" s="946" t="s">
        <v>539</v>
      </c>
      <c r="AE11" s="946" t="s">
        <v>538</v>
      </c>
      <c r="AF11" s="908" t="s">
        <v>1813</v>
      </c>
      <c r="AG11" s="913"/>
      <c r="AH11" s="913"/>
      <c r="AI11" s="913"/>
      <c r="AJ11" s="913"/>
      <c r="AK11" s="913"/>
      <c r="AL11" s="913"/>
      <c r="AM11" s="913"/>
      <c r="AN11" s="913"/>
      <c r="AO11" s="913"/>
      <c r="AP11" s="913"/>
      <c r="AQ11" s="913"/>
      <c r="AR11" s="913"/>
      <c r="AS11" s="913"/>
      <c r="AT11" s="909"/>
      <c r="AU11" s="910" t="s">
        <v>1828</v>
      </c>
      <c r="AV11" s="946" t="s">
        <v>537</v>
      </c>
    </row>
    <row r="12" spans="1:48" ht="30" customHeight="1">
      <c r="A12" s="946"/>
      <c r="B12" s="946" t="s">
        <v>536</v>
      </c>
      <c r="C12" s="946"/>
      <c r="D12" s="946" t="s">
        <v>535</v>
      </c>
      <c r="E12" s="946"/>
      <c r="F12" s="946" t="s">
        <v>534</v>
      </c>
      <c r="G12" s="946" t="s">
        <v>533</v>
      </c>
      <c r="H12" s="946"/>
      <c r="I12" s="946" t="s">
        <v>532</v>
      </c>
      <c r="J12" s="946" t="s">
        <v>531</v>
      </c>
      <c r="K12" s="946" t="s">
        <v>530</v>
      </c>
      <c r="L12" s="946" t="s">
        <v>529</v>
      </c>
      <c r="M12" s="946" t="s">
        <v>528</v>
      </c>
      <c r="N12" s="946" t="s">
        <v>525</v>
      </c>
      <c r="O12" s="946"/>
      <c r="P12" s="946" t="s">
        <v>524</v>
      </c>
      <c r="Q12" s="946" t="s">
        <v>528</v>
      </c>
      <c r="R12" s="947" t="s">
        <v>522</v>
      </c>
      <c r="S12" s="948"/>
      <c r="T12" s="946" t="s">
        <v>527</v>
      </c>
      <c r="U12" s="946" t="s">
        <v>526</v>
      </c>
      <c r="V12" s="946"/>
      <c r="W12" s="946"/>
      <c r="X12" s="946"/>
      <c r="Y12" s="946"/>
      <c r="Z12" s="1013" t="s">
        <v>524</v>
      </c>
      <c r="AA12" s="946" t="s">
        <v>525</v>
      </c>
      <c r="AB12" s="946"/>
      <c r="AC12" s="946" t="s">
        <v>524</v>
      </c>
      <c r="AD12" s="946"/>
      <c r="AE12" s="946"/>
      <c r="AF12" s="908" t="s">
        <v>1814</v>
      </c>
      <c r="AG12" s="913"/>
      <c r="AH12" s="913"/>
      <c r="AI12" s="913"/>
      <c r="AJ12" s="913"/>
      <c r="AK12" s="913"/>
      <c r="AL12" s="913"/>
      <c r="AM12" s="913"/>
      <c r="AN12" s="909"/>
      <c r="AO12" s="908" t="s">
        <v>1818</v>
      </c>
      <c r="AP12" s="913"/>
      <c r="AQ12" s="913"/>
      <c r="AR12" s="913"/>
      <c r="AS12" s="909"/>
      <c r="AT12" s="492"/>
      <c r="AU12" s="911"/>
      <c r="AV12" s="946"/>
    </row>
    <row r="13" spans="1:48" ht="33" customHeight="1">
      <c r="A13" s="946"/>
      <c r="B13" s="946"/>
      <c r="C13" s="946"/>
      <c r="D13" s="1012"/>
      <c r="E13" s="1012"/>
      <c r="F13" s="946"/>
      <c r="G13" s="1012"/>
      <c r="H13" s="1012"/>
      <c r="I13" s="946"/>
      <c r="J13" s="946"/>
      <c r="K13" s="946"/>
      <c r="L13" s="946"/>
      <c r="M13" s="946"/>
      <c r="N13" s="946"/>
      <c r="O13" s="946"/>
      <c r="P13" s="946"/>
      <c r="Q13" s="946"/>
      <c r="R13" s="949"/>
      <c r="S13" s="950"/>
      <c r="T13" s="946"/>
      <c r="U13" s="439" t="s">
        <v>523</v>
      </c>
      <c r="V13" s="439" t="s">
        <v>522</v>
      </c>
      <c r="W13" s="439" t="s">
        <v>521</v>
      </c>
      <c r="X13" s="439" t="s">
        <v>520</v>
      </c>
      <c r="Y13" s="439" t="s">
        <v>519</v>
      </c>
      <c r="Z13" s="1013"/>
      <c r="AA13" s="946"/>
      <c r="AB13" s="946"/>
      <c r="AC13" s="946"/>
      <c r="AD13" s="946"/>
      <c r="AE13" s="946"/>
      <c r="AF13" s="908" t="s">
        <v>545</v>
      </c>
      <c r="AG13" s="909"/>
      <c r="AH13" s="908" t="s">
        <v>543</v>
      </c>
      <c r="AI13" s="913"/>
      <c r="AJ13" s="909"/>
      <c r="AK13" s="908" t="s">
        <v>542</v>
      </c>
      <c r="AL13" s="913"/>
      <c r="AM13" s="909"/>
      <c r="AN13" s="910" t="s">
        <v>1819</v>
      </c>
      <c r="AO13" s="908" t="s">
        <v>1820</v>
      </c>
      <c r="AP13" s="909"/>
      <c r="AQ13" s="908" t="s">
        <v>1823</v>
      </c>
      <c r="AR13" s="909"/>
      <c r="AS13" s="494" t="s">
        <v>1826</v>
      </c>
      <c r="AT13" s="494" t="s">
        <v>1827</v>
      </c>
      <c r="AU13" s="911"/>
      <c r="AV13" s="946"/>
    </row>
    <row r="14" spans="1:48">
      <c r="A14" s="446">
        <v>1</v>
      </c>
      <c r="B14" s="446"/>
      <c r="C14" s="106">
        <v>2</v>
      </c>
      <c r="D14" s="106"/>
      <c r="E14" s="105">
        <v>3</v>
      </c>
      <c r="F14" s="371">
        <v>4</v>
      </c>
      <c r="G14" s="106"/>
      <c r="H14" s="105">
        <v>5</v>
      </c>
      <c r="I14" s="105">
        <v>6</v>
      </c>
      <c r="J14" s="446">
        <v>7</v>
      </c>
      <c r="K14" s="446">
        <v>8</v>
      </c>
      <c r="L14" s="446">
        <v>9</v>
      </c>
      <c r="M14" s="446">
        <v>10</v>
      </c>
      <c r="N14" s="951">
        <v>11</v>
      </c>
      <c r="O14" s="951"/>
      <c r="P14" s="446">
        <v>12</v>
      </c>
      <c r="Q14" s="446">
        <v>13</v>
      </c>
      <c r="R14" s="951">
        <v>14</v>
      </c>
      <c r="S14" s="951"/>
      <c r="T14" s="446">
        <v>15</v>
      </c>
      <c r="U14" s="446">
        <v>16</v>
      </c>
      <c r="V14" s="446">
        <v>17</v>
      </c>
      <c r="W14" s="446">
        <v>18</v>
      </c>
      <c r="X14" s="446">
        <v>19</v>
      </c>
      <c r="Y14" s="446">
        <v>20</v>
      </c>
      <c r="Z14" s="446">
        <v>21</v>
      </c>
      <c r="AA14" s="951">
        <v>22</v>
      </c>
      <c r="AB14" s="951"/>
      <c r="AC14" s="446">
        <v>23</v>
      </c>
      <c r="AD14" s="446">
        <v>24</v>
      </c>
      <c r="AE14" s="446">
        <v>25</v>
      </c>
      <c r="AF14" s="491" t="s">
        <v>1815</v>
      </c>
      <c r="AG14" s="491" t="s">
        <v>1816</v>
      </c>
      <c r="AH14" s="491" t="s">
        <v>1815</v>
      </c>
      <c r="AI14" s="491" t="s">
        <v>1817</v>
      </c>
      <c r="AJ14" s="491" t="s">
        <v>1816</v>
      </c>
      <c r="AK14" s="519" t="s">
        <v>1829</v>
      </c>
      <c r="AL14" s="518" t="s">
        <v>1817</v>
      </c>
      <c r="AM14" s="491" t="s">
        <v>1816</v>
      </c>
      <c r="AN14" s="912"/>
      <c r="AO14" s="491" t="s">
        <v>1821</v>
      </c>
      <c r="AP14" s="491" t="s">
        <v>1822</v>
      </c>
      <c r="AQ14" s="491" t="s">
        <v>1824</v>
      </c>
      <c r="AR14" s="491" t="s">
        <v>1825</v>
      </c>
      <c r="AS14" s="491"/>
      <c r="AT14" s="491"/>
      <c r="AU14" s="912"/>
      <c r="AV14" s="446">
        <v>26</v>
      </c>
    </row>
    <row r="15" spans="1:48">
      <c r="A15" s="943"/>
      <c r="B15" s="40" t="s">
        <v>25</v>
      </c>
      <c r="C15" s="44" t="s">
        <v>518</v>
      </c>
      <c r="D15" s="100" t="s">
        <v>25</v>
      </c>
      <c r="E15" s="103" t="s">
        <v>518</v>
      </c>
      <c r="F15" s="943"/>
      <c r="G15" s="22" t="s">
        <v>25</v>
      </c>
      <c r="H15" s="30" t="s">
        <v>721</v>
      </c>
      <c r="I15" s="453"/>
      <c r="J15" s="921" t="s">
        <v>720</v>
      </c>
      <c r="K15" s="921" t="s">
        <v>515</v>
      </c>
      <c r="L15" s="952"/>
      <c r="M15" s="924"/>
      <c r="N15" s="102" t="s">
        <v>25</v>
      </c>
      <c r="O15" s="99" t="s">
        <v>514</v>
      </c>
      <c r="P15" s="101"/>
      <c r="Q15" s="34"/>
      <c r="R15" s="44" t="s">
        <v>25</v>
      </c>
      <c r="S15" s="103" t="s">
        <v>24</v>
      </c>
      <c r="T15" s="103"/>
      <c r="U15" s="122"/>
      <c r="V15" s="44"/>
      <c r="W15" s="122"/>
      <c r="X15" s="44"/>
      <c r="Y15" s="122"/>
      <c r="Z15" s="370"/>
      <c r="AA15" s="100" t="s">
        <v>25</v>
      </c>
      <c r="AB15" s="99" t="s">
        <v>513</v>
      </c>
      <c r="AC15" s="34"/>
      <c r="AD15" s="940"/>
      <c r="AE15" s="943"/>
      <c r="AF15" s="497"/>
      <c r="AG15" s="497"/>
      <c r="AH15" s="497"/>
      <c r="AI15" s="497"/>
      <c r="AJ15" s="497"/>
      <c r="AK15" s="497"/>
      <c r="AL15" s="497"/>
      <c r="AM15" s="497"/>
      <c r="AN15" s="497"/>
      <c r="AO15" s="497"/>
      <c r="AP15" s="497"/>
      <c r="AQ15" s="497"/>
      <c r="AR15" s="497"/>
      <c r="AS15" s="497"/>
      <c r="AT15" s="497"/>
      <c r="AU15" s="497"/>
      <c r="AV15" s="943"/>
    </row>
    <row r="16" spans="1:48">
      <c r="A16" s="944"/>
      <c r="B16" s="22" t="s">
        <v>16</v>
      </c>
      <c r="C16" s="17" t="s">
        <v>512</v>
      </c>
      <c r="D16" s="98" t="s">
        <v>16</v>
      </c>
      <c r="E16" s="30" t="s">
        <v>512</v>
      </c>
      <c r="F16" s="944"/>
      <c r="G16" s="98" t="s">
        <v>16</v>
      </c>
      <c r="H16" s="30" t="s">
        <v>511</v>
      </c>
      <c r="I16" s="451"/>
      <c r="J16" s="922"/>
      <c r="K16" s="922"/>
      <c r="L16" s="953"/>
      <c r="M16" s="925"/>
      <c r="N16" s="92" t="s">
        <v>16</v>
      </c>
      <c r="O16" s="33" t="s">
        <v>510</v>
      </c>
      <c r="P16" s="21"/>
      <c r="Q16" s="23"/>
      <c r="R16" s="18" t="s">
        <v>16</v>
      </c>
      <c r="S16" s="30" t="s">
        <v>15</v>
      </c>
      <c r="T16" s="30"/>
      <c r="U16" s="20"/>
      <c r="V16" s="18"/>
      <c r="W16" s="20"/>
      <c r="X16" s="18"/>
      <c r="Y16" s="20"/>
      <c r="Z16" s="369"/>
      <c r="AA16" s="26" t="s">
        <v>16</v>
      </c>
      <c r="AB16" s="25" t="s">
        <v>509</v>
      </c>
      <c r="AC16" s="23"/>
      <c r="AD16" s="941"/>
      <c r="AE16" s="944"/>
      <c r="AF16" s="498"/>
      <c r="AG16" s="498"/>
      <c r="AH16" s="498"/>
      <c r="AI16" s="498"/>
      <c r="AJ16" s="498"/>
      <c r="AK16" s="498"/>
      <c r="AL16" s="498"/>
      <c r="AM16" s="498"/>
      <c r="AN16" s="498"/>
      <c r="AO16" s="498"/>
      <c r="AP16" s="498"/>
      <c r="AQ16" s="498"/>
      <c r="AR16" s="498"/>
      <c r="AS16" s="498"/>
      <c r="AT16" s="498"/>
      <c r="AU16" s="498"/>
      <c r="AV16" s="944"/>
    </row>
    <row r="17" spans="1:48">
      <c r="A17" s="944"/>
      <c r="B17" s="22" t="s">
        <v>18</v>
      </c>
      <c r="C17" s="18" t="s">
        <v>508</v>
      </c>
      <c r="D17" s="22" t="s">
        <v>18</v>
      </c>
      <c r="E17" s="30" t="s">
        <v>508</v>
      </c>
      <c r="F17" s="944"/>
      <c r="G17" s="22" t="s">
        <v>18</v>
      </c>
      <c r="H17" s="30" t="s">
        <v>507</v>
      </c>
      <c r="I17" s="451"/>
      <c r="J17" s="922"/>
      <c r="K17" s="922"/>
      <c r="L17" s="953"/>
      <c r="M17" s="925"/>
      <c r="N17" s="92" t="s">
        <v>18</v>
      </c>
      <c r="O17" s="33" t="s">
        <v>506</v>
      </c>
      <c r="P17" s="21"/>
      <c r="Q17" s="23"/>
      <c r="R17" s="18"/>
      <c r="S17" s="18"/>
      <c r="T17" s="925"/>
      <c r="U17" s="447"/>
      <c r="V17" s="451"/>
      <c r="W17" s="447"/>
      <c r="X17" s="451"/>
      <c r="Y17" s="447"/>
      <c r="Z17" s="368"/>
      <c r="AA17" s="22" t="s">
        <v>18</v>
      </c>
      <c r="AB17" s="33" t="s">
        <v>505</v>
      </c>
      <c r="AC17" s="23"/>
      <c r="AD17" s="941"/>
      <c r="AE17" s="944"/>
      <c r="AF17" s="498"/>
      <c r="AG17" s="498"/>
      <c r="AH17" s="498"/>
      <c r="AI17" s="498"/>
      <c r="AJ17" s="498"/>
      <c r="AK17" s="498"/>
      <c r="AL17" s="498"/>
      <c r="AM17" s="498"/>
      <c r="AN17" s="498"/>
      <c r="AO17" s="498"/>
      <c r="AP17" s="498"/>
      <c r="AQ17" s="498"/>
      <c r="AR17" s="498"/>
      <c r="AS17" s="498"/>
      <c r="AT17" s="498"/>
      <c r="AU17" s="498"/>
      <c r="AV17" s="944"/>
    </row>
    <row r="18" spans="1:48">
      <c r="A18" s="944"/>
      <c r="B18" s="22" t="s">
        <v>12</v>
      </c>
      <c r="C18" s="18" t="s">
        <v>504</v>
      </c>
      <c r="D18" s="22" t="s">
        <v>12</v>
      </c>
      <c r="E18" s="30" t="s">
        <v>504</v>
      </c>
      <c r="F18" s="944"/>
      <c r="G18" s="26"/>
      <c r="H18" s="75"/>
      <c r="I18" s="451"/>
      <c r="J18" s="922"/>
      <c r="K18" s="922"/>
      <c r="L18" s="953"/>
      <c r="M18" s="925"/>
      <c r="N18" s="92" t="s">
        <v>12</v>
      </c>
      <c r="O18" s="33" t="s">
        <v>503</v>
      </c>
      <c r="P18" s="21"/>
      <c r="Q18" s="23"/>
      <c r="R18" s="18"/>
      <c r="S18" s="18"/>
      <c r="T18" s="925"/>
      <c r="U18" s="447"/>
      <c r="V18" s="451"/>
      <c r="W18" s="447"/>
      <c r="X18" s="451"/>
      <c r="Y18" s="447"/>
      <c r="Z18" s="368"/>
      <c r="AA18" s="22" t="s">
        <v>12</v>
      </c>
      <c r="AB18" s="33" t="s">
        <v>502</v>
      </c>
      <c r="AC18" s="23"/>
      <c r="AD18" s="941"/>
      <c r="AE18" s="944"/>
      <c r="AF18" s="498"/>
      <c r="AG18" s="498"/>
      <c r="AH18" s="498"/>
      <c r="AI18" s="498"/>
      <c r="AJ18" s="498"/>
      <c r="AK18" s="498"/>
      <c r="AL18" s="498"/>
      <c r="AM18" s="498"/>
      <c r="AN18" s="498"/>
      <c r="AO18" s="498"/>
      <c r="AP18" s="498"/>
      <c r="AQ18" s="498"/>
      <c r="AR18" s="498"/>
      <c r="AS18" s="498"/>
      <c r="AT18" s="498"/>
      <c r="AU18" s="498"/>
      <c r="AV18" s="944"/>
    </row>
    <row r="19" spans="1:48">
      <c r="A19" s="945"/>
      <c r="B19" s="7" t="s">
        <v>8</v>
      </c>
      <c r="C19" s="7" t="s">
        <v>501</v>
      </c>
      <c r="D19" s="11" t="s">
        <v>8</v>
      </c>
      <c r="E19" s="97" t="s">
        <v>501</v>
      </c>
      <c r="F19" s="945"/>
      <c r="G19" s="55"/>
      <c r="H19" s="72"/>
      <c r="I19" s="452"/>
      <c r="J19" s="923"/>
      <c r="K19" s="923"/>
      <c r="L19" s="954"/>
      <c r="M19" s="926"/>
      <c r="N19" s="96"/>
      <c r="O19" s="72"/>
      <c r="P19" s="10"/>
      <c r="Q19" s="12"/>
      <c r="R19" s="7"/>
      <c r="S19" s="7"/>
      <c r="T19" s="926"/>
      <c r="U19" s="448"/>
      <c r="V19" s="452"/>
      <c r="W19" s="448"/>
      <c r="X19" s="452"/>
      <c r="Y19" s="448"/>
      <c r="Z19" s="367"/>
      <c r="AA19" s="55"/>
      <c r="AB19" s="72"/>
      <c r="AC19" s="12"/>
      <c r="AD19" s="942"/>
      <c r="AE19" s="945"/>
      <c r="AF19" s="499"/>
      <c r="AG19" s="499"/>
      <c r="AH19" s="499"/>
      <c r="AI19" s="499"/>
      <c r="AJ19" s="499"/>
      <c r="AK19" s="499"/>
      <c r="AL19" s="499"/>
      <c r="AM19" s="499"/>
      <c r="AN19" s="499"/>
      <c r="AO19" s="499"/>
      <c r="AP19" s="499"/>
      <c r="AQ19" s="499"/>
      <c r="AR19" s="499"/>
      <c r="AS19" s="499"/>
      <c r="AT19" s="499"/>
      <c r="AU19" s="499"/>
      <c r="AV19" s="945"/>
    </row>
    <row r="20" spans="1:48" ht="27.6">
      <c r="A20" s="95" t="s">
        <v>719</v>
      </c>
      <c r="B20" s="78" t="s">
        <v>25</v>
      </c>
      <c r="C20" s="30" t="s">
        <v>942</v>
      </c>
      <c r="D20" s="64"/>
      <c r="E20" s="18"/>
      <c r="F20" s="928" t="s">
        <v>904</v>
      </c>
      <c r="G20" s="93" t="s">
        <v>25</v>
      </c>
      <c r="H20" s="24" t="s">
        <v>839</v>
      </c>
      <c r="I20" s="917">
        <v>98</v>
      </c>
      <c r="J20" s="919" t="s">
        <v>46</v>
      </c>
      <c r="K20" s="922" t="s">
        <v>941</v>
      </c>
      <c r="L20" s="1010" t="s">
        <v>46</v>
      </c>
      <c r="M20" s="925" t="s">
        <v>46</v>
      </c>
      <c r="N20" s="464" t="s">
        <v>25</v>
      </c>
      <c r="O20" s="465" t="s">
        <v>62</v>
      </c>
      <c r="P20" s="447">
        <v>1</v>
      </c>
      <c r="Q20" s="451">
        <v>56</v>
      </c>
      <c r="R20" s="40" t="s">
        <v>25</v>
      </c>
      <c r="S20" s="99" t="s">
        <v>24</v>
      </c>
      <c r="T20" s="20"/>
      <c r="U20" s="122"/>
      <c r="V20" s="122"/>
      <c r="W20" s="122"/>
      <c r="X20" s="122"/>
      <c r="Y20" s="122"/>
      <c r="Z20" s="331"/>
      <c r="AA20" s="64"/>
      <c r="AB20" s="24"/>
      <c r="AC20" s="23"/>
      <c r="AD20" s="941"/>
      <c r="AE20" s="944"/>
      <c r="AF20" s="498"/>
      <c r="AG20" s="498"/>
      <c r="AH20" s="498"/>
      <c r="AI20" s="498"/>
      <c r="AJ20" s="498"/>
      <c r="AK20" s="498"/>
      <c r="AL20" s="498"/>
      <c r="AM20" s="498"/>
      <c r="AN20" s="498"/>
      <c r="AO20" s="498"/>
      <c r="AP20" s="498"/>
      <c r="AQ20" s="498"/>
      <c r="AR20" s="498"/>
      <c r="AS20" s="498"/>
      <c r="AT20" s="498"/>
      <c r="AU20" s="498"/>
      <c r="AV20" s="922"/>
    </row>
    <row r="21" spans="1:48">
      <c r="A21" s="23"/>
      <c r="B21" s="22" t="s">
        <v>16</v>
      </c>
      <c r="C21" s="33" t="s">
        <v>940</v>
      </c>
      <c r="D21" s="18"/>
      <c r="E21" s="17"/>
      <c r="F21" s="917"/>
      <c r="G21" s="18" t="s">
        <v>16</v>
      </c>
      <c r="H21" s="18" t="s">
        <v>836</v>
      </c>
      <c r="I21" s="917"/>
      <c r="J21" s="919"/>
      <c r="K21" s="922"/>
      <c r="L21" s="932"/>
      <c r="M21" s="935"/>
      <c r="N21" s="464" t="s">
        <v>16</v>
      </c>
      <c r="O21" s="464" t="s">
        <v>21</v>
      </c>
      <c r="P21" s="447">
        <v>1</v>
      </c>
      <c r="Q21" s="451">
        <v>14</v>
      </c>
      <c r="R21" s="466"/>
      <c r="S21" s="467"/>
      <c r="T21" s="20"/>
      <c r="U21" s="20"/>
      <c r="V21" s="20"/>
      <c r="W21" s="20"/>
      <c r="X21" s="20"/>
      <c r="Y21" s="20"/>
      <c r="Z21" s="331"/>
      <c r="AA21" s="18"/>
      <c r="AB21" s="24"/>
      <c r="AC21" s="23"/>
      <c r="AD21" s="941"/>
      <c r="AE21" s="944"/>
      <c r="AF21" s="498"/>
      <c r="AG21" s="498"/>
      <c r="AH21" s="498"/>
      <c r="AI21" s="498"/>
      <c r="AJ21" s="498"/>
      <c r="AK21" s="498"/>
      <c r="AL21" s="498"/>
      <c r="AM21" s="498"/>
      <c r="AN21" s="498"/>
      <c r="AO21" s="498"/>
      <c r="AP21" s="498"/>
      <c r="AQ21" s="498"/>
      <c r="AR21" s="498"/>
      <c r="AS21" s="498"/>
      <c r="AT21" s="498"/>
      <c r="AU21" s="498"/>
      <c r="AV21" s="922"/>
    </row>
    <row r="22" spans="1:48">
      <c r="A22" s="23"/>
      <c r="B22" s="22" t="s">
        <v>18</v>
      </c>
      <c r="C22" s="30" t="s">
        <v>107</v>
      </c>
      <c r="D22" s="18"/>
      <c r="E22" s="18"/>
      <c r="F22" s="917"/>
      <c r="G22" s="18" t="s">
        <v>18</v>
      </c>
      <c r="H22" s="18" t="s">
        <v>19</v>
      </c>
      <c r="I22" s="917"/>
      <c r="J22" s="919"/>
      <c r="K22" s="922"/>
      <c r="L22" s="932"/>
      <c r="M22" s="935"/>
      <c r="N22" s="18"/>
      <c r="O22" s="17"/>
      <c r="P22" s="20"/>
      <c r="Q22" s="21"/>
      <c r="R22" s="22" t="s">
        <v>16</v>
      </c>
      <c r="S22" s="25" t="s">
        <v>15</v>
      </c>
      <c r="T22" s="20">
        <v>5</v>
      </c>
      <c r="U22" s="63">
        <v>1</v>
      </c>
      <c r="V22" s="333" t="s">
        <v>14</v>
      </c>
      <c r="W22" s="333">
        <v>5</v>
      </c>
      <c r="X22" s="333">
        <v>5</v>
      </c>
      <c r="Y22" s="333">
        <v>0</v>
      </c>
      <c r="Z22" s="331">
        <f>SUM(W22:Y22)</f>
        <v>10</v>
      </c>
      <c r="AA22" s="18"/>
      <c r="AB22" s="24"/>
      <c r="AC22" s="23"/>
      <c r="AD22" s="941"/>
      <c r="AE22" s="944"/>
      <c r="AF22" s="498"/>
      <c r="AG22" s="498"/>
      <c r="AH22" s="498"/>
      <c r="AI22" s="498"/>
      <c r="AJ22" s="498"/>
      <c r="AK22" s="498"/>
      <c r="AL22" s="498"/>
      <c r="AM22" s="498"/>
      <c r="AN22" s="498"/>
      <c r="AO22" s="498"/>
      <c r="AP22" s="498"/>
      <c r="AQ22" s="498"/>
      <c r="AR22" s="498"/>
      <c r="AS22" s="498"/>
      <c r="AT22" s="498"/>
      <c r="AU22" s="498"/>
      <c r="AV22" s="922"/>
    </row>
    <row r="23" spans="1:48" ht="55.2">
      <c r="A23" s="23"/>
      <c r="B23" s="26" t="s">
        <v>12</v>
      </c>
      <c r="C23" s="25" t="s">
        <v>893</v>
      </c>
      <c r="D23" s="18"/>
      <c r="E23" s="24"/>
      <c r="F23" s="917"/>
      <c r="G23" s="18"/>
      <c r="H23" s="21"/>
      <c r="I23" s="917"/>
      <c r="J23" s="919"/>
      <c r="K23" s="922"/>
      <c r="L23" s="932"/>
      <c r="M23" s="935"/>
      <c r="N23" s="18"/>
      <c r="O23" s="17"/>
      <c r="P23" s="20"/>
      <c r="Q23" s="21"/>
      <c r="R23" s="22"/>
      <c r="S23" s="33"/>
      <c r="T23" s="449"/>
      <c r="U23" s="365">
        <v>2</v>
      </c>
      <c r="V23" s="333" t="s">
        <v>268</v>
      </c>
      <c r="W23" s="333">
        <v>2</v>
      </c>
      <c r="X23" s="333">
        <v>0</v>
      </c>
      <c r="Y23" s="333">
        <v>0</v>
      </c>
      <c r="Z23" s="331">
        <f>SUM(W23:Y23)</f>
        <v>2</v>
      </c>
      <c r="AA23" s="18"/>
      <c r="AB23" s="17"/>
      <c r="AC23" s="447"/>
      <c r="AD23" s="941"/>
      <c r="AE23" s="944"/>
      <c r="AF23" s="498"/>
      <c r="AG23" s="498"/>
      <c r="AH23" s="498"/>
      <c r="AI23" s="498"/>
      <c r="AJ23" s="498"/>
      <c r="AK23" s="498"/>
      <c r="AL23" s="498"/>
      <c r="AM23" s="498"/>
      <c r="AN23" s="498"/>
      <c r="AO23" s="498"/>
      <c r="AP23" s="498"/>
      <c r="AQ23" s="498"/>
      <c r="AR23" s="498"/>
      <c r="AS23" s="498"/>
      <c r="AT23" s="498"/>
      <c r="AU23" s="498"/>
      <c r="AV23" s="922"/>
    </row>
    <row r="24" spans="1:48">
      <c r="A24" s="23"/>
      <c r="B24" s="26" t="s">
        <v>8</v>
      </c>
      <c r="C24" s="366" t="s">
        <v>939</v>
      </c>
      <c r="D24" s="18"/>
      <c r="E24" s="24"/>
      <c r="F24" s="917"/>
      <c r="G24" s="18"/>
      <c r="H24" s="21"/>
      <c r="I24" s="917"/>
      <c r="J24" s="919"/>
      <c r="K24" s="922"/>
      <c r="L24" s="932"/>
      <c r="M24" s="935"/>
      <c r="N24" s="18"/>
      <c r="O24" s="17"/>
      <c r="P24" s="20"/>
      <c r="Q24" s="21"/>
      <c r="R24" s="22"/>
      <c r="S24" s="33"/>
      <c r="T24" s="449"/>
      <c r="U24" s="365">
        <v>3</v>
      </c>
      <c r="V24" s="333" t="s">
        <v>938</v>
      </c>
      <c r="W24" s="333">
        <v>11</v>
      </c>
      <c r="X24" s="333">
        <v>0</v>
      </c>
      <c r="Y24" s="333">
        <v>0</v>
      </c>
      <c r="Z24" s="331">
        <f>SUM(W24:Y24)</f>
        <v>11</v>
      </c>
      <c r="AA24" s="18"/>
      <c r="AB24" s="17"/>
      <c r="AC24" s="447"/>
      <c r="AD24" s="941"/>
      <c r="AE24" s="944"/>
      <c r="AF24" s="498"/>
      <c r="AG24" s="498"/>
      <c r="AH24" s="498"/>
      <c r="AI24" s="498"/>
      <c r="AJ24" s="498"/>
      <c r="AK24" s="498"/>
      <c r="AL24" s="498"/>
      <c r="AM24" s="498"/>
      <c r="AN24" s="498"/>
      <c r="AO24" s="498"/>
      <c r="AP24" s="498"/>
      <c r="AQ24" s="498"/>
      <c r="AR24" s="498"/>
      <c r="AS24" s="498"/>
      <c r="AT24" s="498"/>
      <c r="AU24" s="498"/>
      <c r="AV24" s="922"/>
    </row>
    <row r="25" spans="1:48">
      <c r="A25" s="23"/>
      <c r="B25" s="26"/>
      <c r="C25" s="25"/>
      <c r="D25" s="18"/>
      <c r="E25" s="24"/>
      <c r="F25" s="917"/>
      <c r="G25" s="18"/>
      <c r="H25" s="21"/>
      <c r="I25" s="917"/>
      <c r="J25" s="919"/>
      <c r="K25" s="922"/>
      <c r="L25" s="932"/>
      <c r="M25" s="935"/>
      <c r="N25" s="18"/>
      <c r="O25" s="17"/>
      <c r="P25" s="20"/>
      <c r="Q25" s="21"/>
      <c r="R25" s="22"/>
      <c r="S25" s="33"/>
      <c r="T25" s="449"/>
      <c r="U25" s="365">
        <v>4</v>
      </c>
      <c r="V25" s="333" t="s">
        <v>0</v>
      </c>
      <c r="W25" s="333">
        <v>0</v>
      </c>
      <c r="X25" s="333">
        <v>20</v>
      </c>
      <c r="Y25" s="333">
        <v>0</v>
      </c>
      <c r="Z25" s="331">
        <f>SUM(W25:Y25)</f>
        <v>20</v>
      </c>
      <c r="AA25" s="18"/>
      <c r="AB25" s="17"/>
      <c r="AC25" s="447"/>
      <c r="AD25" s="941"/>
      <c r="AE25" s="944"/>
      <c r="AF25" s="498"/>
      <c r="AG25" s="498"/>
      <c r="AH25" s="498"/>
      <c r="AI25" s="498"/>
      <c r="AJ25" s="498"/>
      <c r="AK25" s="498"/>
      <c r="AL25" s="498"/>
      <c r="AM25" s="498"/>
      <c r="AN25" s="498"/>
      <c r="AO25" s="498"/>
      <c r="AP25" s="498"/>
      <c r="AQ25" s="498"/>
      <c r="AR25" s="498"/>
      <c r="AS25" s="498"/>
      <c r="AT25" s="498"/>
      <c r="AU25" s="498"/>
      <c r="AV25" s="922"/>
    </row>
    <row r="26" spans="1:48" ht="27.6">
      <c r="A26" s="23"/>
      <c r="B26" s="26"/>
      <c r="C26" s="25"/>
      <c r="D26" s="18"/>
      <c r="E26" s="24"/>
      <c r="F26" s="917"/>
      <c r="G26" s="18"/>
      <c r="H26" s="21"/>
      <c r="I26" s="917"/>
      <c r="J26" s="919"/>
      <c r="K26" s="922"/>
      <c r="L26" s="932"/>
      <c r="M26" s="935"/>
      <c r="N26" s="18"/>
      <c r="O26" s="17"/>
      <c r="P26" s="20"/>
      <c r="Q26" s="21"/>
      <c r="R26" s="22"/>
      <c r="S26" s="33"/>
      <c r="T26" s="449"/>
      <c r="U26" s="365">
        <v>5</v>
      </c>
      <c r="V26" s="333" t="s">
        <v>937</v>
      </c>
      <c r="W26" s="333">
        <v>10</v>
      </c>
      <c r="X26" s="333">
        <v>0</v>
      </c>
      <c r="Y26" s="333">
        <v>0</v>
      </c>
      <c r="Z26" s="331">
        <f>SUM(W26:Y26)</f>
        <v>10</v>
      </c>
      <c r="AA26" s="18"/>
      <c r="AB26" s="17"/>
      <c r="AC26" s="447"/>
      <c r="AD26" s="941"/>
      <c r="AE26" s="944"/>
      <c r="AF26" s="498"/>
      <c r="AG26" s="498"/>
      <c r="AH26" s="498"/>
      <c r="AI26" s="498"/>
      <c r="AJ26" s="498"/>
      <c r="AK26" s="498"/>
      <c r="AL26" s="498"/>
      <c r="AM26" s="498"/>
      <c r="AN26" s="498"/>
      <c r="AO26" s="498"/>
      <c r="AP26" s="498"/>
      <c r="AQ26" s="498"/>
      <c r="AR26" s="498"/>
      <c r="AS26" s="498"/>
      <c r="AT26" s="498"/>
      <c r="AU26" s="498"/>
      <c r="AV26" s="922"/>
    </row>
    <row r="27" spans="1:48">
      <c r="A27" s="12"/>
      <c r="B27" s="468"/>
      <c r="C27" s="469"/>
      <c r="D27" s="7"/>
      <c r="E27" s="14"/>
      <c r="F27" s="918"/>
      <c r="G27" s="7"/>
      <c r="H27" s="10"/>
      <c r="I27" s="918"/>
      <c r="J27" s="920"/>
      <c r="K27" s="923"/>
      <c r="L27" s="933"/>
      <c r="M27" s="936"/>
      <c r="N27" s="7"/>
      <c r="O27" s="13"/>
      <c r="P27" s="12"/>
      <c r="Q27" s="10"/>
      <c r="R27" s="11"/>
      <c r="S27" s="120"/>
      <c r="T27" s="450"/>
      <c r="U27" s="364"/>
      <c r="V27" s="88"/>
      <c r="W27" s="450"/>
      <c r="X27" s="450"/>
      <c r="Y27" s="450"/>
      <c r="Z27" s="330"/>
      <c r="AA27" s="7"/>
      <c r="AB27" s="6"/>
      <c r="AC27" s="448"/>
      <c r="AD27" s="942"/>
      <c r="AE27" s="945"/>
      <c r="AF27" s="499"/>
      <c r="AG27" s="499"/>
      <c r="AH27" s="499"/>
      <c r="AI27" s="499"/>
      <c r="AJ27" s="499"/>
      <c r="AK27" s="499"/>
      <c r="AL27" s="499"/>
      <c r="AM27" s="499"/>
      <c r="AN27" s="499"/>
      <c r="AO27" s="499"/>
      <c r="AP27" s="499"/>
      <c r="AQ27" s="499"/>
      <c r="AR27" s="499"/>
      <c r="AS27" s="499"/>
      <c r="AT27" s="499"/>
      <c r="AU27" s="499"/>
      <c r="AV27" s="923"/>
    </row>
    <row r="28" spans="1:48">
      <c r="A28" s="46" t="s">
        <v>713</v>
      </c>
      <c r="B28" s="40" t="s">
        <v>25</v>
      </c>
      <c r="C28" s="103" t="s">
        <v>936</v>
      </c>
      <c r="D28" s="36"/>
      <c r="E28" s="44"/>
      <c r="F28" s="929" t="s">
        <v>935</v>
      </c>
      <c r="G28" s="43" t="s">
        <v>25</v>
      </c>
      <c r="H28" s="35" t="s">
        <v>839</v>
      </c>
      <c r="I28" s="916">
        <v>359</v>
      </c>
      <c r="J28" s="927" t="s">
        <v>46</v>
      </c>
      <c r="K28" s="921" t="s">
        <v>934</v>
      </c>
      <c r="L28" s="1009" t="s">
        <v>46</v>
      </c>
      <c r="M28" s="924" t="s">
        <v>46</v>
      </c>
      <c r="N28" s="78"/>
      <c r="O28" s="33"/>
      <c r="P28" s="122"/>
      <c r="Q28" s="44"/>
      <c r="R28" s="40" t="s">
        <v>25</v>
      </c>
      <c r="S28" s="103" t="s">
        <v>24</v>
      </c>
      <c r="T28" s="345">
        <v>2</v>
      </c>
      <c r="U28" s="122">
        <v>1</v>
      </c>
      <c r="V28" s="339" t="s">
        <v>56</v>
      </c>
      <c r="W28" s="345">
        <v>4</v>
      </c>
      <c r="X28" s="345">
        <v>0</v>
      </c>
      <c r="Y28" s="345">
        <v>1</v>
      </c>
      <c r="Z28" s="348">
        <f>SUM(W28:Y28)</f>
        <v>5</v>
      </c>
      <c r="AA28" s="40"/>
      <c r="AB28" s="99"/>
      <c r="AC28" s="34"/>
      <c r="AD28" s="940"/>
      <c r="AE28" s="943"/>
      <c r="AF28" s="497"/>
      <c r="AG28" s="497"/>
      <c r="AH28" s="497"/>
      <c r="AI28" s="497"/>
      <c r="AJ28" s="497"/>
      <c r="AK28" s="497"/>
      <c r="AL28" s="497"/>
      <c r="AM28" s="497"/>
      <c r="AN28" s="497"/>
      <c r="AO28" s="497"/>
      <c r="AP28" s="497"/>
      <c r="AQ28" s="497"/>
      <c r="AR28" s="497"/>
      <c r="AS28" s="497"/>
      <c r="AT28" s="497"/>
      <c r="AU28" s="497"/>
      <c r="AV28" s="921"/>
    </row>
    <row r="29" spans="1:48">
      <c r="A29" s="23"/>
      <c r="B29" s="22" t="s">
        <v>16</v>
      </c>
      <c r="C29" s="33" t="s">
        <v>933</v>
      </c>
      <c r="D29" s="18"/>
      <c r="E29" s="17"/>
      <c r="F29" s="917"/>
      <c r="G29" s="18" t="s">
        <v>16</v>
      </c>
      <c r="H29" s="18" t="s">
        <v>836</v>
      </c>
      <c r="I29" s="917"/>
      <c r="J29" s="919"/>
      <c r="K29" s="922"/>
      <c r="L29" s="932"/>
      <c r="M29" s="935"/>
      <c r="N29" s="78"/>
      <c r="O29" s="33"/>
      <c r="P29" s="20"/>
      <c r="Q29" s="18"/>
      <c r="R29" s="22"/>
      <c r="S29" s="30"/>
      <c r="T29" s="332"/>
      <c r="U29" s="20">
        <v>2</v>
      </c>
      <c r="V29" s="333" t="s">
        <v>932</v>
      </c>
      <c r="W29" s="332">
        <v>5</v>
      </c>
      <c r="X29" s="332">
        <v>0</v>
      </c>
      <c r="Y29" s="332">
        <v>0</v>
      </c>
      <c r="Z29" s="363">
        <f>SUM(W29:Y29)</f>
        <v>5</v>
      </c>
      <c r="AA29" s="22"/>
      <c r="AB29" s="25"/>
      <c r="AC29" s="23"/>
      <c r="AD29" s="941"/>
      <c r="AE29" s="944"/>
      <c r="AF29" s="498"/>
      <c r="AG29" s="498"/>
      <c r="AH29" s="498"/>
      <c r="AI29" s="498"/>
      <c r="AJ29" s="498"/>
      <c r="AK29" s="498"/>
      <c r="AL29" s="498"/>
      <c r="AM29" s="498"/>
      <c r="AN29" s="498"/>
      <c r="AO29" s="498"/>
      <c r="AP29" s="498"/>
      <c r="AQ29" s="498"/>
      <c r="AR29" s="498"/>
      <c r="AS29" s="498"/>
      <c r="AT29" s="498"/>
      <c r="AU29" s="498"/>
      <c r="AV29" s="922"/>
    </row>
    <row r="30" spans="1:48">
      <c r="A30" s="23"/>
      <c r="B30" s="22" t="s">
        <v>18</v>
      </c>
      <c r="C30" s="30" t="s">
        <v>633</v>
      </c>
      <c r="D30" s="18"/>
      <c r="E30" s="18"/>
      <c r="F30" s="917"/>
      <c r="G30" s="18" t="s">
        <v>18</v>
      </c>
      <c r="H30" s="18" t="s">
        <v>19</v>
      </c>
      <c r="I30" s="917"/>
      <c r="J30" s="919"/>
      <c r="K30" s="922"/>
      <c r="L30" s="932"/>
      <c r="M30" s="935"/>
      <c r="N30" s="18"/>
      <c r="O30" s="17"/>
      <c r="P30" s="20"/>
      <c r="Q30" s="18"/>
      <c r="R30" s="22"/>
      <c r="S30" s="30"/>
      <c r="T30" s="20"/>
      <c r="U30" s="457"/>
      <c r="V30" s="333"/>
      <c r="W30" s="447"/>
      <c r="X30" s="447"/>
      <c r="Y30" s="447"/>
      <c r="Z30" s="331"/>
      <c r="AA30" s="22"/>
      <c r="AB30" s="25"/>
      <c r="AC30" s="23"/>
      <c r="AD30" s="941"/>
      <c r="AE30" s="944"/>
      <c r="AF30" s="498"/>
      <c r="AG30" s="498"/>
      <c r="AH30" s="498"/>
      <c r="AI30" s="498"/>
      <c r="AJ30" s="498"/>
      <c r="AK30" s="498"/>
      <c r="AL30" s="498"/>
      <c r="AM30" s="498"/>
      <c r="AN30" s="498"/>
      <c r="AO30" s="498"/>
      <c r="AP30" s="498"/>
      <c r="AQ30" s="498"/>
      <c r="AR30" s="498"/>
      <c r="AS30" s="498"/>
      <c r="AT30" s="498"/>
      <c r="AU30" s="498"/>
      <c r="AV30" s="922"/>
    </row>
    <row r="31" spans="1:48" ht="55.2">
      <c r="A31" s="23"/>
      <c r="B31" s="22" t="s">
        <v>12</v>
      </c>
      <c r="C31" s="25" t="s">
        <v>893</v>
      </c>
      <c r="D31" s="21"/>
      <c r="E31" s="24"/>
      <c r="F31" s="917"/>
      <c r="G31" s="18"/>
      <c r="H31" s="21"/>
      <c r="I31" s="917"/>
      <c r="J31" s="919"/>
      <c r="K31" s="922"/>
      <c r="L31" s="932"/>
      <c r="M31" s="935"/>
      <c r="N31" s="18"/>
      <c r="O31" s="17"/>
      <c r="P31" s="20"/>
      <c r="Q31" s="18"/>
      <c r="R31" s="78" t="s">
        <v>16</v>
      </c>
      <c r="S31" s="33" t="s">
        <v>15</v>
      </c>
      <c r="T31" s="20">
        <v>10</v>
      </c>
      <c r="U31" s="344">
        <v>1</v>
      </c>
      <c r="V31" s="333" t="s">
        <v>14</v>
      </c>
      <c r="W31" s="333">
        <v>5</v>
      </c>
      <c r="X31" s="333">
        <v>10</v>
      </c>
      <c r="Y31" s="333">
        <v>0</v>
      </c>
      <c r="Z31" s="335">
        <f t="shared" ref="Z31:Z40" si="0">SUM(W31:Y31)</f>
        <v>15</v>
      </c>
      <c r="AA31" s="22"/>
      <c r="AB31" s="25"/>
      <c r="AC31" s="23"/>
      <c r="AD31" s="941"/>
      <c r="AE31" s="944"/>
      <c r="AF31" s="498"/>
      <c r="AG31" s="498"/>
      <c r="AH31" s="498"/>
      <c r="AI31" s="498"/>
      <c r="AJ31" s="498"/>
      <c r="AK31" s="498"/>
      <c r="AL31" s="498"/>
      <c r="AM31" s="498"/>
      <c r="AN31" s="498"/>
      <c r="AO31" s="498"/>
      <c r="AP31" s="498"/>
      <c r="AQ31" s="498"/>
      <c r="AR31" s="498"/>
      <c r="AS31" s="498"/>
      <c r="AT31" s="498"/>
      <c r="AU31" s="498"/>
      <c r="AV31" s="922"/>
    </row>
    <row r="32" spans="1:48">
      <c r="A32" s="23"/>
      <c r="B32" s="22" t="s">
        <v>8</v>
      </c>
      <c r="C32" s="62" t="s">
        <v>931</v>
      </c>
      <c r="D32" s="21"/>
      <c r="E32" s="24"/>
      <c r="F32" s="917"/>
      <c r="G32" s="18"/>
      <c r="H32" s="21"/>
      <c r="I32" s="917"/>
      <c r="J32" s="919"/>
      <c r="K32" s="922"/>
      <c r="L32" s="932"/>
      <c r="M32" s="935"/>
      <c r="N32" s="18"/>
      <c r="O32" s="17"/>
      <c r="P32" s="20"/>
      <c r="Q32" s="18"/>
      <c r="R32" s="78"/>
      <c r="S32" s="33"/>
      <c r="T32" s="20"/>
      <c r="U32" s="344">
        <v>2</v>
      </c>
      <c r="V32" s="333" t="s">
        <v>930</v>
      </c>
      <c r="W32" s="333">
        <v>2</v>
      </c>
      <c r="X32" s="333">
        <v>0</v>
      </c>
      <c r="Y32" s="333">
        <v>0</v>
      </c>
      <c r="Z32" s="335">
        <f t="shared" si="0"/>
        <v>2</v>
      </c>
      <c r="AA32" s="22"/>
      <c r="AB32" s="25"/>
      <c r="AC32" s="23"/>
      <c r="AD32" s="941"/>
      <c r="AE32" s="944"/>
      <c r="AF32" s="498"/>
      <c r="AG32" s="498"/>
      <c r="AH32" s="498"/>
      <c r="AI32" s="498"/>
      <c r="AJ32" s="498"/>
      <c r="AK32" s="498"/>
      <c r="AL32" s="498"/>
      <c r="AM32" s="498"/>
      <c r="AN32" s="498"/>
      <c r="AO32" s="498"/>
      <c r="AP32" s="498"/>
      <c r="AQ32" s="498"/>
      <c r="AR32" s="498"/>
      <c r="AS32" s="498"/>
      <c r="AT32" s="498"/>
      <c r="AU32" s="498"/>
      <c r="AV32" s="922"/>
    </row>
    <row r="33" spans="1:48">
      <c r="A33" s="23"/>
      <c r="B33" s="22"/>
      <c r="C33" s="25"/>
      <c r="D33" s="21"/>
      <c r="E33" s="24"/>
      <c r="F33" s="917"/>
      <c r="G33" s="18"/>
      <c r="H33" s="21"/>
      <c r="I33" s="917"/>
      <c r="J33" s="919"/>
      <c r="K33" s="922"/>
      <c r="L33" s="932"/>
      <c r="M33" s="935"/>
      <c r="N33" s="18"/>
      <c r="O33" s="24"/>
      <c r="P33" s="23"/>
      <c r="Q33" s="21"/>
      <c r="R33" s="78"/>
      <c r="S33" s="33"/>
      <c r="T33" s="20"/>
      <c r="U33" s="344">
        <v>3</v>
      </c>
      <c r="V33" s="333" t="s">
        <v>929</v>
      </c>
      <c r="W33" s="333">
        <v>0</v>
      </c>
      <c r="X33" s="333">
        <v>10</v>
      </c>
      <c r="Y33" s="333">
        <v>0</v>
      </c>
      <c r="Z33" s="335">
        <f t="shared" si="0"/>
        <v>10</v>
      </c>
      <c r="AA33" s="22"/>
      <c r="AB33" s="25"/>
      <c r="AC33" s="23"/>
      <c r="AD33" s="941"/>
      <c r="AE33" s="944"/>
      <c r="AF33" s="498"/>
      <c r="AG33" s="498"/>
      <c r="AH33" s="498"/>
      <c r="AI33" s="498"/>
      <c r="AJ33" s="498"/>
      <c r="AK33" s="498"/>
      <c r="AL33" s="498"/>
      <c r="AM33" s="498"/>
      <c r="AN33" s="498"/>
      <c r="AO33" s="498"/>
      <c r="AP33" s="498"/>
      <c r="AQ33" s="498"/>
      <c r="AR33" s="498"/>
      <c r="AS33" s="498"/>
      <c r="AT33" s="498"/>
      <c r="AU33" s="498"/>
      <c r="AV33" s="922"/>
    </row>
    <row r="34" spans="1:48">
      <c r="A34" s="23"/>
      <c r="B34" s="22"/>
      <c r="C34" s="25"/>
      <c r="D34" s="21"/>
      <c r="E34" s="24"/>
      <c r="F34" s="917"/>
      <c r="G34" s="18"/>
      <c r="H34" s="21"/>
      <c r="I34" s="917"/>
      <c r="J34" s="919"/>
      <c r="K34" s="922"/>
      <c r="L34" s="932"/>
      <c r="M34" s="935"/>
      <c r="N34" s="18"/>
      <c r="O34" s="24"/>
      <c r="P34" s="23"/>
      <c r="Q34" s="21"/>
      <c r="R34" s="78"/>
      <c r="S34" s="33"/>
      <c r="T34" s="20"/>
      <c r="U34" s="344">
        <v>4</v>
      </c>
      <c r="V34" s="333" t="s">
        <v>3</v>
      </c>
      <c r="W34" s="333">
        <v>0</v>
      </c>
      <c r="X34" s="333">
        <v>0</v>
      </c>
      <c r="Y34" s="333">
        <v>1</v>
      </c>
      <c r="Z34" s="335">
        <f t="shared" si="0"/>
        <v>1</v>
      </c>
      <c r="AA34" s="22"/>
      <c r="AB34" s="25"/>
      <c r="AC34" s="23"/>
      <c r="AD34" s="941"/>
      <c r="AE34" s="944"/>
      <c r="AF34" s="498"/>
      <c r="AG34" s="498"/>
      <c r="AH34" s="498"/>
      <c r="AI34" s="498"/>
      <c r="AJ34" s="498"/>
      <c r="AK34" s="498"/>
      <c r="AL34" s="498"/>
      <c r="AM34" s="498"/>
      <c r="AN34" s="498"/>
      <c r="AO34" s="498"/>
      <c r="AP34" s="498"/>
      <c r="AQ34" s="498"/>
      <c r="AR34" s="498"/>
      <c r="AS34" s="498"/>
      <c r="AT34" s="498"/>
      <c r="AU34" s="498"/>
      <c r="AV34" s="922"/>
    </row>
    <row r="35" spans="1:48">
      <c r="A35" s="23"/>
      <c r="B35" s="22"/>
      <c r="C35" s="25"/>
      <c r="D35" s="21"/>
      <c r="E35" s="24"/>
      <c r="F35" s="917"/>
      <c r="G35" s="18"/>
      <c r="H35" s="21"/>
      <c r="I35" s="917"/>
      <c r="J35" s="919"/>
      <c r="K35" s="922"/>
      <c r="L35" s="932"/>
      <c r="M35" s="935"/>
      <c r="N35" s="18"/>
      <c r="O35" s="24"/>
      <c r="P35" s="23"/>
      <c r="Q35" s="21"/>
      <c r="R35" s="78"/>
      <c r="S35" s="33"/>
      <c r="T35" s="20"/>
      <c r="U35" s="344">
        <v>5</v>
      </c>
      <c r="V35" s="333" t="s">
        <v>928</v>
      </c>
      <c r="W35" s="333">
        <v>30</v>
      </c>
      <c r="X35" s="333">
        <v>0</v>
      </c>
      <c r="Y35" s="333">
        <v>0</v>
      </c>
      <c r="Z35" s="335">
        <f t="shared" si="0"/>
        <v>30</v>
      </c>
      <c r="AA35" s="22"/>
      <c r="AB35" s="25"/>
      <c r="AC35" s="23"/>
      <c r="AD35" s="941"/>
      <c r="AE35" s="944"/>
      <c r="AF35" s="498"/>
      <c r="AG35" s="498"/>
      <c r="AH35" s="498"/>
      <c r="AI35" s="498"/>
      <c r="AJ35" s="498"/>
      <c r="AK35" s="498"/>
      <c r="AL35" s="498"/>
      <c r="AM35" s="498"/>
      <c r="AN35" s="498"/>
      <c r="AO35" s="498"/>
      <c r="AP35" s="498"/>
      <c r="AQ35" s="498"/>
      <c r="AR35" s="498"/>
      <c r="AS35" s="498"/>
      <c r="AT35" s="498"/>
      <c r="AU35" s="498"/>
      <c r="AV35" s="922"/>
    </row>
    <row r="36" spans="1:48">
      <c r="A36" s="23"/>
      <c r="B36" s="22"/>
      <c r="C36" s="25"/>
      <c r="D36" s="21"/>
      <c r="E36" s="24"/>
      <c r="F36" s="917"/>
      <c r="G36" s="18"/>
      <c r="H36" s="21"/>
      <c r="I36" s="917"/>
      <c r="J36" s="919"/>
      <c r="K36" s="922"/>
      <c r="L36" s="932"/>
      <c r="M36" s="935"/>
      <c r="N36" s="18"/>
      <c r="O36" s="24"/>
      <c r="P36" s="23"/>
      <c r="Q36" s="21"/>
      <c r="R36" s="78"/>
      <c r="S36" s="33"/>
      <c r="T36" s="20"/>
      <c r="U36" s="344">
        <v>6</v>
      </c>
      <c r="V36" s="333" t="s">
        <v>144</v>
      </c>
      <c r="W36" s="333">
        <v>0</v>
      </c>
      <c r="X36" s="333">
        <v>10</v>
      </c>
      <c r="Y36" s="333">
        <v>0</v>
      </c>
      <c r="Z36" s="335">
        <f t="shared" si="0"/>
        <v>10</v>
      </c>
      <c r="AA36" s="22"/>
      <c r="AB36" s="25"/>
      <c r="AC36" s="23"/>
      <c r="AD36" s="941"/>
      <c r="AE36" s="944"/>
      <c r="AF36" s="498"/>
      <c r="AG36" s="498"/>
      <c r="AH36" s="498"/>
      <c r="AI36" s="498"/>
      <c r="AJ36" s="498"/>
      <c r="AK36" s="498"/>
      <c r="AL36" s="498"/>
      <c r="AM36" s="498"/>
      <c r="AN36" s="498"/>
      <c r="AO36" s="498"/>
      <c r="AP36" s="498"/>
      <c r="AQ36" s="498"/>
      <c r="AR36" s="498"/>
      <c r="AS36" s="498"/>
      <c r="AT36" s="498"/>
      <c r="AU36" s="498"/>
      <c r="AV36" s="922"/>
    </row>
    <row r="37" spans="1:48">
      <c r="A37" s="23"/>
      <c r="B37" s="22"/>
      <c r="C37" s="25"/>
      <c r="D37" s="21"/>
      <c r="E37" s="24"/>
      <c r="F37" s="917"/>
      <c r="G37" s="18"/>
      <c r="H37" s="21"/>
      <c r="I37" s="917"/>
      <c r="J37" s="919"/>
      <c r="K37" s="922"/>
      <c r="L37" s="932"/>
      <c r="M37" s="935"/>
      <c r="N37" s="18"/>
      <c r="O37" s="24"/>
      <c r="P37" s="23"/>
      <c r="Q37" s="21"/>
      <c r="R37" s="78"/>
      <c r="S37" s="33"/>
      <c r="T37" s="20"/>
      <c r="U37" s="344">
        <v>7</v>
      </c>
      <c r="V37" s="333" t="s">
        <v>4</v>
      </c>
      <c r="W37" s="333">
        <v>20</v>
      </c>
      <c r="X37" s="333">
        <v>0</v>
      </c>
      <c r="Y37" s="333">
        <v>0</v>
      </c>
      <c r="Z37" s="335">
        <f t="shared" si="0"/>
        <v>20</v>
      </c>
      <c r="AA37" s="22"/>
      <c r="AB37" s="25"/>
      <c r="AC37" s="23"/>
      <c r="AD37" s="941"/>
      <c r="AE37" s="944"/>
      <c r="AF37" s="498"/>
      <c r="AG37" s="498"/>
      <c r="AH37" s="498"/>
      <c r="AI37" s="498"/>
      <c r="AJ37" s="498"/>
      <c r="AK37" s="498"/>
      <c r="AL37" s="498"/>
      <c r="AM37" s="498"/>
      <c r="AN37" s="498"/>
      <c r="AO37" s="498"/>
      <c r="AP37" s="498"/>
      <c r="AQ37" s="498"/>
      <c r="AR37" s="498"/>
      <c r="AS37" s="498"/>
      <c r="AT37" s="498"/>
      <c r="AU37" s="498"/>
      <c r="AV37" s="922"/>
    </row>
    <row r="38" spans="1:48">
      <c r="A38" s="23"/>
      <c r="B38" s="22"/>
      <c r="C38" s="25"/>
      <c r="D38" s="21"/>
      <c r="E38" s="24"/>
      <c r="F38" s="917"/>
      <c r="G38" s="18"/>
      <c r="H38" s="21"/>
      <c r="I38" s="917"/>
      <c r="J38" s="919"/>
      <c r="K38" s="922"/>
      <c r="L38" s="932"/>
      <c r="M38" s="935"/>
      <c r="N38" s="18"/>
      <c r="O38" s="24"/>
      <c r="P38" s="23"/>
      <c r="Q38" s="21"/>
      <c r="R38" s="78"/>
      <c r="S38" s="33"/>
      <c r="T38" s="20"/>
      <c r="U38" s="344">
        <v>8</v>
      </c>
      <c r="V38" s="333" t="s">
        <v>927</v>
      </c>
      <c r="W38" s="333">
        <v>0</v>
      </c>
      <c r="X38" s="333">
        <v>10</v>
      </c>
      <c r="Y38" s="333">
        <v>0</v>
      </c>
      <c r="Z38" s="335">
        <f t="shared" si="0"/>
        <v>10</v>
      </c>
      <c r="AA38" s="22"/>
      <c r="AB38" s="25"/>
      <c r="AC38" s="23"/>
      <c r="AD38" s="941"/>
      <c r="AE38" s="944"/>
      <c r="AF38" s="498"/>
      <c r="AG38" s="498"/>
      <c r="AH38" s="498"/>
      <c r="AI38" s="498"/>
      <c r="AJ38" s="498"/>
      <c r="AK38" s="498"/>
      <c r="AL38" s="498"/>
      <c r="AM38" s="498"/>
      <c r="AN38" s="498"/>
      <c r="AO38" s="498"/>
      <c r="AP38" s="498"/>
      <c r="AQ38" s="498"/>
      <c r="AR38" s="498"/>
      <c r="AS38" s="498"/>
      <c r="AT38" s="498"/>
      <c r="AU38" s="498"/>
      <c r="AV38" s="922"/>
    </row>
    <row r="39" spans="1:48">
      <c r="A39" s="23"/>
      <c r="B39" s="22"/>
      <c r="C39" s="25"/>
      <c r="D39" s="21"/>
      <c r="E39" s="24"/>
      <c r="F39" s="917"/>
      <c r="G39" s="18"/>
      <c r="H39" s="21"/>
      <c r="I39" s="917"/>
      <c r="J39" s="919"/>
      <c r="K39" s="922"/>
      <c r="L39" s="932"/>
      <c r="M39" s="935"/>
      <c r="N39" s="18"/>
      <c r="O39" s="24"/>
      <c r="P39" s="23"/>
      <c r="Q39" s="21"/>
      <c r="R39" s="78"/>
      <c r="S39" s="33"/>
      <c r="T39" s="20"/>
      <c r="U39" s="344">
        <v>9</v>
      </c>
      <c r="V39" s="333" t="s">
        <v>926</v>
      </c>
      <c r="W39" s="333">
        <v>15</v>
      </c>
      <c r="X39" s="333">
        <v>0</v>
      </c>
      <c r="Y39" s="333">
        <v>0</v>
      </c>
      <c r="Z39" s="335">
        <f t="shared" si="0"/>
        <v>15</v>
      </c>
      <c r="AA39" s="22"/>
      <c r="AB39" s="25"/>
      <c r="AC39" s="23"/>
      <c r="AD39" s="941"/>
      <c r="AE39" s="944"/>
      <c r="AF39" s="498"/>
      <c r="AG39" s="498"/>
      <c r="AH39" s="498"/>
      <c r="AI39" s="498"/>
      <c r="AJ39" s="498"/>
      <c r="AK39" s="498"/>
      <c r="AL39" s="498"/>
      <c r="AM39" s="498"/>
      <c r="AN39" s="498"/>
      <c r="AO39" s="498"/>
      <c r="AP39" s="498"/>
      <c r="AQ39" s="498"/>
      <c r="AR39" s="498"/>
      <c r="AS39" s="498"/>
      <c r="AT39" s="498"/>
      <c r="AU39" s="498"/>
      <c r="AV39" s="922"/>
    </row>
    <row r="40" spans="1:48">
      <c r="A40" s="23"/>
      <c r="B40" s="22"/>
      <c r="C40" s="25"/>
      <c r="D40" s="21"/>
      <c r="E40" s="24"/>
      <c r="F40" s="917"/>
      <c r="G40" s="18"/>
      <c r="H40" s="21"/>
      <c r="I40" s="917"/>
      <c r="J40" s="919"/>
      <c r="K40" s="922"/>
      <c r="L40" s="932"/>
      <c r="M40" s="935"/>
      <c r="N40" s="18"/>
      <c r="O40" s="24"/>
      <c r="P40" s="23"/>
      <c r="Q40" s="21"/>
      <c r="R40" s="78"/>
      <c r="S40" s="33"/>
      <c r="T40" s="20"/>
      <c r="U40" s="344">
        <v>10</v>
      </c>
      <c r="V40" s="333" t="s">
        <v>925</v>
      </c>
      <c r="W40" s="333">
        <v>10</v>
      </c>
      <c r="X40" s="333">
        <v>0</v>
      </c>
      <c r="Y40" s="333">
        <v>0</v>
      </c>
      <c r="Z40" s="335">
        <f t="shared" si="0"/>
        <v>10</v>
      </c>
      <c r="AA40" s="22"/>
      <c r="AB40" s="25"/>
      <c r="AC40" s="23"/>
      <c r="AD40" s="941"/>
      <c r="AE40" s="944"/>
      <c r="AF40" s="498"/>
      <c r="AG40" s="498"/>
      <c r="AH40" s="498"/>
      <c r="AI40" s="498"/>
      <c r="AJ40" s="498"/>
      <c r="AK40" s="498"/>
      <c r="AL40" s="498"/>
      <c r="AM40" s="498"/>
      <c r="AN40" s="498"/>
      <c r="AO40" s="498"/>
      <c r="AP40" s="498"/>
      <c r="AQ40" s="498"/>
      <c r="AR40" s="498"/>
      <c r="AS40" s="498"/>
      <c r="AT40" s="498"/>
      <c r="AU40" s="498"/>
      <c r="AV40" s="922"/>
    </row>
    <row r="41" spans="1:48">
      <c r="A41" s="12"/>
      <c r="B41" s="11"/>
      <c r="C41" s="15"/>
      <c r="D41" s="10"/>
      <c r="E41" s="13"/>
      <c r="F41" s="918"/>
      <c r="G41" s="7"/>
      <c r="H41" s="10"/>
      <c r="I41" s="918"/>
      <c r="J41" s="920"/>
      <c r="K41" s="923"/>
      <c r="L41" s="933"/>
      <c r="M41" s="936"/>
      <c r="N41" s="7"/>
      <c r="O41" s="13"/>
      <c r="P41" s="12"/>
      <c r="Q41" s="10"/>
      <c r="R41" s="11"/>
      <c r="S41" s="97"/>
      <c r="T41" s="47"/>
      <c r="U41" s="458"/>
      <c r="V41" s="52"/>
      <c r="W41" s="448"/>
      <c r="X41" s="448"/>
      <c r="Y41" s="448"/>
      <c r="Z41" s="330"/>
      <c r="AA41" s="11"/>
      <c r="AB41" s="117"/>
      <c r="AC41" s="12"/>
      <c r="AD41" s="942"/>
      <c r="AE41" s="945"/>
      <c r="AF41" s="499"/>
      <c r="AG41" s="499"/>
      <c r="AH41" s="499"/>
      <c r="AI41" s="499"/>
      <c r="AJ41" s="499"/>
      <c r="AK41" s="499"/>
      <c r="AL41" s="499"/>
      <c r="AM41" s="499"/>
      <c r="AN41" s="499"/>
      <c r="AO41" s="499"/>
      <c r="AP41" s="499"/>
      <c r="AQ41" s="499"/>
      <c r="AR41" s="499"/>
      <c r="AS41" s="499"/>
      <c r="AT41" s="499"/>
      <c r="AU41" s="499"/>
      <c r="AV41" s="923"/>
    </row>
    <row r="42" spans="1:48" ht="28.2">
      <c r="A42" s="46" t="s">
        <v>711</v>
      </c>
      <c r="B42" s="40" t="s">
        <v>25</v>
      </c>
      <c r="C42" s="103" t="s">
        <v>924</v>
      </c>
      <c r="D42" s="36"/>
      <c r="E42" s="44"/>
      <c r="F42" s="929" t="s">
        <v>923</v>
      </c>
      <c r="G42" s="43" t="s">
        <v>25</v>
      </c>
      <c r="H42" s="35" t="s">
        <v>839</v>
      </c>
      <c r="I42" s="916">
        <v>158</v>
      </c>
      <c r="J42" s="927" t="s">
        <v>46</v>
      </c>
      <c r="K42" s="921" t="s">
        <v>922</v>
      </c>
      <c r="L42" s="1010" t="s">
        <v>46</v>
      </c>
      <c r="M42" s="924" t="s">
        <v>46</v>
      </c>
      <c r="N42" s="36" t="s">
        <v>25</v>
      </c>
      <c r="O42" s="329" t="s">
        <v>921</v>
      </c>
      <c r="P42" s="122">
        <v>1</v>
      </c>
      <c r="Q42" s="362">
        <v>83.25</v>
      </c>
      <c r="R42" s="40" t="s">
        <v>25</v>
      </c>
      <c r="S42" s="44" t="s">
        <v>24</v>
      </c>
      <c r="T42" s="122"/>
      <c r="U42" s="44"/>
      <c r="V42" s="122"/>
      <c r="W42" s="44"/>
      <c r="X42" s="122"/>
      <c r="Y42" s="44"/>
      <c r="Z42" s="331"/>
      <c r="AA42" s="36"/>
      <c r="AB42" s="56"/>
      <c r="AC42" s="34"/>
      <c r="AD42" s="940"/>
      <c r="AE42" s="943"/>
      <c r="AF42" s="497"/>
      <c r="AG42" s="497"/>
      <c r="AH42" s="497"/>
      <c r="AI42" s="497"/>
      <c r="AJ42" s="497"/>
      <c r="AK42" s="497"/>
      <c r="AL42" s="497"/>
      <c r="AM42" s="497"/>
      <c r="AN42" s="497"/>
      <c r="AO42" s="497"/>
      <c r="AP42" s="497"/>
      <c r="AQ42" s="497"/>
      <c r="AR42" s="497"/>
      <c r="AS42" s="497"/>
      <c r="AT42" s="497"/>
      <c r="AU42" s="497"/>
      <c r="AV42" s="921"/>
    </row>
    <row r="43" spans="1:48">
      <c r="A43" s="23"/>
      <c r="B43" s="22" t="s">
        <v>16</v>
      </c>
      <c r="C43" s="33" t="s">
        <v>920</v>
      </c>
      <c r="D43" s="18"/>
      <c r="E43" s="17"/>
      <c r="F43" s="917"/>
      <c r="G43" s="18" t="s">
        <v>16</v>
      </c>
      <c r="H43" s="18" t="s">
        <v>836</v>
      </c>
      <c r="I43" s="917"/>
      <c r="J43" s="919"/>
      <c r="K43" s="922"/>
      <c r="L43" s="932"/>
      <c r="M43" s="935"/>
      <c r="N43" s="18" t="s">
        <v>16</v>
      </c>
      <c r="O43" s="76" t="s">
        <v>21</v>
      </c>
      <c r="P43" s="77">
        <v>1</v>
      </c>
      <c r="Q43" s="361">
        <v>6</v>
      </c>
      <c r="R43" s="22"/>
      <c r="S43" s="18"/>
      <c r="T43" s="20"/>
      <c r="U43" s="18"/>
      <c r="V43" s="20"/>
      <c r="W43" s="18"/>
      <c r="X43" s="20"/>
      <c r="Y43" s="18"/>
      <c r="Z43" s="331"/>
      <c r="AA43" s="18"/>
      <c r="AB43" s="24"/>
      <c r="AC43" s="23"/>
      <c r="AD43" s="941"/>
      <c r="AE43" s="944"/>
      <c r="AF43" s="498"/>
      <c r="AG43" s="498"/>
      <c r="AH43" s="498"/>
      <c r="AI43" s="498"/>
      <c r="AJ43" s="498"/>
      <c r="AK43" s="498"/>
      <c r="AL43" s="498"/>
      <c r="AM43" s="498"/>
      <c r="AN43" s="498"/>
      <c r="AO43" s="498"/>
      <c r="AP43" s="498"/>
      <c r="AQ43" s="498"/>
      <c r="AR43" s="498"/>
      <c r="AS43" s="498"/>
      <c r="AT43" s="498"/>
      <c r="AU43" s="498"/>
      <c r="AV43" s="922"/>
    </row>
    <row r="44" spans="1:48">
      <c r="A44" s="23"/>
      <c r="B44" s="22" t="s">
        <v>18</v>
      </c>
      <c r="C44" s="30" t="s">
        <v>633</v>
      </c>
      <c r="D44" s="18"/>
      <c r="E44" s="18"/>
      <c r="F44" s="917"/>
      <c r="G44" s="18" t="s">
        <v>18</v>
      </c>
      <c r="H44" s="18" t="s">
        <v>19</v>
      </c>
      <c r="I44" s="917"/>
      <c r="J44" s="919"/>
      <c r="K44" s="922"/>
      <c r="L44" s="932"/>
      <c r="M44" s="935"/>
      <c r="N44" s="18" t="s">
        <v>18</v>
      </c>
      <c r="O44" s="76" t="s">
        <v>17</v>
      </c>
      <c r="P44" s="77">
        <v>1</v>
      </c>
      <c r="Q44" s="76"/>
      <c r="R44" s="22" t="s">
        <v>16</v>
      </c>
      <c r="S44" s="18" t="s">
        <v>15</v>
      </c>
      <c r="T44" s="20">
        <v>9</v>
      </c>
      <c r="U44" s="344">
        <v>1</v>
      </c>
      <c r="V44" s="351" t="s">
        <v>919</v>
      </c>
      <c r="W44" s="333">
        <v>10</v>
      </c>
      <c r="X44" s="333">
        <v>7</v>
      </c>
      <c r="Y44" s="333">
        <v>0</v>
      </c>
      <c r="Z44" s="335">
        <v>17</v>
      </c>
      <c r="AA44" s="18"/>
      <c r="AB44" s="17"/>
      <c r="AC44" s="23"/>
      <c r="AD44" s="941"/>
      <c r="AE44" s="944"/>
      <c r="AF44" s="498"/>
      <c r="AG44" s="498"/>
      <c r="AH44" s="498"/>
      <c r="AI44" s="498"/>
      <c r="AJ44" s="498"/>
      <c r="AK44" s="498"/>
      <c r="AL44" s="498"/>
      <c r="AM44" s="498"/>
      <c r="AN44" s="498"/>
      <c r="AO44" s="498"/>
      <c r="AP44" s="498"/>
      <c r="AQ44" s="498"/>
      <c r="AR44" s="498"/>
      <c r="AS44" s="498"/>
      <c r="AT44" s="498"/>
      <c r="AU44" s="498"/>
      <c r="AV44" s="922"/>
    </row>
    <row r="45" spans="1:48" ht="55.2">
      <c r="A45" s="23"/>
      <c r="B45" s="26" t="s">
        <v>12</v>
      </c>
      <c r="C45" s="25" t="s">
        <v>918</v>
      </c>
      <c r="D45" s="18"/>
      <c r="E45" s="18"/>
      <c r="F45" s="917"/>
      <c r="G45" s="18"/>
      <c r="H45" s="18"/>
      <c r="I45" s="917"/>
      <c r="J45" s="919"/>
      <c r="K45" s="922"/>
      <c r="L45" s="932"/>
      <c r="M45" s="935"/>
      <c r="N45" s="18" t="s">
        <v>12</v>
      </c>
      <c r="O45" s="18" t="s">
        <v>11</v>
      </c>
      <c r="P45" s="20">
        <v>1</v>
      </c>
      <c r="Q45" s="76"/>
      <c r="R45" s="22"/>
      <c r="S45" s="18"/>
      <c r="T45" s="20"/>
      <c r="U45" s="344">
        <f t="shared" ref="U45:U52" si="1">U44+1</f>
        <v>2</v>
      </c>
      <c r="V45" s="351" t="s">
        <v>344</v>
      </c>
      <c r="W45" s="333">
        <v>0</v>
      </c>
      <c r="X45" s="333">
        <v>5</v>
      </c>
      <c r="Y45" s="333">
        <v>0</v>
      </c>
      <c r="Z45" s="335">
        <v>5</v>
      </c>
      <c r="AA45" s="18"/>
      <c r="AB45" s="17"/>
      <c r="AC45" s="23"/>
      <c r="AD45" s="941"/>
      <c r="AE45" s="944"/>
      <c r="AF45" s="498"/>
      <c r="AG45" s="498"/>
      <c r="AH45" s="498"/>
      <c r="AI45" s="498"/>
      <c r="AJ45" s="498"/>
      <c r="AK45" s="498"/>
      <c r="AL45" s="498"/>
      <c r="AM45" s="498"/>
      <c r="AN45" s="498"/>
      <c r="AO45" s="498"/>
      <c r="AP45" s="498"/>
      <c r="AQ45" s="498"/>
      <c r="AR45" s="498"/>
      <c r="AS45" s="498"/>
      <c r="AT45" s="498"/>
      <c r="AU45" s="498"/>
      <c r="AV45" s="922"/>
    </row>
    <row r="46" spans="1:48">
      <c r="A46" s="23"/>
      <c r="B46" s="22" t="s">
        <v>8</v>
      </c>
      <c r="C46" s="62" t="s">
        <v>917</v>
      </c>
      <c r="D46" s="18"/>
      <c r="E46" s="30"/>
      <c r="F46" s="917"/>
      <c r="G46" s="18"/>
      <c r="H46" s="18"/>
      <c r="I46" s="917"/>
      <c r="J46" s="919"/>
      <c r="K46" s="922"/>
      <c r="L46" s="932"/>
      <c r="M46" s="935"/>
      <c r="N46" s="18"/>
      <c r="O46" s="76"/>
      <c r="P46" s="77"/>
      <c r="Q46" s="76"/>
      <c r="R46" s="22"/>
      <c r="S46" s="18"/>
      <c r="T46" s="20"/>
      <c r="U46" s="344">
        <f t="shared" si="1"/>
        <v>3</v>
      </c>
      <c r="V46" s="351" t="s">
        <v>137</v>
      </c>
      <c r="W46" s="333">
        <v>0</v>
      </c>
      <c r="X46" s="333">
        <v>4</v>
      </c>
      <c r="Y46" s="333">
        <v>0</v>
      </c>
      <c r="Z46" s="335">
        <v>4</v>
      </c>
      <c r="AA46" s="18"/>
      <c r="AB46" s="17"/>
      <c r="AC46" s="23"/>
      <c r="AD46" s="941"/>
      <c r="AE46" s="944"/>
      <c r="AF46" s="498"/>
      <c r="AG46" s="498"/>
      <c r="AH46" s="498"/>
      <c r="AI46" s="498"/>
      <c r="AJ46" s="498"/>
      <c r="AK46" s="498"/>
      <c r="AL46" s="498"/>
      <c r="AM46" s="498"/>
      <c r="AN46" s="498"/>
      <c r="AO46" s="498"/>
      <c r="AP46" s="498"/>
      <c r="AQ46" s="498"/>
      <c r="AR46" s="498"/>
      <c r="AS46" s="498"/>
      <c r="AT46" s="498"/>
      <c r="AU46" s="498"/>
      <c r="AV46" s="922"/>
    </row>
    <row r="47" spans="1:48">
      <c r="A47" s="23"/>
      <c r="B47" s="22"/>
      <c r="C47" s="30"/>
      <c r="D47" s="18"/>
      <c r="E47" s="18"/>
      <c r="F47" s="917"/>
      <c r="G47" s="18"/>
      <c r="H47" s="18"/>
      <c r="I47" s="917"/>
      <c r="J47" s="919"/>
      <c r="K47" s="922"/>
      <c r="L47" s="932"/>
      <c r="M47" s="935"/>
      <c r="N47" s="18"/>
      <c r="O47" s="76"/>
      <c r="P47" s="77"/>
      <c r="Q47" s="76"/>
      <c r="R47" s="22"/>
      <c r="S47" s="18"/>
      <c r="T47" s="20"/>
      <c r="U47" s="344">
        <f t="shared" si="1"/>
        <v>4</v>
      </c>
      <c r="V47" s="360" t="s">
        <v>32</v>
      </c>
      <c r="W47" s="333">
        <v>0</v>
      </c>
      <c r="X47" s="333">
        <v>2</v>
      </c>
      <c r="Y47" s="333">
        <v>0</v>
      </c>
      <c r="Z47" s="335">
        <v>2</v>
      </c>
      <c r="AA47" s="18"/>
      <c r="AB47" s="17"/>
      <c r="AC47" s="23"/>
      <c r="AD47" s="941"/>
      <c r="AE47" s="944"/>
      <c r="AF47" s="498"/>
      <c r="AG47" s="498"/>
      <c r="AH47" s="498"/>
      <c r="AI47" s="498"/>
      <c r="AJ47" s="498"/>
      <c r="AK47" s="498"/>
      <c r="AL47" s="498"/>
      <c r="AM47" s="498"/>
      <c r="AN47" s="498"/>
      <c r="AO47" s="498"/>
      <c r="AP47" s="498"/>
      <c r="AQ47" s="498"/>
      <c r="AR47" s="498"/>
      <c r="AS47" s="498"/>
      <c r="AT47" s="498"/>
      <c r="AU47" s="498"/>
      <c r="AV47" s="922"/>
    </row>
    <row r="48" spans="1:48">
      <c r="A48" s="23"/>
      <c r="B48" s="22"/>
      <c r="C48" s="30"/>
      <c r="D48" s="18"/>
      <c r="E48" s="18"/>
      <c r="F48" s="917"/>
      <c r="G48" s="18"/>
      <c r="H48" s="18"/>
      <c r="I48" s="917"/>
      <c r="J48" s="919"/>
      <c r="K48" s="922"/>
      <c r="L48" s="932"/>
      <c r="M48" s="935"/>
      <c r="N48" s="18"/>
      <c r="O48" s="76"/>
      <c r="P48" s="77"/>
      <c r="Q48" s="76"/>
      <c r="R48" s="22"/>
      <c r="S48" s="18"/>
      <c r="T48" s="20"/>
      <c r="U48" s="344">
        <f t="shared" si="1"/>
        <v>5</v>
      </c>
      <c r="V48" s="351" t="s">
        <v>0</v>
      </c>
      <c r="W48" s="333">
        <v>20</v>
      </c>
      <c r="X48" s="333">
        <v>0</v>
      </c>
      <c r="Y48" s="333">
        <v>0</v>
      </c>
      <c r="Z48" s="335">
        <v>20</v>
      </c>
      <c r="AA48" s="18"/>
      <c r="AB48" s="17"/>
      <c r="AC48" s="23"/>
      <c r="AD48" s="941"/>
      <c r="AE48" s="944"/>
      <c r="AF48" s="498"/>
      <c r="AG48" s="498"/>
      <c r="AH48" s="498"/>
      <c r="AI48" s="498"/>
      <c r="AJ48" s="498"/>
      <c r="AK48" s="498"/>
      <c r="AL48" s="498"/>
      <c r="AM48" s="498"/>
      <c r="AN48" s="498"/>
      <c r="AO48" s="498"/>
      <c r="AP48" s="498"/>
      <c r="AQ48" s="498"/>
      <c r="AR48" s="498"/>
      <c r="AS48" s="498"/>
      <c r="AT48" s="498"/>
      <c r="AU48" s="498"/>
      <c r="AV48" s="922"/>
    </row>
    <row r="49" spans="1:48">
      <c r="A49" s="23"/>
      <c r="B49" s="22"/>
      <c r="C49" s="30"/>
      <c r="D49" s="18"/>
      <c r="E49" s="18"/>
      <c r="F49" s="917"/>
      <c r="G49" s="18"/>
      <c r="H49" s="18"/>
      <c r="I49" s="917"/>
      <c r="J49" s="919"/>
      <c r="K49" s="922"/>
      <c r="L49" s="932"/>
      <c r="M49" s="935"/>
      <c r="N49" s="18"/>
      <c r="O49" s="76"/>
      <c r="P49" s="77"/>
      <c r="Q49" s="76"/>
      <c r="R49" s="22"/>
      <c r="S49" s="18"/>
      <c r="T49" s="20"/>
      <c r="U49" s="344">
        <f t="shared" si="1"/>
        <v>6</v>
      </c>
      <c r="V49" s="351" t="s">
        <v>2</v>
      </c>
      <c r="W49" s="333">
        <v>35</v>
      </c>
      <c r="X49" s="333">
        <v>0</v>
      </c>
      <c r="Y49" s="333">
        <v>0</v>
      </c>
      <c r="Z49" s="335">
        <v>35</v>
      </c>
      <c r="AA49" s="18"/>
      <c r="AB49" s="17"/>
      <c r="AC49" s="23"/>
      <c r="AD49" s="941"/>
      <c r="AE49" s="944"/>
      <c r="AF49" s="498"/>
      <c r="AG49" s="498"/>
      <c r="AH49" s="498"/>
      <c r="AI49" s="498"/>
      <c r="AJ49" s="498"/>
      <c r="AK49" s="498"/>
      <c r="AL49" s="498"/>
      <c r="AM49" s="498"/>
      <c r="AN49" s="498"/>
      <c r="AO49" s="498"/>
      <c r="AP49" s="498"/>
      <c r="AQ49" s="498"/>
      <c r="AR49" s="498"/>
      <c r="AS49" s="498"/>
      <c r="AT49" s="498"/>
      <c r="AU49" s="498"/>
      <c r="AV49" s="922"/>
    </row>
    <row r="50" spans="1:48">
      <c r="A50" s="23"/>
      <c r="B50" s="22"/>
      <c r="C50" s="30"/>
      <c r="D50" s="18"/>
      <c r="E50" s="18"/>
      <c r="F50" s="917"/>
      <c r="G50" s="18"/>
      <c r="H50" s="18"/>
      <c r="I50" s="917"/>
      <c r="J50" s="919"/>
      <c r="K50" s="922"/>
      <c r="L50" s="932"/>
      <c r="M50" s="935"/>
      <c r="N50" s="18"/>
      <c r="O50" s="76"/>
      <c r="P50" s="77"/>
      <c r="Q50" s="76"/>
      <c r="R50" s="22"/>
      <c r="S50" s="18"/>
      <c r="T50" s="20"/>
      <c r="U50" s="344">
        <f t="shared" si="1"/>
        <v>7</v>
      </c>
      <c r="V50" s="351" t="s">
        <v>410</v>
      </c>
      <c r="W50" s="333">
        <v>0</v>
      </c>
      <c r="X50" s="333">
        <v>4</v>
      </c>
      <c r="Y50" s="333">
        <v>0</v>
      </c>
      <c r="Z50" s="335">
        <v>4</v>
      </c>
      <c r="AA50" s="18"/>
      <c r="AB50" s="17"/>
      <c r="AC50" s="23"/>
      <c r="AD50" s="941"/>
      <c r="AE50" s="944"/>
      <c r="AF50" s="498"/>
      <c r="AG50" s="498"/>
      <c r="AH50" s="498"/>
      <c r="AI50" s="498"/>
      <c r="AJ50" s="498"/>
      <c r="AK50" s="498"/>
      <c r="AL50" s="498"/>
      <c r="AM50" s="498"/>
      <c r="AN50" s="498"/>
      <c r="AO50" s="498"/>
      <c r="AP50" s="498"/>
      <c r="AQ50" s="498"/>
      <c r="AR50" s="498"/>
      <c r="AS50" s="498"/>
      <c r="AT50" s="498"/>
      <c r="AU50" s="498"/>
      <c r="AV50" s="922"/>
    </row>
    <row r="51" spans="1:48">
      <c r="A51" s="23"/>
      <c r="B51" s="22"/>
      <c r="C51" s="30"/>
      <c r="D51" s="18"/>
      <c r="E51" s="18"/>
      <c r="F51" s="917"/>
      <c r="G51" s="18"/>
      <c r="H51" s="18"/>
      <c r="I51" s="917"/>
      <c r="J51" s="919"/>
      <c r="K51" s="922"/>
      <c r="L51" s="932"/>
      <c r="M51" s="935"/>
      <c r="N51" s="18"/>
      <c r="O51" s="76"/>
      <c r="P51" s="77"/>
      <c r="Q51" s="76"/>
      <c r="R51" s="22"/>
      <c r="S51" s="18"/>
      <c r="T51" s="20"/>
      <c r="U51" s="344">
        <f t="shared" si="1"/>
        <v>8</v>
      </c>
      <c r="V51" s="351" t="s">
        <v>34</v>
      </c>
      <c r="W51" s="333">
        <v>3</v>
      </c>
      <c r="X51" s="333">
        <v>0</v>
      </c>
      <c r="Y51" s="333">
        <v>0</v>
      </c>
      <c r="Z51" s="335">
        <v>3</v>
      </c>
      <c r="AA51" s="18"/>
      <c r="AB51" s="17"/>
      <c r="AC51" s="23"/>
      <c r="AD51" s="941"/>
      <c r="AE51" s="944"/>
      <c r="AF51" s="498"/>
      <c r="AG51" s="498"/>
      <c r="AH51" s="498"/>
      <c r="AI51" s="498"/>
      <c r="AJ51" s="498"/>
      <c r="AK51" s="498"/>
      <c r="AL51" s="498"/>
      <c r="AM51" s="498"/>
      <c r="AN51" s="498"/>
      <c r="AO51" s="498"/>
      <c r="AP51" s="498"/>
      <c r="AQ51" s="498"/>
      <c r="AR51" s="498"/>
      <c r="AS51" s="498"/>
      <c r="AT51" s="498"/>
      <c r="AU51" s="498"/>
      <c r="AV51" s="922"/>
    </row>
    <row r="52" spans="1:48">
      <c r="A52" s="23"/>
      <c r="B52" s="22"/>
      <c r="C52" s="30"/>
      <c r="D52" s="18"/>
      <c r="E52" s="18"/>
      <c r="F52" s="917"/>
      <c r="G52" s="18"/>
      <c r="H52" s="18"/>
      <c r="I52" s="917"/>
      <c r="J52" s="919"/>
      <c r="K52" s="922"/>
      <c r="L52" s="932"/>
      <c r="M52" s="935"/>
      <c r="N52" s="18"/>
      <c r="O52" s="76"/>
      <c r="P52" s="77"/>
      <c r="Q52" s="76"/>
      <c r="R52" s="22"/>
      <c r="S52" s="18"/>
      <c r="T52" s="20"/>
      <c r="U52" s="344">
        <f t="shared" si="1"/>
        <v>9</v>
      </c>
      <c r="V52" s="351" t="s">
        <v>808</v>
      </c>
      <c r="W52" s="333">
        <v>0</v>
      </c>
      <c r="X52" s="333">
        <v>9</v>
      </c>
      <c r="Y52" s="333">
        <v>0</v>
      </c>
      <c r="Z52" s="335">
        <v>9</v>
      </c>
      <c r="AA52" s="18"/>
      <c r="AB52" s="17"/>
      <c r="AC52" s="23"/>
      <c r="AD52" s="941"/>
      <c r="AE52" s="944"/>
      <c r="AF52" s="498"/>
      <c r="AG52" s="498"/>
      <c r="AH52" s="498"/>
      <c r="AI52" s="498"/>
      <c r="AJ52" s="498"/>
      <c r="AK52" s="498"/>
      <c r="AL52" s="498"/>
      <c r="AM52" s="498"/>
      <c r="AN52" s="498"/>
      <c r="AO52" s="498"/>
      <c r="AP52" s="498"/>
      <c r="AQ52" s="498"/>
      <c r="AR52" s="498"/>
      <c r="AS52" s="498"/>
      <c r="AT52" s="498"/>
      <c r="AU52" s="498"/>
      <c r="AV52" s="922"/>
    </row>
    <row r="53" spans="1:48">
      <c r="A53" s="12"/>
      <c r="B53" s="11"/>
      <c r="C53" s="15"/>
      <c r="D53" s="7"/>
      <c r="E53" s="14"/>
      <c r="F53" s="918"/>
      <c r="G53" s="7"/>
      <c r="H53" s="10"/>
      <c r="I53" s="918"/>
      <c r="J53" s="920"/>
      <c r="K53" s="923"/>
      <c r="L53" s="933"/>
      <c r="M53" s="936"/>
      <c r="N53" s="7"/>
      <c r="O53" s="13"/>
      <c r="P53" s="12"/>
      <c r="Q53" s="10"/>
      <c r="R53" s="11"/>
      <c r="S53" s="6"/>
      <c r="T53" s="450"/>
      <c r="U53" s="89"/>
      <c r="V53" s="88"/>
      <c r="W53" s="454"/>
      <c r="X53" s="450"/>
      <c r="Y53" s="454"/>
      <c r="Z53" s="330"/>
      <c r="AA53" s="7"/>
      <c r="AB53" s="6"/>
      <c r="AC53" s="448"/>
      <c r="AD53" s="942"/>
      <c r="AE53" s="945"/>
      <c r="AF53" s="499"/>
      <c r="AG53" s="499"/>
      <c r="AH53" s="499"/>
      <c r="AI53" s="499"/>
      <c r="AJ53" s="499"/>
      <c r="AK53" s="499"/>
      <c r="AL53" s="499"/>
      <c r="AM53" s="499"/>
      <c r="AN53" s="499"/>
      <c r="AO53" s="499"/>
      <c r="AP53" s="499"/>
      <c r="AQ53" s="499"/>
      <c r="AR53" s="499"/>
      <c r="AS53" s="499"/>
      <c r="AT53" s="499"/>
      <c r="AU53" s="499"/>
      <c r="AV53" s="923"/>
    </row>
    <row r="54" spans="1:48">
      <c r="A54" s="46" t="s">
        <v>704</v>
      </c>
      <c r="B54" s="40" t="s">
        <v>25</v>
      </c>
      <c r="C54" s="103" t="s">
        <v>916</v>
      </c>
      <c r="D54" s="36"/>
      <c r="E54" s="44"/>
      <c r="F54" s="929" t="s">
        <v>915</v>
      </c>
      <c r="G54" s="43" t="s">
        <v>25</v>
      </c>
      <c r="H54" s="35" t="s">
        <v>839</v>
      </c>
      <c r="I54" s="916">
        <v>545</v>
      </c>
      <c r="J54" s="927" t="s">
        <v>46</v>
      </c>
      <c r="K54" s="921" t="s">
        <v>649</v>
      </c>
      <c r="L54" s="1009" t="s">
        <v>46</v>
      </c>
      <c r="M54" s="924" t="s">
        <v>46</v>
      </c>
      <c r="N54" s="18"/>
      <c r="O54" s="85" t="s">
        <v>911</v>
      </c>
      <c r="P54" s="447"/>
      <c r="Q54" s="451"/>
      <c r="R54" s="40" t="s">
        <v>25</v>
      </c>
      <c r="S54" s="44" t="s">
        <v>24</v>
      </c>
      <c r="T54" s="122"/>
      <c r="U54" s="122"/>
      <c r="V54" s="122"/>
      <c r="W54" s="122"/>
      <c r="X54" s="122"/>
      <c r="Y54" s="122"/>
      <c r="Z54" s="348"/>
      <c r="AA54" s="36"/>
      <c r="AB54" s="56"/>
      <c r="AC54" s="34"/>
      <c r="AD54" s="940"/>
      <c r="AE54" s="943"/>
      <c r="AF54" s="497"/>
      <c r="AG54" s="497"/>
      <c r="AH54" s="497"/>
      <c r="AI54" s="497"/>
      <c r="AJ54" s="497"/>
      <c r="AK54" s="497"/>
      <c r="AL54" s="497"/>
      <c r="AM54" s="497"/>
      <c r="AN54" s="497"/>
      <c r="AO54" s="497"/>
      <c r="AP54" s="497"/>
      <c r="AQ54" s="497"/>
      <c r="AR54" s="497"/>
      <c r="AS54" s="497"/>
      <c r="AT54" s="497"/>
      <c r="AU54" s="497"/>
      <c r="AV54" s="921"/>
    </row>
    <row r="55" spans="1:48" ht="27.6">
      <c r="A55" s="23"/>
      <c r="B55" s="22" t="s">
        <v>16</v>
      </c>
      <c r="C55" s="33" t="s">
        <v>914</v>
      </c>
      <c r="D55" s="18"/>
      <c r="E55" s="17"/>
      <c r="F55" s="917"/>
      <c r="G55" s="18" t="s">
        <v>16</v>
      </c>
      <c r="H55" s="18" t="s">
        <v>836</v>
      </c>
      <c r="I55" s="917"/>
      <c r="J55" s="919"/>
      <c r="K55" s="922"/>
      <c r="L55" s="932"/>
      <c r="M55" s="935"/>
      <c r="N55" s="18" t="s">
        <v>25</v>
      </c>
      <c r="O55" s="85" t="s">
        <v>873</v>
      </c>
      <c r="P55" s="354">
        <v>1</v>
      </c>
      <c r="Q55" s="353">
        <v>86.58</v>
      </c>
      <c r="R55" s="22"/>
      <c r="S55" s="18"/>
      <c r="T55" s="20"/>
      <c r="U55" s="20"/>
      <c r="V55" s="20"/>
      <c r="W55" s="20"/>
      <c r="X55" s="20"/>
      <c r="Y55" s="20"/>
      <c r="Z55" s="331"/>
      <c r="AA55" s="18"/>
      <c r="AB55" s="24"/>
      <c r="AC55" s="23"/>
      <c r="AD55" s="941"/>
      <c r="AE55" s="944"/>
      <c r="AF55" s="498"/>
      <c r="AG55" s="498"/>
      <c r="AH55" s="498"/>
      <c r="AI55" s="498"/>
      <c r="AJ55" s="498"/>
      <c r="AK55" s="498"/>
      <c r="AL55" s="498"/>
      <c r="AM55" s="498"/>
      <c r="AN55" s="498"/>
      <c r="AO55" s="498"/>
      <c r="AP55" s="498"/>
      <c r="AQ55" s="498"/>
      <c r="AR55" s="498"/>
      <c r="AS55" s="498"/>
      <c r="AT55" s="498"/>
      <c r="AU55" s="498"/>
      <c r="AV55" s="922"/>
    </row>
    <row r="56" spans="1:48">
      <c r="A56" s="23"/>
      <c r="B56" s="22" t="s">
        <v>18</v>
      </c>
      <c r="C56" s="30" t="s">
        <v>633</v>
      </c>
      <c r="D56" s="18"/>
      <c r="E56" s="18"/>
      <c r="F56" s="917"/>
      <c r="G56" s="18" t="s">
        <v>18</v>
      </c>
      <c r="H56" s="18" t="s">
        <v>19</v>
      </c>
      <c r="I56" s="917"/>
      <c r="J56" s="919"/>
      <c r="K56" s="922"/>
      <c r="L56" s="932"/>
      <c r="M56" s="935"/>
      <c r="N56" s="18" t="s">
        <v>16</v>
      </c>
      <c r="O56" s="85" t="s">
        <v>21</v>
      </c>
      <c r="P56" s="354">
        <v>1</v>
      </c>
      <c r="Q56" s="353">
        <v>13.5</v>
      </c>
      <c r="R56" s="22" t="s">
        <v>16</v>
      </c>
      <c r="S56" s="18" t="s">
        <v>15</v>
      </c>
      <c r="T56" s="20"/>
      <c r="U56" s="344">
        <v>1</v>
      </c>
      <c r="V56" s="333" t="s">
        <v>654</v>
      </c>
      <c r="W56" s="333">
        <v>1</v>
      </c>
      <c r="X56" s="333">
        <v>0</v>
      </c>
      <c r="Y56" s="333">
        <v>3</v>
      </c>
      <c r="Z56" s="335">
        <f t="shared" ref="Z56:Z82" si="2">SUM(W56:Y56)</f>
        <v>4</v>
      </c>
      <c r="AA56" s="18"/>
      <c r="AB56" s="17"/>
      <c r="AC56" s="23"/>
      <c r="AD56" s="941"/>
      <c r="AE56" s="944"/>
      <c r="AF56" s="498"/>
      <c r="AG56" s="498"/>
      <c r="AH56" s="498"/>
      <c r="AI56" s="498"/>
      <c r="AJ56" s="498"/>
      <c r="AK56" s="498"/>
      <c r="AL56" s="498"/>
      <c r="AM56" s="498"/>
      <c r="AN56" s="498"/>
      <c r="AO56" s="498"/>
      <c r="AP56" s="498"/>
      <c r="AQ56" s="498"/>
      <c r="AR56" s="498"/>
      <c r="AS56" s="498"/>
      <c r="AT56" s="498"/>
      <c r="AU56" s="498"/>
      <c r="AV56" s="922"/>
    </row>
    <row r="57" spans="1:48" ht="55.2">
      <c r="A57" s="23"/>
      <c r="B57" s="22" t="s">
        <v>12</v>
      </c>
      <c r="C57" s="25" t="s">
        <v>893</v>
      </c>
      <c r="D57" s="18"/>
      <c r="E57" s="18"/>
      <c r="F57" s="917"/>
      <c r="G57" s="18"/>
      <c r="H57" s="18"/>
      <c r="I57" s="917"/>
      <c r="J57" s="919"/>
      <c r="K57" s="922"/>
      <c r="L57" s="932"/>
      <c r="M57" s="935"/>
      <c r="N57" s="18" t="s">
        <v>159</v>
      </c>
      <c r="O57" s="85" t="s">
        <v>819</v>
      </c>
      <c r="P57" s="354">
        <v>1</v>
      </c>
      <c r="Q57" s="353">
        <v>27</v>
      </c>
      <c r="R57" s="22"/>
      <c r="S57" s="18"/>
      <c r="T57" s="20"/>
      <c r="U57" s="344">
        <f t="shared" ref="U57:U82" si="3">U56+1</f>
        <v>2</v>
      </c>
      <c r="V57" s="333" t="s">
        <v>902</v>
      </c>
      <c r="W57" s="333">
        <v>3</v>
      </c>
      <c r="X57" s="333">
        <v>70</v>
      </c>
      <c r="Y57" s="333">
        <v>0</v>
      </c>
      <c r="Z57" s="335">
        <f t="shared" si="2"/>
        <v>73</v>
      </c>
      <c r="AA57" s="18"/>
      <c r="AB57" s="17"/>
      <c r="AC57" s="23"/>
      <c r="AD57" s="941"/>
      <c r="AE57" s="944"/>
      <c r="AF57" s="498"/>
      <c r="AG57" s="498"/>
      <c r="AH57" s="498"/>
      <c r="AI57" s="498"/>
      <c r="AJ57" s="498"/>
      <c r="AK57" s="498"/>
      <c r="AL57" s="498"/>
      <c r="AM57" s="498"/>
      <c r="AN57" s="498"/>
      <c r="AO57" s="498"/>
      <c r="AP57" s="498"/>
      <c r="AQ57" s="498"/>
      <c r="AR57" s="498"/>
      <c r="AS57" s="498"/>
      <c r="AT57" s="498"/>
      <c r="AU57" s="498"/>
      <c r="AV57" s="922"/>
    </row>
    <row r="58" spans="1:48">
      <c r="A58" s="23"/>
      <c r="B58" s="22" t="s">
        <v>8</v>
      </c>
      <c r="C58" s="62" t="s">
        <v>913</v>
      </c>
      <c r="D58" s="18"/>
      <c r="E58" s="18"/>
      <c r="F58" s="917"/>
      <c r="G58" s="18"/>
      <c r="H58" s="18"/>
      <c r="I58" s="917"/>
      <c r="J58" s="919"/>
      <c r="K58" s="922"/>
      <c r="L58" s="932"/>
      <c r="M58" s="935"/>
      <c r="N58" s="18" t="s">
        <v>12</v>
      </c>
      <c r="O58" s="85" t="s">
        <v>52</v>
      </c>
      <c r="P58" s="354">
        <v>1</v>
      </c>
      <c r="Q58" s="353">
        <v>8.91</v>
      </c>
      <c r="R58" s="22"/>
      <c r="S58" s="18"/>
      <c r="T58" s="20"/>
      <c r="U58" s="344">
        <f t="shared" si="3"/>
        <v>3</v>
      </c>
      <c r="V58" s="333" t="s">
        <v>137</v>
      </c>
      <c r="W58" s="333">
        <v>1</v>
      </c>
      <c r="X58" s="333">
        <v>0</v>
      </c>
      <c r="Y58" s="333">
        <v>0</v>
      </c>
      <c r="Z58" s="335">
        <f t="shared" si="2"/>
        <v>1</v>
      </c>
      <c r="AA58" s="18"/>
      <c r="AB58" s="17"/>
      <c r="AC58" s="23"/>
      <c r="AD58" s="941"/>
      <c r="AE58" s="944"/>
      <c r="AF58" s="498"/>
      <c r="AG58" s="498"/>
      <c r="AH58" s="498"/>
      <c r="AI58" s="498"/>
      <c r="AJ58" s="498"/>
      <c r="AK58" s="498"/>
      <c r="AL58" s="498"/>
      <c r="AM58" s="498"/>
      <c r="AN58" s="498"/>
      <c r="AO58" s="498"/>
      <c r="AP58" s="498"/>
      <c r="AQ58" s="498"/>
      <c r="AR58" s="498"/>
      <c r="AS58" s="498"/>
      <c r="AT58" s="498"/>
      <c r="AU58" s="498"/>
      <c r="AV58" s="922"/>
    </row>
    <row r="59" spans="1:48">
      <c r="A59" s="23"/>
      <c r="B59" s="22"/>
      <c r="C59" s="30"/>
      <c r="D59" s="18"/>
      <c r="E59" s="18"/>
      <c r="F59" s="917"/>
      <c r="G59" s="18"/>
      <c r="H59" s="18"/>
      <c r="I59" s="917"/>
      <c r="J59" s="919"/>
      <c r="K59" s="922"/>
      <c r="L59" s="932"/>
      <c r="M59" s="935"/>
      <c r="N59" s="18"/>
      <c r="O59" s="85"/>
      <c r="P59" s="354"/>
      <c r="Q59" s="353"/>
      <c r="R59" s="22"/>
      <c r="S59" s="18"/>
      <c r="T59" s="20"/>
      <c r="U59" s="344">
        <f t="shared" si="3"/>
        <v>4</v>
      </c>
      <c r="V59" s="333" t="s">
        <v>912</v>
      </c>
      <c r="W59" s="333">
        <v>2</v>
      </c>
      <c r="X59" s="333">
        <v>0</v>
      </c>
      <c r="Y59" s="333">
        <v>0</v>
      </c>
      <c r="Z59" s="335">
        <f t="shared" si="2"/>
        <v>2</v>
      </c>
      <c r="AA59" s="18"/>
      <c r="AB59" s="17"/>
      <c r="AC59" s="23"/>
      <c r="AD59" s="941"/>
      <c r="AE59" s="944"/>
      <c r="AF59" s="498"/>
      <c r="AG59" s="498"/>
      <c r="AH59" s="498"/>
      <c r="AI59" s="498"/>
      <c r="AJ59" s="498"/>
      <c r="AK59" s="498"/>
      <c r="AL59" s="498"/>
      <c r="AM59" s="498"/>
      <c r="AN59" s="498"/>
      <c r="AO59" s="498"/>
      <c r="AP59" s="498"/>
      <c r="AQ59" s="498"/>
      <c r="AR59" s="498"/>
      <c r="AS59" s="498"/>
      <c r="AT59" s="498"/>
      <c r="AU59" s="498"/>
      <c r="AV59" s="922"/>
    </row>
    <row r="60" spans="1:48">
      <c r="A60" s="23"/>
      <c r="B60" s="22"/>
      <c r="C60" s="30"/>
      <c r="D60" s="18"/>
      <c r="E60" s="18"/>
      <c r="F60" s="917"/>
      <c r="G60" s="18"/>
      <c r="H60" s="18"/>
      <c r="I60" s="917"/>
      <c r="J60" s="919"/>
      <c r="K60" s="922"/>
      <c r="L60" s="932"/>
      <c r="M60" s="935"/>
      <c r="N60" s="18"/>
      <c r="O60" s="85"/>
      <c r="P60" s="354"/>
      <c r="Q60" s="353"/>
      <c r="R60" s="22"/>
      <c r="S60" s="18"/>
      <c r="T60" s="20"/>
      <c r="U60" s="344">
        <f t="shared" si="3"/>
        <v>5</v>
      </c>
      <c r="V60" s="333" t="s">
        <v>268</v>
      </c>
      <c r="W60" s="333">
        <v>2</v>
      </c>
      <c r="X60" s="333">
        <v>0</v>
      </c>
      <c r="Y60" s="333">
        <v>0</v>
      </c>
      <c r="Z60" s="335">
        <f t="shared" si="2"/>
        <v>2</v>
      </c>
      <c r="AA60" s="18"/>
      <c r="AB60" s="17"/>
      <c r="AC60" s="23"/>
      <c r="AD60" s="941"/>
      <c r="AE60" s="944"/>
      <c r="AF60" s="498"/>
      <c r="AG60" s="498"/>
      <c r="AH60" s="498"/>
      <c r="AI60" s="498"/>
      <c r="AJ60" s="498"/>
      <c r="AK60" s="498"/>
      <c r="AL60" s="498"/>
      <c r="AM60" s="498"/>
      <c r="AN60" s="498"/>
      <c r="AO60" s="498"/>
      <c r="AP60" s="498"/>
      <c r="AQ60" s="498"/>
      <c r="AR60" s="498"/>
      <c r="AS60" s="498"/>
      <c r="AT60" s="498"/>
      <c r="AU60" s="498"/>
      <c r="AV60" s="922"/>
    </row>
    <row r="61" spans="1:48">
      <c r="A61" s="23"/>
      <c r="B61" s="22"/>
      <c r="C61" s="30"/>
      <c r="D61" s="18"/>
      <c r="E61" s="18"/>
      <c r="F61" s="917"/>
      <c r="G61" s="18"/>
      <c r="H61" s="18"/>
      <c r="I61" s="917"/>
      <c r="J61" s="919"/>
      <c r="K61" s="922"/>
      <c r="L61" s="932"/>
      <c r="M61" s="935"/>
      <c r="N61" s="18"/>
      <c r="O61" s="470"/>
      <c r="P61" s="447"/>
      <c r="Q61" s="451"/>
      <c r="R61" s="22"/>
      <c r="S61" s="18"/>
      <c r="T61" s="20"/>
      <c r="U61" s="344">
        <f t="shared" si="3"/>
        <v>6</v>
      </c>
      <c r="V61" s="333" t="s">
        <v>139</v>
      </c>
      <c r="W61" s="333">
        <v>0</v>
      </c>
      <c r="X61" s="333">
        <v>10</v>
      </c>
      <c r="Y61" s="333">
        <v>0</v>
      </c>
      <c r="Z61" s="335">
        <f t="shared" si="2"/>
        <v>10</v>
      </c>
      <c r="AA61" s="18"/>
      <c r="AB61" s="17"/>
      <c r="AC61" s="23"/>
      <c r="AD61" s="941"/>
      <c r="AE61" s="944"/>
      <c r="AF61" s="498"/>
      <c r="AG61" s="498"/>
      <c r="AH61" s="498"/>
      <c r="AI61" s="498"/>
      <c r="AJ61" s="498"/>
      <c r="AK61" s="498"/>
      <c r="AL61" s="498"/>
      <c r="AM61" s="498"/>
      <c r="AN61" s="498"/>
      <c r="AO61" s="498"/>
      <c r="AP61" s="498"/>
      <c r="AQ61" s="498"/>
      <c r="AR61" s="498"/>
      <c r="AS61" s="498"/>
      <c r="AT61" s="498"/>
      <c r="AU61" s="498"/>
      <c r="AV61" s="922"/>
    </row>
    <row r="62" spans="1:48">
      <c r="A62" s="23"/>
      <c r="B62" s="22"/>
      <c r="C62" s="30"/>
      <c r="D62" s="18"/>
      <c r="E62" s="18"/>
      <c r="F62" s="917"/>
      <c r="G62" s="18"/>
      <c r="H62" s="18"/>
      <c r="I62" s="917"/>
      <c r="J62" s="919"/>
      <c r="K62" s="922"/>
      <c r="L62" s="932"/>
      <c r="M62" s="935"/>
      <c r="N62" s="18"/>
      <c r="O62" s="85"/>
      <c r="P62" s="447"/>
      <c r="Q62" s="451"/>
      <c r="R62" s="22"/>
      <c r="S62" s="18"/>
      <c r="T62" s="20"/>
      <c r="U62" s="344">
        <f t="shared" si="3"/>
        <v>7</v>
      </c>
      <c r="V62" s="333" t="s">
        <v>34</v>
      </c>
      <c r="W62" s="333">
        <v>1</v>
      </c>
      <c r="X62" s="333">
        <v>0</v>
      </c>
      <c r="Y62" s="333">
        <v>0</v>
      </c>
      <c r="Z62" s="335">
        <f t="shared" si="2"/>
        <v>1</v>
      </c>
      <c r="AA62" s="18"/>
      <c r="AB62" s="17"/>
      <c r="AC62" s="23"/>
      <c r="AD62" s="941"/>
      <c r="AE62" s="944"/>
      <c r="AF62" s="498"/>
      <c r="AG62" s="498"/>
      <c r="AH62" s="498"/>
      <c r="AI62" s="498"/>
      <c r="AJ62" s="498"/>
      <c r="AK62" s="498"/>
      <c r="AL62" s="498"/>
      <c r="AM62" s="498"/>
      <c r="AN62" s="498"/>
      <c r="AO62" s="498"/>
      <c r="AP62" s="498"/>
      <c r="AQ62" s="498"/>
      <c r="AR62" s="498"/>
      <c r="AS62" s="498"/>
      <c r="AT62" s="498"/>
      <c r="AU62" s="498"/>
      <c r="AV62" s="922"/>
    </row>
    <row r="63" spans="1:48">
      <c r="A63" s="23"/>
      <c r="B63" s="22"/>
      <c r="C63" s="30"/>
      <c r="D63" s="18"/>
      <c r="E63" s="18"/>
      <c r="F63" s="917"/>
      <c r="G63" s="18"/>
      <c r="H63" s="18"/>
      <c r="I63" s="917"/>
      <c r="J63" s="919"/>
      <c r="K63" s="922"/>
      <c r="L63" s="932"/>
      <c r="M63" s="935"/>
      <c r="N63" s="18"/>
      <c r="O63" s="85"/>
      <c r="P63" s="354"/>
      <c r="Q63" s="353"/>
      <c r="R63" s="22"/>
      <c r="S63" s="18"/>
      <c r="T63" s="20"/>
      <c r="U63" s="344">
        <f t="shared" si="3"/>
        <v>8</v>
      </c>
      <c r="V63" s="333" t="s">
        <v>144</v>
      </c>
      <c r="W63" s="333">
        <v>0</v>
      </c>
      <c r="X63" s="333">
        <v>7</v>
      </c>
      <c r="Y63" s="333">
        <v>0</v>
      </c>
      <c r="Z63" s="335">
        <f t="shared" si="2"/>
        <v>7</v>
      </c>
      <c r="AA63" s="18"/>
      <c r="AB63" s="17"/>
      <c r="AC63" s="23"/>
      <c r="AD63" s="941"/>
      <c r="AE63" s="944"/>
      <c r="AF63" s="498"/>
      <c r="AG63" s="498"/>
      <c r="AH63" s="498"/>
      <c r="AI63" s="498"/>
      <c r="AJ63" s="498"/>
      <c r="AK63" s="498"/>
      <c r="AL63" s="498"/>
      <c r="AM63" s="498"/>
      <c r="AN63" s="498"/>
      <c r="AO63" s="498"/>
      <c r="AP63" s="498"/>
      <c r="AQ63" s="498"/>
      <c r="AR63" s="498"/>
      <c r="AS63" s="498"/>
      <c r="AT63" s="498"/>
      <c r="AU63" s="498"/>
      <c r="AV63" s="922"/>
    </row>
    <row r="64" spans="1:48">
      <c r="A64" s="23"/>
      <c r="B64" s="22"/>
      <c r="C64" s="30"/>
      <c r="D64" s="18"/>
      <c r="E64" s="18"/>
      <c r="F64" s="917"/>
      <c r="G64" s="18"/>
      <c r="H64" s="18"/>
      <c r="I64" s="917"/>
      <c r="J64" s="919"/>
      <c r="K64" s="922"/>
      <c r="L64" s="932"/>
      <c r="M64" s="935"/>
      <c r="N64" s="18"/>
      <c r="O64" s="85"/>
      <c r="P64" s="354"/>
      <c r="Q64" s="353"/>
      <c r="R64" s="22"/>
      <c r="S64" s="18"/>
      <c r="T64" s="20"/>
      <c r="U64" s="344">
        <f t="shared" si="3"/>
        <v>9</v>
      </c>
      <c r="V64" s="333" t="s">
        <v>910</v>
      </c>
      <c r="W64" s="333">
        <v>60</v>
      </c>
      <c r="X64" s="333">
        <v>0</v>
      </c>
      <c r="Y64" s="333">
        <v>0</v>
      </c>
      <c r="Z64" s="335">
        <f t="shared" si="2"/>
        <v>60</v>
      </c>
      <c r="AA64" s="18"/>
      <c r="AB64" s="17"/>
      <c r="AC64" s="23"/>
      <c r="AD64" s="941"/>
      <c r="AE64" s="944"/>
      <c r="AF64" s="498"/>
      <c r="AG64" s="498"/>
      <c r="AH64" s="498"/>
      <c r="AI64" s="498"/>
      <c r="AJ64" s="498"/>
      <c r="AK64" s="498"/>
      <c r="AL64" s="498"/>
      <c r="AM64" s="498"/>
      <c r="AN64" s="498"/>
      <c r="AO64" s="498"/>
      <c r="AP64" s="498"/>
      <c r="AQ64" s="498"/>
      <c r="AR64" s="498"/>
      <c r="AS64" s="498"/>
      <c r="AT64" s="498"/>
      <c r="AU64" s="498"/>
      <c r="AV64" s="922"/>
    </row>
    <row r="65" spans="1:48">
      <c r="A65" s="23"/>
      <c r="B65" s="22"/>
      <c r="C65" s="30"/>
      <c r="D65" s="18"/>
      <c r="E65" s="18"/>
      <c r="F65" s="917"/>
      <c r="G65" s="18"/>
      <c r="H65" s="18"/>
      <c r="I65" s="917"/>
      <c r="J65" s="919"/>
      <c r="K65" s="922"/>
      <c r="L65" s="932"/>
      <c r="M65" s="935"/>
      <c r="N65" s="18"/>
      <c r="O65" s="85"/>
      <c r="P65" s="354"/>
      <c r="Q65" s="353"/>
      <c r="R65" s="22"/>
      <c r="S65" s="18"/>
      <c r="T65" s="20"/>
      <c r="U65" s="344">
        <f t="shared" si="3"/>
        <v>10</v>
      </c>
      <c r="V65" s="333" t="s">
        <v>48</v>
      </c>
      <c r="W65" s="333">
        <v>17</v>
      </c>
      <c r="X65" s="333">
        <v>10</v>
      </c>
      <c r="Y65" s="333">
        <v>0</v>
      </c>
      <c r="Z65" s="335">
        <f t="shared" si="2"/>
        <v>27</v>
      </c>
      <c r="AA65" s="18"/>
      <c r="AB65" s="17"/>
      <c r="AC65" s="23"/>
      <c r="AD65" s="941"/>
      <c r="AE65" s="944"/>
      <c r="AF65" s="498"/>
      <c r="AG65" s="498"/>
      <c r="AH65" s="498"/>
      <c r="AI65" s="498"/>
      <c r="AJ65" s="498"/>
      <c r="AK65" s="498"/>
      <c r="AL65" s="498"/>
      <c r="AM65" s="498"/>
      <c r="AN65" s="498"/>
      <c r="AO65" s="498"/>
      <c r="AP65" s="498"/>
      <c r="AQ65" s="498"/>
      <c r="AR65" s="498"/>
      <c r="AS65" s="498"/>
      <c r="AT65" s="498"/>
      <c r="AU65" s="498"/>
      <c r="AV65" s="922"/>
    </row>
    <row r="66" spans="1:48">
      <c r="A66" s="23"/>
      <c r="B66" s="22"/>
      <c r="C66" s="30"/>
      <c r="D66" s="18"/>
      <c r="E66" s="18"/>
      <c r="F66" s="917"/>
      <c r="G66" s="18"/>
      <c r="H66" s="18"/>
      <c r="I66" s="917"/>
      <c r="J66" s="919"/>
      <c r="K66" s="922"/>
      <c r="L66" s="932"/>
      <c r="M66" s="935"/>
      <c r="N66" s="18"/>
      <c r="O66" s="85"/>
      <c r="P66" s="354"/>
      <c r="Q66" s="353"/>
      <c r="R66" s="22"/>
      <c r="S66" s="18"/>
      <c r="T66" s="20"/>
      <c r="U66" s="344">
        <f t="shared" si="3"/>
        <v>11</v>
      </c>
      <c r="V66" s="333" t="s">
        <v>909</v>
      </c>
      <c r="W66" s="333">
        <v>100</v>
      </c>
      <c r="X66" s="333">
        <v>0</v>
      </c>
      <c r="Y66" s="333">
        <v>0</v>
      </c>
      <c r="Z66" s="335">
        <f t="shared" si="2"/>
        <v>100</v>
      </c>
      <c r="AA66" s="18"/>
      <c r="AB66" s="17"/>
      <c r="AC66" s="23"/>
      <c r="AD66" s="941"/>
      <c r="AE66" s="944"/>
      <c r="AF66" s="498"/>
      <c r="AG66" s="498"/>
      <c r="AH66" s="498"/>
      <c r="AI66" s="498"/>
      <c r="AJ66" s="498"/>
      <c r="AK66" s="498"/>
      <c r="AL66" s="498"/>
      <c r="AM66" s="498"/>
      <c r="AN66" s="498"/>
      <c r="AO66" s="498"/>
      <c r="AP66" s="498"/>
      <c r="AQ66" s="498"/>
      <c r="AR66" s="498"/>
      <c r="AS66" s="498"/>
      <c r="AT66" s="498"/>
      <c r="AU66" s="498"/>
      <c r="AV66" s="922"/>
    </row>
    <row r="67" spans="1:48">
      <c r="A67" s="23"/>
      <c r="B67" s="22"/>
      <c r="C67" s="30"/>
      <c r="D67" s="18"/>
      <c r="E67" s="18"/>
      <c r="F67" s="917"/>
      <c r="G67" s="18"/>
      <c r="H67" s="18"/>
      <c r="I67" s="917"/>
      <c r="J67" s="919"/>
      <c r="K67" s="922"/>
      <c r="L67" s="932"/>
      <c r="M67" s="935"/>
      <c r="N67" s="18"/>
      <c r="O67" s="85"/>
      <c r="P67" s="447"/>
      <c r="Q67" s="353"/>
      <c r="R67" s="22"/>
      <c r="S67" s="18"/>
      <c r="T67" s="20"/>
      <c r="U67" s="344">
        <f t="shared" si="3"/>
        <v>12</v>
      </c>
      <c r="V67" s="333" t="s">
        <v>86</v>
      </c>
      <c r="W67" s="333">
        <v>0</v>
      </c>
      <c r="X67" s="333">
        <v>100</v>
      </c>
      <c r="Y67" s="333">
        <v>0</v>
      </c>
      <c r="Z67" s="335">
        <f t="shared" si="2"/>
        <v>100</v>
      </c>
      <c r="AA67" s="18"/>
      <c r="AB67" s="17"/>
      <c r="AC67" s="23"/>
      <c r="AD67" s="941"/>
      <c r="AE67" s="944"/>
      <c r="AF67" s="498"/>
      <c r="AG67" s="498"/>
      <c r="AH67" s="498"/>
      <c r="AI67" s="498"/>
      <c r="AJ67" s="498"/>
      <c r="AK67" s="498"/>
      <c r="AL67" s="498"/>
      <c r="AM67" s="498"/>
      <c r="AN67" s="498"/>
      <c r="AO67" s="498"/>
      <c r="AP67" s="498"/>
      <c r="AQ67" s="498"/>
      <c r="AR67" s="498"/>
      <c r="AS67" s="498"/>
      <c r="AT67" s="498"/>
      <c r="AU67" s="498"/>
      <c r="AV67" s="922"/>
    </row>
    <row r="68" spans="1:48">
      <c r="A68" s="23"/>
      <c r="B68" s="466"/>
      <c r="C68" s="467"/>
      <c r="D68" s="18"/>
      <c r="E68" s="24"/>
      <c r="F68" s="917"/>
      <c r="G68" s="18" t="s">
        <v>908</v>
      </c>
      <c r="H68" s="21"/>
      <c r="I68" s="917"/>
      <c r="J68" s="919"/>
      <c r="K68" s="922"/>
      <c r="L68" s="932"/>
      <c r="M68" s="935"/>
      <c r="N68" s="18"/>
      <c r="O68" s="24"/>
      <c r="P68" s="23"/>
      <c r="Q68" s="353"/>
      <c r="R68" s="78"/>
      <c r="S68" s="17"/>
      <c r="T68" s="20"/>
      <c r="U68" s="344">
        <f t="shared" si="3"/>
        <v>13</v>
      </c>
      <c r="V68" s="333" t="s">
        <v>32</v>
      </c>
      <c r="W68" s="333">
        <v>3</v>
      </c>
      <c r="X68" s="333">
        <v>0</v>
      </c>
      <c r="Y68" s="333">
        <v>0</v>
      </c>
      <c r="Z68" s="335">
        <f t="shared" si="2"/>
        <v>3</v>
      </c>
      <c r="AA68" s="18"/>
      <c r="AB68" s="17"/>
      <c r="AC68" s="447"/>
      <c r="AD68" s="941"/>
      <c r="AE68" s="944"/>
      <c r="AF68" s="498"/>
      <c r="AG68" s="498"/>
      <c r="AH68" s="498"/>
      <c r="AI68" s="498"/>
      <c r="AJ68" s="498"/>
      <c r="AK68" s="498"/>
      <c r="AL68" s="498"/>
      <c r="AM68" s="498"/>
      <c r="AN68" s="498"/>
      <c r="AO68" s="498"/>
      <c r="AP68" s="498"/>
      <c r="AQ68" s="498"/>
      <c r="AR68" s="498"/>
      <c r="AS68" s="498"/>
      <c r="AT68" s="498"/>
      <c r="AU68" s="498"/>
      <c r="AV68" s="922"/>
    </row>
    <row r="69" spans="1:48">
      <c r="A69" s="23"/>
      <c r="B69" s="466"/>
      <c r="C69" s="467"/>
      <c r="D69" s="18"/>
      <c r="E69" s="24"/>
      <c r="F69" s="917"/>
      <c r="G69" s="18"/>
      <c r="H69" s="21"/>
      <c r="I69" s="917"/>
      <c r="J69" s="919"/>
      <c r="K69" s="922"/>
      <c r="L69" s="932"/>
      <c r="M69" s="935"/>
      <c r="N69" s="18"/>
      <c r="O69" s="24"/>
      <c r="P69" s="23"/>
      <c r="Q69" s="21"/>
      <c r="R69" s="78"/>
      <c r="S69" s="17"/>
      <c r="T69" s="20"/>
      <c r="U69" s="344">
        <f t="shared" si="3"/>
        <v>14</v>
      </c>
      <c r="V69" s="333" t="s">
        <v>4</v>
      </c>
      <c r="W69" s="333">
        <v>200</v>
      </c>
      <c r="X69" s="333">
        <v>0</v>
      </c>
      <c r="Y69" s="333">
        <v>0</v>
      </c>
      <c r="Z69" s="335">
        <f t="shared" si="2"/>
        <v>200</v>
      </c>
      <c r="AA69" s="18"/>
      <c r="AB69" s="17"/>
      <c r="AC69" s="447"/>
      <c r="AD69" s="941"/>
      <c r="AE69" s="944"/>
      <c r="AF69" s="498"/>
      <c r="AG69" s="498"/>
      <c r="AH69" s="498"/>
      <c r="AI69" s="498"/>
      <c r="AJ69" s="498"/>
      <c r="AK69" s="498"/>
      <c r="AL69" s="498"/>
      <c r="AM69" s="498"/>
      <c r="AN69" s="498"/>
      <c r="AO69" s="498"/>
      <c r="AP69" s="498"/>
      <c r="AQ69" s="498"/>
      <c r="AR69" s="498"/>
      <c r="AS69" s="498"/>
      <c r="AT69" s="498"/>
      <c r="AU69" s="498"/>
      <c r="AV69" s="922"/>
    </row>
    <row r="70" spans="1:48">
      <c r="A70" s="23"/>
      <c r="B70" s="22"/>
      <c r="C70" s="25"/>
      <c r="D70" s="18"/>
      <c r="E70" s="24"/>
      <c r="F70" s="917"/>
      <c r="G70" s="18"/>
      <c r="H70" s="21"/>
      <c r="I70" s="917"/>
      <c r="J70" s="919"/>
      <c r="K70" s="922"/>
      <c r="L70" s="932"/>
      <c r="M70" s="935"/>
      <c r="N70" s="18"/>
      <c r="O70" s="24"/>
      <c r="P70" s="23"/>
      <c r="Q70" s="21"/>
      <c r="R70" s="78"/>
      <c r="S70" s="17"/>
      <c r="T70" s="20"/>
      <c r="U70" s="344">
        <f t="shared" si="3"/>
        <v>15</v>
      </c>
      <c r="V70" s="333" t="s">
        <v>907</v>
      </c>
      <c r="W70" s="333">
        <v>60</v>
      </c>
      <c r="X70" s="333">
        <v>0</v>
      </c>
      <c r="Y70" s="333">
        <v>0</v>
      </c>
      <c r="Z70" s="335">
        <f t="shared" si="2"/>
        <v>60</v>
      </c>
      <c r="AA70" s="18"/>
      <c r="AB70" s="17"/>
      <c r="AC70" s="447"/>
      <c r="AD70" s="941"/>
      <c r="AE70" s="944"/>
      <c r="AF70" s="498"/>
      <c r="AG70" s="498"/>
      <c r="AH70" s="498"/>
      <c r="AI70" s="498"/>
      <c r="AJ70" s="498"/>
      <c r="AK70" s="498"/>
      <c r="AL70" s="498"/>
      <c r="AM70" s="498"/>
      <c r="AN70" s="498"/>
      <c r="AO70" s="498"/>
      <c r="AP70" s="498"/>
      <c r="AQ70" s="498"/>
      <c r="AR70" s="498"/>
      <c r="AS70" s="498"/>
      <c r="AT70" s="498"/>
      <c r="AU70" s="498"/>
      <c r="AV70" s="922"/>
    </row>
    <row r="71" spans="1:48">
      <c r="A71" s="23"/>
      <c r="B71" s="22"/>
      <c r="C71" s="25"/>
      <c r="D71" s="18"/>
      <c r="E71" s="24"/>
      <c r="F71" s="917"/>
      <c r="G71" s="18"/>
      <c r="H71" s="21"/>
      <c r="I71" s="917"/>
      <c r="J71" s="919"/>
      <c r="K71" s="922"/>
      <c r="L71" s="932"/>
      <c r="M71" s="935"/>
      <c r="N71" s="18"/>
      <c r="O71" s="24"/>
      <c r="P71" s="23"/>
      <c r="Q71" s="21"/>
      <c r="R71" s="78"/>
      <c r="S71" s="17"/>
      <c r="T71" s="20"/>
      <c r="U71" s="344">
        <f t="shared" si="3"/>
        <v>16</v>
      </c>
      <c r="V71" s="333" t="s">
        <v>844</v>
      </c>
      <c r="W71" s="333">
        <v>11</v>
      </c>
      <c r="X71" s="333">
        <v>0</v>
      </c>
      <c r="Y71" s="333">
        <v>3</v>
      </c>
      <c r="Z71" s="335">
        <f t="shared" si="2"/>
        <v>14</v>
      </c>
      <c r="AA71" s="18"/>
      <c r="AB71" s="17"/>
      <c r="AC71" s="447"/>
      <c r="AD71" s="941"/>
      <c r="AE71" s="944"/>
      <c r="AF71" s="498"/>
      <c r="AG71" s="498"/>
      <c r="AH71" s="498"/>
      <c r="AI71" s="498"/>
      <c r="AJ71" s="498"/>
      <c r="AK71" s="498">
        <v>5000</v>
      </c>
      <c r="AL71" s="498"/>
      <c r="AM71" s="498"/>
      <c r="AN71" s="498"/>
      <c r="AO71" s="498"/>
      <c r="AP71" s="498"/>
      <c r="AQ71" s="498"/>
      <c r="AR71" s="498"/>
      <c r="AS71" s="498"/>
      <c r="AT71" s="498"/>
      <c r="AU71" s="498"/>
      <c r="AV71" s="922"/>
    </row>
    <row r="72" spans="1:48">
      <c r="A72" s="23"/>
      <c r="B72" s="22"/>
      <c r="C72" s="25"/>
      <c r="D72" s="18"/>
      <c r="E72" s="24"/>
      <c r="F72" s="917"/>
      <c r="G72" s="18"/>
      <c r="H72" s="21"/>
      <c r="I72" s="917"/>
      <c r="J72" s="919"/>
      <c r="K72" s="922"/>
      <c r="L72" s="932"/>
      <c r="M72" s="935"/>
      <c r="N72" s="18"/>
      <c r="O72" s="24"/>
      <c r="P72" s="23"/>
      <c r="Q72" s="21"/>
      <c r="R72" s="78"/>
      <c r="S72" s="17"/>
      <c r="T72" s="20"/>
      <c r="U72" s="344">
        <f t="shared" si="3"/>
        <v>17</v>
      </c>
      <c r="V72" s="333" t="s">
        <v>143</v>
      </c>
      <c r="W72" s="333">
        <v>0</v>
      </c>
      <c r="X72" s="333">
        <v>5</v>
      </c>
      <c r="Y72" s="333">
        <v>0</v>
      </c>
      <c r="Z72" s="335">
        <f t="shared" si="2"/>
        <v>5</v>
      </c>
      <c r="AA72" s="18"/>
      <c r="AB72" s="17"/>
      <c r="AC72" s="447"/>
      <c r="AD72" s="941"/>
      <c r="AE72" s="944"/>
      <c r="AF72" s="498"/>
      <c r="AG72" s="498"/>
      <c r="AH72" s="498"/>
      <c r="AI72" s="498"/>
      <c r="AJ72" s="498"/>
      <c r="AK72" s="498"/>
      <c r="AL72" s="498"/>
      <c r="AM72" s="498"/>
      <c r="AN72" s="498"/>
      <c r="AO72" s="498"/>
      <c r="AP72" s="498"/>
      <c r="AQ72" s="498"/>
      <c r="AR72" s="498"/>
      <c r="AS72" s="498"/>
      <c r="AT72" s="498"/>
      <c r="AU72" s="498"/>
      <c r="AV72" s="922"/>
    </row>
    <row r="73" spans="1:48">
      <c r="A73" s="23"/>
      <c r="B73" s="22"/>
      <c r="C73" s="25"/>
      <c r="D73" s="18"/>
      <c r="E73" s="24"/>
      <c r="F73" s="917"/>
      <c r="G73" s="18"/>
      <c r="H73" s="21"/>
      <c r="I73" s="917"/>
      <c r="J73" s="919"/>
      <c r="K73" s="922"/>
      <c r="L73" s="932"/>
      <c r="M73" s="935"/>
      <c r="N73" s="18"/>
      <c r="O73" s="24"/>
      <c r="P73" s="23"/>
      <c r="Q73" s="21"/>
      <c r="R73" s="78"/>
      <c r="S73" s="17"/>
      <c r="T73" s="20"/>
      <c r="U73" s="344">
        <f t="shared" si="3"/>
        <v>18</v>
      </c>
      <c r="V73" s="333" t="s">
        <v>835</v>
      </c>
      <c r="W73" s="333">
        <v>3</v>
      </c>
      <c r="X73" s="333">
        <v>0</v>
      </c>
      <c r="Y73" s="333">
        <v>0</v>
      </c>
      <c r="Z73" s="335">
        <f t="shared" si="2"/>
        <v>3</v>
      </c>
      <c r="AA73" s="18"/>
      <c r="AB73" s="17"/>
      <c r="AC73" s="447"/>
      <c r="AD73" s="941"/>
      <c r="AE73" s="944"/>
      <c r="AF73" s="498"/>
      <c r="AG73" s="498"/>
      <c r="AH73" s="498"/>
      <c r="AI73" s="498"/>
      <c r="AJ73" s="498"/>
      <c r="AK73" s="498"/>
      <c r="AL73" s="498"/>
      <c r="AM73" s="498"/>
      <c r="AN73" s="498"/>
      <c r="AO73" s="498"/>
      <c r="AP73" s="498"/>
      <c r="AQ73" s="498"/>
      <c r="AR73" s="498"/>
      <c r="AS73" s="498"/>
      <c r="AT73" s="498"/>
      <c r="AU73" s="498"/>
      <c r="AV73" s="922"/>
    </row>
    <row r="74" spans="1:48">
      <c r="A74" s="23"/>
      <c r="B74" s="22"/>
      <c r="C74" s="25"/>
      <c r="D74" s="18"/>
      <c r="E74" s="24"/>
      <c r="F74" s="917"/>
      <c r="G74" s="18"/>
      <c r="H74" s="21"/>
      <c r="I74" s="917"/>
      <c r="J74" s="919"/>
      <c r="K74" s="922"/>
      <c r="L74" s="932"/>
      <c r="M74" s="935"/>
      <c r="N74" s="18"/>
      <c r="O74" s="24"/>
      <c r="P74" s="23"/>
      <c r="Q74" s="21"/>
      <c r="R74" s="78"/>
      <c r="S74" s="17"/>
      <c r="T74" s="20"/>
      <c r="U74" s="344">
        <f t="shared" si="3"/>
        <v>19</v>
      </c>
      <c r="V74" s="333" t="s">
        <v>468</v>
      </c>
      <c r="W74" s="333">
        <v>70</v>
      </c>
      <c r="X74" s="333">
        <v>0</v>
      </c>
      <c r="Y74" s="333">
        <v>0</v>
      </c>
      <c r="Z74" s="335">
        <f t="shared" si="2"/>
        <v>70</v>
      </c>
      <c r="AA74" s="18"/>
      <c r="AB74" s="17"/>
      <c r="AC74" s="447"/>
      <c r="AD74" s="941"/>
      <c r="AE74" s="944"/>
      <c r="AF74" s="498"/>
      <c r="AG74" s="498"/>
      <c r="AH74" s="498"/>
      <c r="AI74" s="498"/>
      <c r="AJ74" s="498"/>
      <c r="AK74" s="498"/>
      <c r="AL74" s="498"/>
      <c r="AM74" s="498"/>
      <c r="AN74" s="498"/>
      <c r="AO74" s="498"/>
      <c r="AP74" s="498"/>
      <c r="AQ74" s="498"/>
      <c r="AR74" s="498"/>
      <c r="AS74" s="498"/>
      <c r="AT74" s="498"/>
      <c r="AU74" s="498"/>
      <c r="AV74" s="922"/>
    </row>
    <row r="75" spans="1:48">
      <c r="A75" s="23"/>
      <c r="B75" s="22"/>
      <c r="C75" s="25"/>
      <c r="D75" s="18"/>
      <c r="E75" s="24"/>
      <c r="F75" s="917"/>
      <c r="G75" s="18"/>
      <c r="H75" s="21"/>
      <c r="I75" s="917"/>
      <c r="J75" s="919"/>
      <c r="K75" s="922"/>
      <c r="L75" s="932"/>
      <c r="M75" s="935"/>
      <c r="N75" s="18"/>
      <c r="O75" s="24"/>
      <c r="P75" s="23"/>
      <c r="Q75" s="21"/>
      <c r="R75" s="78"/>
      <c r="S75" s="17"/>
      <c r="T75" s="20"/>
      <c r="U75" s="344">
        <f t="shared" si="3"/>
        <v>20</v>
      </c>
      <c r="V75" s="333" t="s">
        <v>390</v>
      </c>
      <c r="W75" s="333">
        <v>0</v>
      </c>
      <c r="X75" s="333">
        <v>11</v>
      </c>
      <c r="Y75" s="333">
        <v>0</v>
      </c>
      <c r="Z75" s="335">
        <f t="shared" si="2"/>
        <v>11</v>
      </c>
      <c r="AA75" s="18"/>
      <c r="AB75" s="17"/>
      <c r="AC75" s="447"/>
      <c r="AD75" s="941"/>
      <c r="AE75" s="944"/>
      <c r="AF75" s="498"/>
      <c r="AG75" s="498"/>
      <c r="AH75" s="498"/>
      <c r="AI75" s="498"/>
      <c r="AJ75" s="498"/>
      <c r="AK75" s="498"/>
      <c r="AL75" s="498"/>
      <c r="AM75" s="498"/>
      <c r="AN75" s="498"/>
      <c r="AO75" s="498"/>
      <c r="AP75" s="498"/>
      <c r="AQ75" s="498"/>
      <c r="AR75" s="498"/>
      <c r="AS75" s="498"/>
      <c r="AT75" s="498"/>
      <c r="AU75" s="498"/>
      <c r="AV75" s="922"/>
    </row>
    <row r="76" spans="1:48">
      <c r="A76" s="23"/>
      <c r="B76" s="22"/>
      <c r="C76" s="25"/>
      <c r="D76" s="18"/>
      <c r="E76" s="24"/>
      <c r="F76" s="917"/>
      <c r="G76" s="18"/>
      <c r="H76" s="21"/>
      <c r="I76" s="917"/>
      <c r="J76" s="919"/>
      <c r="K76" s="922"/>
      <c r="L76" s="932"/>
      <c r="M76" s="935"/>
      <c r="N76" s="18"/>
      <c r="O76" s="24"/>
      <c r="P76" s="23"/>
      <c r="Q76" s="21"/>
      <c r="R76" s="78"/>
      <c r="S76" s="17"/>
      <c r="T76" s="20"/>
      <c r="U76" s="344">
        <f t="shared" si="3"/>
        <v>21</v>
      </c>
      <c r="V76" s="333" t="s">
        <v>219</v>
      </c>
      <c r="W76" s="333">
        <v>0</v>
      </c>
      <c r="X76" s="333">
        <v>6</v>
      </c>
      <c r="Y76" s="333">
        <v>0</v>
      </c>
      <c r="Z76" s="335">
        <f t="shared" si="2"/>
        <v>6</v>
      </c>
      <c r="AA76" s="18"/>
      <c r="AB76" s="17"/>
      <c r="AC76" s="447"/>
      <c r="AD76" s="941"/>
      <c r="AE76" s="944"/>
      <c r="AF76" s="498"/>
      <c r="AG76" s="498"/>
      <c r="AH76" s="498"/>
      <c r="AI76" s="498"/>
      <c r="AJ76" s="498"/>
      <c r="AK76" s="498"/>
      <c r="AL76" s="498"/>
      <c r="AM76" s="498"/>
      <c r="AN76" s="498"/>
      <c r="AO76" s="498"/>
      <c r="AP76" s="498"/>
      <c r="AQ76" s="498"/>
      <c r="AR76" s="498"/>
      <c r="AS76" s="498"/>
      <c r="AT76" s="498"/>
      <c r="AU76" s="498"/>
      <c r="AV76" s="922"/>
    </row>
    <row r="77" spans="1:48">
      <c r="A77" s="23"/>
      <c r="B77" s="22"/>
      <c r="C77" s="25"/>
      <c r="D77" s="18"/>
      <c r="E77" s="24"/>
      <c r="F77" s="917"/>
      <c r="G77" s="18"/>
      <c r="H77" s="21"/>
      <c r="I77" s="917"/>
      <c r="J77" s="919"/>
      <c r="K77" s="922"/>
      <c r="L77" s="932"/>
      <c r="M77" s="935"/>
      <c r="N77" s="18"/>
      <c r="O77" s="24"/>
      <c r="P77" s="23"/>
      <c r="Q77" s="21"/>
      <c r="R77" s="78"/>
      <c r="S77" s="17"/>
      <c r="T77" s="20"/>
      <c r="U77" s="344">
        <f t="shared" si="3"/>
        <v>22</v>
      </c>
      <c r="V77" s="333" t="s">
        <v>221</v>
      </c>
      <c r="W77" s="333">
        <v>0</v>
      </c>
      <c r="X77" s="333">
        <v>40</v>
      </c>
      <c r="Y77" s="333">
        <v>0</v>
      </c>
      <c r="Z77" s="335">
        <f t="shared" si="2"/>
        <v>40</v>
      </c>
      <c r="AA77" s="18"/>
      <c r="AB77" s="17"/>
      <c r="AC77" s="447"/>
      <c r="AD77" s="941"/>
      <c r="AE77" s="944"/>
      <c r="AF77" s="498"/>
      <c r="AG77" s="498"/>
      <c r="AH77" s="498"/>
      <c r="AI77" s="498"/>
      <c r="AJ77" s="498"/>
      <c r="AK77" s="498"/>
      <c r="AL77" s="498"/>
      <c r="AM77" s="498"/>
      <c r="AN77" s="498"/>
      <c r="AO77" s="498"/>
      <c r="AP77" s="498"/>
      <c r="AQ77" s="498"/>
      <c r="AR77" s="498"/>
      <c r="AS77" s="498"/>
      <c r="AT77" s="498"/>
      <c r="AU77" s="498"/>
      <c r="AV77" s="922"/>
    </row>
    <row r="78" spans="1:48">
      <c r="A78" s="23"/>
      <c r="B78" s="22"/>
      <c r="C78" s="25"/>
      <c r="D78" s="18"/>
      <c r="E78" s="24"/>
      <c r="F78" s="917"/>
      <c r="G78" s="18"/>
      <c r="H78" s="21"/>
      <c r="I78" s="917"/>
      <c r="J78" s="919"/>
      <c r="K78" s="922"/>
      <c r="L78" s="932"/>
      <c r="M78" s="935"/>
      <c r="N78" s="18"/>
      <c r="O78" s="24"/>
      <c r="P78" s="23"/>
      <c r="Q78" s="21"/>
      <c r="R78" s="78"/>
      <c r="S78" s="17"/>
      <c r="T78" s="20"/>
      <c r="U78" s="344">
        <f t="shared" si="3"/>
        <v>23</v>
      </c>
      <c r="V78" s="333" t="s">
        <v>255</v>
      </c>
      <c r="W78" s="333">
        <v>30</v>
      </c>
      <c r="X78" s="333">
        <v>0</v>
      </c>
      <c r="Y78" s="333">
        <v>0</v>
      </c>
      <c r="Z78" s="335">
        <f t="shared" si="2"/>
        <v>30</v>
      </c>
      <c r="AA78" s="18"/>
      <c r="AB78" s="17"/>
      <c r="AC78" s="447"/>
      <c r="AD78" s="941"/>
      <c r="AE78" s="944"/>
      <c r="AF78" s="498"/>
      <c r="AG78" s="498"/>
      <c r="AH78" s="498"/>
      <c r="AI78" s="498"/>
      <c r="AJ78" s="498"/>
      <c r="AK78" s="498"/>
      <c r="AL78" s="498"/>
      <c r="AM78" s="498"/>
      <c r="AN78" s="498"/>
      <c r="AO78" s="498"/>
      <c r="AP78" s="498"/>
      <c r="AQ78" s="498"/>
      <c r="AR78" s="498"/>
      <c r="AS78" s="498"/>
      <c r="AT78" s="498"/>
      <c r="AU78" s="498"/>
      <c r="AV78" s="922"/>
    </row>
    <row r="79" spans="1:48">
      <c r="A79" s="23"/>
      <c r="B79" s="22"/>
      <c r="C79" s="25"/>
      <c r="D79" s="18"/>
      <c r="E79" s="24"/>
      <c r="F79" s="917"/>
      <c r="G79" s="18"/>
      <c r="H79" s="21"/>
      <c r="I79" s="917"/>
      <c r="J79" s="919"/>
      <c r="K79" s="922"/>
      <c r="L79" s="932"/>
      <c r="M79" s="935"/>
      <c r="N79" s="18"/>
      <c r="O79" s="24"/>
      <c r="P79" s="23"/>
      <c r="Q79" s="21"/>
      <c r="R79" s="78"/>
      <c r="S79" s="17"/>
      <c r="T79" s="20"/>
      <c r="U79" s="344">
        <f t="shared" si="3"/>
        <v>24</v>
      </c>
      <c r="V79" s="333" t="s">
        <v>410</v>
      </c>
      <c r="W79" s="333">
        <v>3</v>
      </c>
      <c r="X79" s="333">
        <v>0</v>
      </c>
      <c r="Y79" s="333">
        <v>0</v>
      </c>
      <c r="Z79" s="335">
        <f t="shared" si="2"/>
        <v>3</v>
      </c>
      <c r="AA79" s="18"/>
      <c r="AB79" s="17"/>
      <c r="AC79" s="447"/>
      <c r="AD79" s="941"/>
      <c r="AE79" s="944"/>
      <c r="AF79" s="498"/>
      <c r="AG79" s="498"/>
      <c r="AH79" s="498"/>
      <c r="AI79" s="498"/>
      <c r="AJ79" s="498"/>
      <c r="AK79" s="498"/>
      <c r="AL79" s="498"/>
      <c r="AM79" s="498"/>
      <c r="AN79" s="498"/>
      <c r="AO79" s="498"/>
      <c r="AP79" s="498"/>
      <c r="AQ79" s="498"/>
      <c r="AR79" s="498"/>
      <c r="AS79" s="498"/>
      <c r="AT79" s="498"/>
      <c r="AU79" s="498"/>
      <c r="AV79" s="922"/>
    </row>
    <row r="80" spans="1:48">
      <c r="A80" s="23"/>
      <c r="B80" s="22"/>
      <c r="C80" s="25"/>
      <c r="D80" s="18"/>
      <c r="E80" s="24"/>
      <c r="F80" s="917"/>
      <c r="G80" s="18"/>
      <c r="H80" s="21"/>
      <c r="I80" s="917"/>
      <c r="J80" s="919"/>
      <c r="K80" s="922"/>
      <c r="L80" s="932"/>
      <c r="M80" s="935"/>
      <c r="N80" s="18"/>
      <c r="O80" s="24"/>
      <c r="P80" s="23"/>
      <c r="Q80" s="21"/>
      <c r="R80" s="78"/>
      <c r="S80" s="17"/>
      <c r="T80" s="20"/>
      <c r="U80" s="344">
        <f t="shared" si="3"/>
        <v>25</v>
      </c>
      <c r="V80" s="333" t="s">
        <v>305</v>
      </c>
      <c r="W80" s="333">
        <v>40</v>
      </c>
      <c r="X80" s="333">
        <v>0</v>
      </c>
      <c r="Y80" s="333">
        <v>0</v>
      </c>
      <c r="Z80" s="335">
        <f t="shared" si="2"/>
        <v>40</v>
      </c>
      <c r="AA80" s="18"/>
      <c r="AB80" s="17"/>
      <c r="AC80" s="447"/>
      <c r="AD80" s="941"/>
      <c r="AE80" s="944"/>
      <c r="AF80" s="498"/>
      <c r="AG80" s="498"/>
      <c r="AH80" s="498"/>
      <c r="AI80" s="498"/>
      <c r="AJ80" s="498"/>
      <c r="AK80" s="498"/>
      <c r="AL80" s="498"/>
      <c r="AM80" s="498"/>
      <c r="AN80" s="498"/>
      <c r="AO80" s="498"/>
      <c r="AP80" s="498"/>
      <c r="AQ80" s="498"/>
      <c r="AR80" s="498"/>
      <c r="AS80" s="498"/>
      <c r="AT80" s="498"/>
      <c r="AU80" s="498"/>
      <c r="AV80" s="922"/>
    </row>
    <row r="81" spans="1:48">
      <c r="A81" s="23"/>
      <c r="B81" s="22"/>
      <c r="C81" s="25"/>
      <c r="D81" s="18"/>
      <c r="E81" s="24"/>
      <c r="F81" s="917"/>
      <c r="G81" s="18"/>
      <c r="H81" s="21"/>
      <c r="I81" s="917"/>
      <c r="J81" s="919"/>
      <c r="K81" s="922"/>
      <c r="L81" s="932"/>
      <c r="M81" s="935"/>
      <c r="N81" s="18"/>
      <c r="O81" s="24"/>
      <c r="P81" s="23"/>
      <c r="Q81" s="21"/>
      <c r="R81" s="78"/>
      <c r="S81" s="17"/>
      <c r="T81" s="20"/>
      <c r="U81" s="344">
        <f t="shared" si="3"/>
        <v>26</v>
      </c>
      <c r="V81" s="333" t="s">
        <v>322</v>
      </c>
      <c r="W81" s="333">
        <v>0</v>
      </c>
      <c r="X81" s="333">
        <v>80</v>
      </c>
      <c r="Y81" s="333">
        <v>0</v>
      </c>
      <c r="Z81" s="335">
        <f t="shared" si="2"/>
        <v>80</v>
      </c>
      <c r="AA81" s="18"/>
      <c r="AB81" s="17"/>
      <c r="AC81" s="447"/>
      <c r="AD81" s="941"/>
      <c r="AE81" s="944"/>
      <c r="AF81" s="498"/>
      <c r="AG81" s="498"/>
      <c r="AH81" s="498"/>
      <c r="AI81" s="498"/>
      <c r="AJ81" s="498"/>
      <c r="AK81" s="498"/>
      <c r="AL81" s="498"/>
      <c r="AM81" s="498"/>
      <c r="AN81" s="498"/>
      <c r="AO81" s="498"/>
      <c r="AP81" s="498"/>
      <c r="AQ81" s="498"/>
      <c r="AR81" s="498"/>
      <c r="AS81" s="498"/>
      <c r="AT81" s="498"/>
      <c r="AU81" s="498"/>
      <c r="AV81" s="922"/>
    </row>
    <row r="82" spans="1:48" ht="27.6">
      <c r="A82" s="23"/>
      <c r="B82" s="22"/>
      <c r="C82" s="25"/>
      <c r="D82" s="18"/>
      <c r="E82" s="24"/>
      <c r="F82" s="917"/>
      <c r="G82" s="18"/>
      <c r="H82" s="21"/>
      <c r="I82" s="917"/>
      <c r="J82" s="919"/>
      <c r="K82" s="922"/>
      <c r="L82" s="932"/>
      <c r="M82" s="935"/>
      <c r="N82" s="18"/>
      <c r="O82" s="24"/>
      <c r="P82" s="23"/>
      <c r="Q82" s="21"/>
      <c r="R82" s="78"/>
      <c r="S82" s="17"/>
      <c r="T82" s="20"/>
      <c r="U82" s="344">
        <f t="shared" si="3"/>
        <v>27</v>
      </c>
      <c r="V82" s="333" t="s">
        <v>906</v>
      </c>
      <c r="W82" s="333">
        <v>10</v>
      </c>
      <c r="X82" s="333">
        <v>0</v>
      </c>
      <c r="Y82" s="333">
        <v>0</v>
      </c>
      <c r="Z82" s="335">
        <f t="shared" si="2"/>
        <v>10</v>
      </c>
      <c r="AA82" s="18"/>
      <c r="AB82" s="17"/>
      <c r="AC82" s="447"/>
      <c r="AD82" s="941"/>
      <c r="AE82" s="944"/>
      <c r="AF82" s="498"/>
      <c r="AG82" s="498"/>
      <c r="AH82" s="498"/>
      <c r="AI82" s="498"/>
      <c r="AJ82" s="498"/>
      <c r="AK82" s="498"/>
      <c r="AL82" s="498"/>
      <c r="AM82" s="498"/>
      <c r="AN82" s="498"/>
      <c r="AO82" s="498"/>
      <c r="AP82" s="498"/>
      <c r="AQ82" s="498"/>
      <c r="AR82" s="498"/>
      <c r="AS82" s="498"/>
      <c r="AT82" s="498"/>
      <c r="AU82" s="498"/>
      <c r="AV82" s="922"/>
    </row>
    <row r="83" spans="1:48">
      <c r="A83" s="12"/>
      <c r="B83" s="471"/>
      <c r="C83" s="469"/>
      <c r="D83" s="7"/>
      <c r="E83" s="14"/>
      <c r="F83" s="918"/>
      <c r="G83" s="7"/>
      <c r="H83" s="10"/>
      <c r="I83" s="918"/>
      <c r="J83" s="920"/>
      <c r="K83" s="923"/>
      <c r="L83" s="933"/>
      <c r="M83" s="936"/>
      <c r="N83" s="7"/>
      <c r="O83" s="13"/>
      <c r="P83" s="12"/>
      <c r="Q83" s="10"/>
      <c r="R83" s="11"/>
      <c r="S83" s="7"/>
      <c r="T83" s="47"/>
      <c r="U83" s="472"/>
      <c r="V83" s="472"/>
      <c r="W83" s="47"/>
      <c r="X83" s="47"/>
      <c r="Y83" s="47"/>
      <c r="Z83" s="330"/>
      <c r="AA83" s="7"/>
      <c r="AB83" s="6"/>
      <c r="AC83" s="448"/>
      <c r="AD83" s="942"/>
      <c r="AE83" s="945"/>
      <c r="AF83" s="499"/>
      <c r="AG83" s="499"/>
      <c r="AH83" s="499"/>
      <c r="AI83" s="499"/>
      <c r="AJ83" s="499"/>
      <c r="AK83" s="499"/>
      <c r="AL83" s="499"/>
      <c r="AM83" s="499"/>
      <c r="AN83" s="499"/>
      <c r="AO83" s="499"/>
      <c r="AP83" s="499"/>
      <c r="AQ83" s="499"/>
      <c r="AR83" s="499"/>
      <c r="AS83" s="499"/>
      <c r="AT83" s="499"/>
      <c r="AU83" s="499"/>
      <c r="AV83" s="923"/>
    </row>
    <row r="84" spans="1:48" ht="27.6">
      <c r="A84" s="46" t="s">
        <v>694</v>
      </c>
      <c r="B84" s="40" t="s">
        <v>25</v>
      </c>
      <c r="C84" s="103" t="s">
        <v>905</v>
      </c>
      <c r="D84" s="473"/>
      <c r="E84" s="473"/>
      <c r="F84" s="1005" t="s">
        <v>904</v>
      </c>
      <c r="G84" s="43" t="s">
        <v>25</v>
      </c>
      <c r="H84" s="35" t="s">
        <v>839</v>
      </c>
      <c r="I84" s="916">
        <v>306</v>
      </c>
      <c r="J84" s="473"/>
      <c r="K84" s="1008" t="s">
        <v>649</v>
      </c>
      <c r="L84" s="473"/>
      <c r="M84" s="924" t="s">
        <v>46</v>
      </c>
      <c r="N84" s="36" t="s">
        <v>25</v>
      </c>
      <c r="O84" s="56" t="s">
        <v>873</v>
      </c>
      <c r="P84" s="359">
        <v>1</v>
      </c>
      <c r="Q84" s="358">
        <v>85.22</v>
      </c>
      <c r="R84" s="474" t="s">
        <v>25</v>
      </c>
      <c r="S84" s="475" t="s">
        <v>24</v>
      </c>
      <c r="T84" s="476">
        <v>0</v>
      </c>
      <c r="U84" s="357"/>
      <c r="V84" s="356">
        <v>0</v>
      </c>
      <c r="W84" s="356">
        <v>0</v>
      </c>
      <c r="X84" s="356">
        <v>0</v>
      </c>
      <c r="Y84" s="356">
        <v>0</v>
      </c>
      <c r="Z84" s="355">
        <v>0</v>
      </c>
      <c r="AA84" s="474"/>
      <c r="AB84" s="475"/>
      <c r="AC84" s="473"/>
      <c r="AD84" s="477"/>
      <c r="AE84" s="473"/>
      <c r="AF84" s="473"/>
      <c r="AG84" s="473"/>
      <c r="AH84" s="473"/>
      <c r="AI84" s="473"/>
      <c r="AJ84" s="473"/>
      <c r="AK84" s="473"/>
      <c r="AL84" s="473"/>
      <c r="AM84" s="473"/>
      <c r="AN84" s="473"/>
      <c r="AO84" s="473"/>
      <c r="AP84" s="473"/>
      <c r="AQ84" s="473"/>
      <c r="AR84" s="473"/>
      <c r="AS84" s="473"/>
      <c r="AT84" s="473"/>
      <c r="AU84" s="473"/>
      <c r="AV84" s="477"/>
    </row>
    <row r="85" spans="1:48">
      <c r="A85" s="466"/>
      <c r="B85" s="78" t="s">
        <v>16</v>
      </c>
      <c r="C85" s="30" t="s">
        <v>903</v>
      </c>
      <c r="D85" s="468"/>
      <c r="E85" s="468"/>
      <c r="F85" s="1006"/>
      <c r="G85" s="18" t="s">
        <v>16</v>
      </c>
      <c r="H85" s="18" t="s">
        <v>836</v>
      </c>
      <c r="I85" s="917"/>
      <c r="J85" s="468"/>
      <c r="K85" s="1006"/>
      <c r="L85" s="468"/>
      <c r="M85" s="935"/>
      <c r="N85" s="78" t="s">
        <v>16</v>
      </c>
      <c r="O85" s="17" t="s">
        <v>323</v>
      </c>
      <c r="P85" s="354">
        <v>1</v>
      </c>
      <c r="Q85" s="353">
        <v>15</v>
      </c>
      <c r="R85" s="466"/>
      <c r="S85" s="467"/>
      <c r="T85" s="466"/>
      <c r="U85" s="336"/>
      <c r="V85" s="333"/>
      <c r="W85" s="333"/>
      <c r="X85" s="333"/>
      <c r="Y85" s="333"/>
      <c r="Z85" s="335"/>
      <c r="AA85" s="466"/>
      <c r="AB85" s="467"/>
      <c r="AC85" s="468"/>
      <c r="AD85" s="47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78"/>
    </row>
    <row r="86" spans="1:48">
      <c r="A86" s="466"/>
      <c r="B86" s="22" t="s">
        <v>18</v>
      </c>
      <c r="C86" s="30" t="s">
        <v>633</v>
      </c>
      <c r="D86" s="468"/>
      <c r="E86" s="468"/>
      <c r="F86" s="1006"/>
      <c r="G86" s="18" t="s">
        <v>18</v>
      </c>
      <c r="H86" s="18" t="s">
        <v>19</v>
      </c>
      <c r="I86" s="917"/>
      <c r="J86" s="468"/>
      <c r="K86" s="1006"/>
      <c r="L86" s="468"/>
      <c r="M86" s="935"/>
      <c r="N86" s="78" t="s">
        <v>18</v>
      </c>
      <c r="O86" s="17" t="s">
        <v>323</v>
      </c>
      <c r="P86" s="354">
        <v>1</v>
      </c>
      <c r="Q86" s="353">
        <v>12.5</v>
      </c>
      <c r="R86" s="466" t="s">
        <v>16</v>
      </c>
      <c r="S86" s="467" t="s">
        <v>15</v>
      </c>
      <c r="T86" s="466">
        <v>11</v>
      </c>
      <c r="U86" s="344">
        <v>1</v>
      </c>
      <c r="V86" s="333" t="s">
        <v>902</v>
      </c>
      <c r="W86" s="333">
        <v>10</v>
      </c>
      <c r="X86" s="333">
        <v>8</v>
      </c>
      <c r="Y86" s="333">
        <v>0</v>
      </c>
      <c r="Z86" s="335">
        <v>18</v>
      </c>
      <c r="AA86" s="466"/>
      <c r="AB86" s="467"/>
      <c r="AC86" s="468"/>
      <c r="AD86" s="478"/>
      <c r="AE86" s="468"/>
      <c r="AF86" s="468"/>
      <c r="AG86" s="468"/>
      <c r="AH86" s="468"/>
      <c r="AI86" s="468"/>
      <c r="AJ86" s="468"/>
      <c r="AK86" s="468"/>
      <c r="AL86" s="468"/>
      <c r="AM86" s="468"/>
      <c r="AN86" s="468"/>
      <c r="AO86" s="468"/>
      <c r="AP86" s="468"/>
      <c r="AQ86" s="468"/>
      <c r="AR86" s="468"/>
      <c r="AS86" s="468"/>
      <c r="AT86" s="468"/>
      <c r="AU86" s="468"/>
      <c r="AV86" s="478"/>
    </row>
    <row r="87" spans="1:48" ht="41.4">
      <c r="A87" s="466"/>
      <c r="B87" s="26" t="s">
        <v>12</v>
      </c>
      <c r="C87" s="25" t="s">
        <v>901</v>
      </c>
      <c r="D87" s="468"/>
      <c r="E87" s="468"/>
      <c r="F87" s="1006"/>
      <c r="G87" s="93"/>
      <c r="H87" s="24"/>
      <c r="I87" s="917"/>
      <c r="J87" s="468"/>
      <c r="K87" s="1006"/>
      <c r="L87" s="468"/>
      <c r="M87" s="935"/>
      <c r="N87" s="479" t="s">
        <v>12</v>
      </c>
      <c r="O87" s="480" t="s">
        <v>21</v>
      </c>
      <c r="P87" s="479">
        <v>1</v>
      </c>
      <c r="Q87" s="353">
        <v>6</v>
      </c>
      <c r="R87" s="479"/>
      <c r="S87" s="480"/>
      <c r="T87" s="466"/>
      <c r="U87" s="344">
        <f t="shared" ref="U87:U96" si="4">U86+1</f>
        <v>2</v>
      </c>
      <c r="V87" s="352" t="s">
        <v>900</v>
      </c>
      <c r="W87" s="333">
        <v>10</v>
      </c>
      <c r="X87" s="351">
        <v>0</v>
      </c>
      <c r="Y87" s="333">
        <v>0</v>
      </c>
      <c r="Z87" s="335">
        <v>10</v>
      </c>
      <c r="AA87" s="466"/>
      <c r="AB87" s="467"/>
      <c r="AC87" s="468"/>
      <c r="AD87" s="478"/>
      <c r="AE87" s="468"/>
      <c r="AF87" s="468"/>
      <c r="AG87" s="468"/>
      <c r="AH87" s="468"/>
      <c r="AI87" s="468"/>
      <c r="AJ87" s="468"/>
      <c r="AK87" s="468"/>
      <c r="AL87" s="468"/>
      <c r="AM87" s="468"/>
      <c r="AN87" s="468"/>
      <c r="AO87" s="468"/>
      <c r="AP87" s="468"/>
      <c r="AQ87" s="468"/>
      <c r="AR87" s="468"/>
      <c r="AS87" s="468"/>
      <c r="AT87" s="468"/>
      <c r="AU87" s="468"/>
      <c r="AV87" s="478"/>
    </row>
    <row r="88" spans="1:48">
      <c r="A88" s="466"/>
      <c r="B88" s="22" t="s">
        <v>8</v>
      </c>
      <c r="C88" s="62" t="s">
        <v>899</v>
      </c>
      <c r="D88" s="468"/>
      <c r="E88" s="467"/>
      <c r="F88" s="1006"/>
      <c r="G88" s="93"/>
      <c r="H88" s="24"/>
      <c r="I88" s="917"/>
      <c r="J88" s="468"/>
      <c r="K88" s="1006"/>
      <c r="L88" s="468"/>
      <c r="M88" s="935"/>
      <c r="N88" s="466" t="s">
        <v>8</v>
      </c>
      <c r="O88" s="467" t="s">
        <v>59</v>
      </c>
      <c r="P88" s="466">
        <v>1</v>
      </c>
      <c r="Q88" s="353">
        <v>10</v>
      </c>
      <c r="R88" s="466"/>
      <c r="S88" s="467"/>
      <c r="T88" s="466"/>
      <c r="U88" s="344">
        <f t="shared" si="4"/>
        <v>3</v>
      </c>
      <c r="V88" s="352" t="s">
        <v>4</v>
      </c>
      <c r="W88" s="333">
        <v>0</v>
      </c>
      <c r="X88" s="351">
        <v>0</v>
      </c>
      <c r="Y88" s="333">
        <v>1002</v>
      </c>
      <c r="Z88" s="335">
        <v>1002</v>
      </c>
      <c r="AA88" s="466"/>
      <c r="AB88" s="467"/>
      <c r="AC88" s="468"/>
      <c r="AD88" s="478"/>
      <c r="AE88" s="468"/>
      <c r="AF88" s="468"/>
      <c r="AG88" s="468"/>
      <c r="AH88" s="468"/>
      <c r="AI88" s="468"/>
      <c r="AJ88" s="468"/>
      <c r="AK88" s="468"/>
      <c r="AL88" s="468"/>
      <c r="AM88" s="468"/>
      <c r="AN88" s="468"/>
      <c r="AO88" s="468"/>
      <c r="AP88" s="468"/>
      <c r="AQ88" s="468"/>
      <c r="AR88" s="468"/>
      <c r="AS88" s="468"/>
      <c r="AT88" s="468"/>
      <c r="AU88" s="468"/>
      <c r="AV88" s="478"/>
    </row>
    <row r="89" spans="1:48">
      <c r="A89" s="466"/>
      <c r="B89" s="78"/>
      <c r="C89" s="30"/>
      <c r="D89" s="468"/>
      <c r="E89" s="468"/>
      <c r="F89" s="1006"/>
      <c r="G89" s="93"/>
      <c r="H89" s="24"/>
      <c r="I89" s="917"/>
      <c r="J89" s="468"/>
      <c r="K89" s="1006"/>
      <c r="L89" s="468"/>
      <c r="M89" s="935"/>
      <c r="N89" s="466" t="s">
        <v>54</v>
      </c>
      <c r="O89" s="467" t="s">
        <v>17</v>
      </c>
      <c r="P89" s="466">
        <v>1</v>
      </c>
      <c r="Q89" s="478"/>
      <c r="R89" s="466"/>
      <c r="S89" s="467"/>
      <c r="T89" s="466"/>
      <c r="U89" s="344">
        <f t="shared" si="4"/>
        <v>4</v>
      </c>
      <c r="V89" s="352" t="s">
        <v>48</v>
      </c>
      <c r="W89" s="333">
        <v>18</v>
      </c>
      <c r="X89" s="351">
        <v>0</v>
      </c>
      <c r="Y89" s="333">
        <v>12</v>
      </c>
      <c r="Z89" s="335">
        <v>30</v>
      </c>
      <c r="AA89" s="466"/>
      <c r="AB89" s="467"/>
      <c r="AC89" s="468"/>
      <c r="AD89" s="478"/>
      <c r="AE89" s="468"/>
      <c r="AF89" s="468"/>
      <c r="AG89" s="468"/>
      <c r="AH89" s="468"/>
      <c r="AI89" s="468"/>
      <c r="AJ89" s="468"/>
      <c r="AK89" s="468"/>
      <c r="AL89" s="468"/>
      <c r="AM89" s="468"/>
      <c r="AN89" s="468"/>
      <c r="AO89" s="468"/>
      <c r="AP89" s="468"/>
      <c r="AQ89" s="468"/>
      <c r="AR89" s="468"/>
      <c r="AS89" s="468"/>
      <c r="AT89" s="468"/>
      <c r="AU89" s="468"/>
      <c r="AV89" s="478"/>
    </row>
    <row r="90" spans="1:48">
      <c r="A90" s="466"/>
      <c r="B90" s="78"/>
      <c r="C90" s="30"/>
      <c r="D90" s="468"/>
      <c r="E90" s="468"/>
      <c r="F90" s="1006"/>
      <c r="G90" s="93"/>
      <c r="H90" s="24"/>
      <c r="I90" s="917"/>
      <c r="J90" s="468"/>
      <c r="K90" s="1006"/>
      <c r="L90" s="468"/>
      <c r="M90" s="935"/>
      <c r="N90" s="466" t="s">
        <v>53</v>
      </c>
      <c r="O90" s="467" t="s">
        <v>11</v>
      </c>
      <c r="P90" s="466">
        <v>1</v>
      </c>
      <c r="Q90" s="478"/>
      <c r="R90" s="466"/>
      <c r="S90" s="467"/>
      <c r="T90" s="466"/>
      <c r="U90" s="344">
        <f t="shared" si="4"/>
        <v>5</v>
      </c>
      <c r="V90" s="352" t="s">
        <v>898</v>
      </c>
      <c r="W90" s="333">
        <v>402</v>
      </c>
      <c r="X90" s="351">
        <v>0</v>
      </c>
      <c r="Y90" s="333">
        <v>0</v>
      </c>
      <c r="Z90" s="335">
        <v>402</v>
      </c>
      <c r="AA90" s="466"/>
      <c r="AB90" s="467"/>
      <c r="AC90" s="468"/>
      <c r="AD90" s="478"/>
      <c r="AE90" s="468"/>
      <c r="AF90" s="468"/>
      <c r="AG90" s="468"/>
      <c r="AH90" s="468"/>
      <c r="AI90" s="468"/>
      <c r="AJ90" s="468"/>
      <c r="AK90" s="468"/>
      <c r="AL90" s="468"/>
      <c r="AM90" s="468"/>
      <c r="AN90" s="468"/>
      <c r="AO90" s="468"/>
      <c r="AP90" s="468"/>
      <c r="AQ90" s="468"/>
      <c r="AR90" s="468"/>
      <c r="AS90" s="468"/>
      <c r="AT90" s="468"/>
      <c r="AU90" s="468"/>
      <c r="AV90" s="478"/>
    </row>
    <row r="91" spans="1:48">
      <c r="A91" s="466"/>
      <c r="B91" s="78"/>
      <c r="C91" s="30"/>
      <c r="D91" s="468"/>
      <c r="E91" s="468"/>
      <c r="F91" s="1006"/>
      <c r="G91" s="93"/>
      <c r="H91" s="24"/>
      <c r="I91" s="917"/>
      <c r="J91" s="468"/>
      <c r="K91" s="1006"/>
      <c r="L91" s="468"/>
      <c r="M91" s="935"/>
      <c r="N91" s="466" t="s">
        <v>51</v>
      </c>
      <c r="O91" s="467" t="s">
        <v>832</v>
      </c>
      <c r="P91" s="466">
        <v>1</v>
      </c>
      <c r="Q91" s="481">
        <v>56.2</v>
      </c>
      <c r="R91" s="466"/>
      <c r="S91" s="467"/>
      <c r="T91" s="466"/>
      <c r="U91" s="344">
        <f t="shared" si="4"/>
        <v>6</v>
      </c>
      <c r="V91" s="352" t="s">
        <v>826</v>
      </c>
      <c r="W91" s="333">
        <v>50</v>
      </c>
      <c r="X91" s="351">
        <v>0</v>
      </c>
      <c r="Y91" s="333">
        <v>0</v>
      </c>
      <c r="Z91" s="335">
        <v>50</v>
      </c>
      <c r="AA91" s="466"/>
      <c r="AB91" s="467"/>
      <c r="AC91" s="468"/>
      <c r="AD91" s="478"/>
      <c r="AE91" s="468"/>
      <c r="AF91" s="468"/>
      <c r="AG91" s="468"/>
      <c r="AH91" s="468"/>
      <c r="AI91" s="468"/>
      <c r="AJ91" s="468"/>
      <c r="AK91" s="468"/>
      <c r="AL91" s="468"/>
      <c r="AM91" s="468"/>
      <c r="AN91" s="468"/>
      <c r="AO91" s="468"/>
      <c r="AP91" s="468"/>
      <c r="AQ91" s="468"/>
      <c r="AR91" s="468"/>
      <c r="AS91" s="468"/>
      <c r="AT91" s="468"/>
      <c r="AU91" s="468"/>
      <c r="AV91" s="478"/>
    </row>
    <row r="92" spans="1:48">
      <c r="A92" s="466"/>
      <c r="B92" s="78"/>
      <c r="C92" s="30"/>
      <c r="D92" s="468"/>
      <c r="E92" s="468"/>
      <c r="F92" s="1006"/>
      <c r="G92" s="93"/>
      <c r="H92" s="24"/>
      <c r="I92" s="917"/>
      <c r="J92" s="468"/>
      <c r="K92" s="1006"/>
      <c r="L92" s="468"/>
      <c r="M92" s="935"/>
      <c r="N92" s="466"/>
      <c r="O92" s="467"/>
      <c r="P92" s="466"/>
      <c r="Q92" s="478"/>
      <c r="R92" s="466"/>
      <c r="S92" s="467"/>
      <c r="T92" s="466"/>
      <c r="U92" s="344">
        <f t="shared" si="4"/>
        <v>7</v>
      </c>
      <c r="V92" s="352" t="s">
        <v>305</v>
      </c>
      <c r="W92" s="333">
        <v>30</v>
      </c>
      <c r="X92" s="351">
        <v>0</v>
      </c>
      <c r="Y92" s="333">
        <v>0</v>
      </c>
      <c r="Z92" s="335">
        <v>30</v>
      </c>
      <c r="AA92" s="466"/>
      <c r="AB92" s="467"/>
      <c r="AC92" s="468"/>
      <c r="AD92" s="478"/>
      <c r="AE92" s="468"/>
      <c r="AF92" s="468"/>
      <c r="AG92" s="468"/>
      <c r="AH92" s="468"/>
      <c r="AI92" s="468"/>
      <c r="AJ92" s="468"/>
      <c r="AK92" s="468"/>
      <c r="AL92" s="468"/>
      <c r="AM92" s="468"/>
      <c r="AN92" s="468"/>
      <c r="AO92" s="468"/>
      <c r="AP92" s="468"/>
      <c r="AQ92" s="468"/>
      <c r="AR92" s="468"/>
      <c r="AS92" s="468"/>
      <c r="AT92" s="468"/>
      <c r="AU92" s="468"/>
      <c r="AV92" s="478"/>
    </row>
    <row r="93" spans="1:48">
      <c r="A93" s="466"/>
      <c r="B93" s="78"/>
      <c r="C93" s="30"/>
      <c r="D93" s="468"/>
      <c r="E93" s="468"/>
      <c r="F93" s="1006"/>
      <c r="G93" s="93"/>
      <c r="H93" s="24"/>
      <c r="I93" s="917"/>
      <c r="J93" s="468"/>
      <c r="K93" s="1006"/>
      <c r="L93" s="468"/>
      <c r="M93" s="935"/>
      <c r="N93" s="466"/>
      <c r="O93" s="467"/>
      <c r="P93" s="466"/>
      <c r="Q93" s="478"/>
      <c r="R93" s="466"/>
      <c r="S93" s="467"/>
      <c r="T93" s="466"/>
      <c r="U93" s="344">
        <f t="shared" si="4"/>
        <v>8</v>
      </c>
      <c r="V93" s="352" t="s">
        <v>219</v>
      </c>
      <c r="W93" s="333">
        <v>65</v>
      </c>
      <c r="X93" s="351">
        <v>0</v>
      </c>
      <c r="Y93" s="333">
        <v>0</v>
      </c>
      <c r="Z93" s="335">
        <v>65</v>
      </c>
      <c r="AA93" s="466"/>
      <c r="AB93" s="467"/>
      <c r="AC93" s="468"/>
      <c r="AD93" s="478"/>
      <c r="AE93" s="468"/>
      <c r="AF93" s="468"/>
      <c r="AG93" s="468"/>
      <c r="AH93" s="468"/>
      <c r="AI93" s="468"/>
      <c r="AJ93" s="468"/>
      <c r="AK93" s="468"/>
      <c r="AL93" s="468"/>
      <c r="AM93" s="468"/>
      <c r="AN93" s="468"/>
      <c r="AO93" s="468"/>
      <c r="AP93" s="468"/>
      <c r="AQ93" s="468"/>
      <c r="AR93" s="468"/>
      <c r="AS93" s="468"/>
      <c r="AT93" s="468"/>
      <c r="AU93" s="468"/>
      <c r="AV93" s="478"/>
    </row>
    <row r="94" spans="1:48">
      <c r="A94" s="466"/>
      <c r="B94" s="78"/>
      <c r="C94" s="30"/>
      <c r="D94" s="468"/>
      <c r="E94" s="468"/>
      <c r="F94" s="1006"/>
      <c r="G94" s="93"/>
      <c r="H94" s="24"/>
      <c r="I94" s="917"/>
      <c r="J94" s="468"/>
      <c r="K94" s="1006"/>
      <c r="L94" s="468"/>
      <c r="M94" s="935"/>
      <c r="N94" s="466"/>
      <c r="O94" s="467"/>
      <c r="P94" s="466"/>
      <c r="Q94" s="478"/>
      <c r="R94" s="466"/>
      <c r="S94" s="467"/>
      <c r="T94" s="466"/>
      <c r="U94" s="344">
        <f t="shared" si="4"/>
        <v>9</v>
      </c>
      <c r="V94" s="352" t="s">
        <v>411</v>
      </c>
      <c r="W94" s="333">
        <v>9</v>
      </c>
      <c r="X94" s="351">
        <v>0</v>
      </c>
      <c r="Y94" s="333">
        <v>0</v>
      </c>
      <c r="Z94" s="335">
        <v>9</v>
      </c>
      <c r="AA94" s="466"/>
      <c r="AB94" s="467"/>
      <c r="AC94" s="468"/>
      <c r="AD94" s="478"/>
      <c r="AE94" s="468"/>
      <c r="AF94" s="468"/>
      <c r="AG94" s="468"/>
      <c r="AH94" s="468"/>
      <c r="AI94" s="468"/>
      <c r="AJ94" s="468"/>
      <c r="AK94" s="468"/>
      <c r="AL94" s="468"/>
      <c r="AM94" s="468"/>
      <c r="AN94" s="468"/>
      <c r="AO94" s="468"/>
      <c r="AP94" s="468"/>
      <c r="AQ94" s="468"/>
      <c r="AR94" s="468"/>
      <c r="AS94" s="468"/>
      <c r="AT94" s="468"/>
      <c r="AU94" s="468"/>
      <c r="AV94" s="478"/>
    </row>
    <row r="95" spans="1:48">
      <c r="A95" s="466"/>
      <c r="B95" s="22"/>
      <c r="C95" s="30"/>
      <c r="D95" s="468"/>
      <c r="E95" s="468"/>
      <c r="F95" s="1006"/>
      <c r="G95" s="93"/>
      <c r="H95" s="24"/>
      <c r="I95" s="917"/>
      <c r="J95" s="468"/>
      <c r="K95" s="1006"/>
      <c r="L95" s="468"/>
      <c r="M95" s="935"/>
      <c r="N95" s="466"/>
      <c r="O95" s="467"/>
      <c r="P95" s="466"/>
      <c r="Q95" s="478"/>
      <c r="R95" s="466"/>
      <c r="S95" s="467"/>
      <c r="T95" s="466"/>
      <c r="U95" s="344">
        <f t="shared" si="4"/>
        <v>10</v>
      </c>
      <c r="V95" s="352" t="s">
        <v>221</v>
      </c>
      <c r="W95" s="333">
        <v>30</v>
      </c>
      <c r="X95" s="351">
        <v>0</v>
      </c>
      <c r="Y95" s="333">
        <v>0</v>
      </c>
      <c r="Z95" s="335">
        <v>30</v>
      </c>
      <c r="AA95" s="466"/>
      <c r="AB95" s="467"/>
      <c r="AC95" s="468"/>
      <c r="AD95" s="478"/>
      <c r="AE95" s="468"/>
      <c r="AF95" s="468"/>
      <c r="AG95" s="468"/>
      <c r="AH95" s="468"/>
      <c r="AI95" s="468"/>
      <c r="AJ95" s="468"/>
      <c r="AK95" s="468"/>
      <c r="AL95" s="468"/>
      <c r="AM95" s="468"/>
      <c r="AN95" s="468"/>
      <c r="AO95" s="468"/>
      <c r="AP95" s="468"/>
      <c r="AQ95" s="468"/>
      <c r="AR95" s="468"/>
      <c r="AS95" s="468"/>
      <c r="AT95" s="468"/>
      <c r="AU95" s="468"/>
      <c r="AV95" s="478"/>
    </row>
    <row r="96" spans="1:48">
      <c r="A96" s="466"/>
      <c r="B96" s="22"/>
      <c r="C96" s="30"/>
      <c r="D96" s="468"/>
      <c r="E96" s="468"/>
      <c r="F96" s="1006"/>
      <c r="G96" s="468"/>
      <c r="H96" s="468"/>
      <c r="I96" s="917"/>
      <c r="J96" s="468"/>
      <c r="K96" s="1006"/>
      <c r="L96" s="468"/>
      <c r="M96" s="935"/>
      <c r="N96" s="466"/>
      <c r="O96" s="467"/>
      <c r="P96" s="466"/>
      <c r="Q96" s="478"/>
      <c r="R96" s="466"/>
      <c r="S96" s="467"/>
      <c r="T96" s="466"/>
      <c r="U96" s="344">
        <f t="shared" si="4"/>
        <v>11</v>
      </c>
      <c r="V96" s="352" t="s">
        <v>808</v>
      </c>
      <c r="W96" s="333">
        <v>15</v>
      </c>
      <c r="X96" s="351">
        <v>0</v>
      </c>
      <c r="Y96" s="333">
        <v>0</v>
      </c>
      <c r="Z96" s="335">
        <v>15</v>
      </c>
      <c r="AA96" s="466"/>
      <c r="AB96" s="467"/>
      <c r="AC96" s="468"/>
      <c r="AD96" s="478"/>
      <c r="AE96" s="468"/>
      <c r="AF96" s="468"/>
      <c r="AG96" s="468"/>
      <c r="AH96" s="468"/>
      <c r="AI96" s="468"/>
      <c r="AJ96" s="468"/>
      <c r="AK96" s="468"/>
      <c r="AL96" s="468"/>
      <c r="AM96" s="468"/>
      <c r="AN96" s="468"/>
      <c r="AO96" s="468"/>
      <c r="AP96" s="468"/>
      <c r="AQ96" s="468"/>
      <c r="AR96" s="468"/>
      <c r="AS96" s="468"/>
      <c r="AT96" s="468"/>
      <c r="AU96" s="468"/>
      <c r="AV96" s="478"/>
    </row>
    <row r="97" spans="1:48">
      <c r="A97" s="471"/>
      <c r="B97" s="11"/>
      <c r="C97" s="15"/>
      <c r="D97" s="482"/>
      <c r="E97" s="482"/>
      <c r="F97" s="1007"/>
      <c r="G97" s="482"/>
      <c r="H97" s="482"/>
      <c r="I97" s="918"/>
      <c r="J97" s="482"/>
      <c r="K97" s="1007"/>
      <c r="L97" s="482"/>
      <c r="M97" s="936"/>
      <c r="N97" s="471"/>
      <c r="O97" s="469"/>
      <c r="P97" s="471"/>
      <c r="Q97" s="472"/>
      <c r="R97" s="471"/>
      <c r="S97" s="469"/>
      <c r="T97" s="471"/>
      <c r="U97" s="472"/>
      <c r="V97" s="482"/>
      <c r="W97" s="472"/>
      <c r="X97" s="471"/>
      <c r="Y97" s="472"/>
      <c r="Z97" s="483"/>
      <c r="AA97" s="471"/>
      <c r="AB97" s="469"/>
      <c r="AC97" s="482"/>
      <c r="AD97" s="472"/>
      <c r="AE97" s="482"/>
      <c r="AF97" s="482"/>
      <c r="AG97" s="482"/>
      <c r="AH97" s="482"/>
      <c r="AI97" s="482"/>
      <c r="AJ97" s="482"/>
      <c r="AK97" s="482"/>
      <c r="AL97" s="482"/>
      <c r="AM97" s="482"/>
      <c r="AN97" s="482"/>
      <c r="AO97" s="482"/>
      <c r="AP97" s="482"/>
      <c r="AQ97" s="482"/>
      <c r="AR97" s="482"/>
      <c r="AS97" s="482"/>
      <c r="AT97" s="482"/>
      <c r="AU97" s="482"/>
      <c r="AV97" s="472"/>
    </row>
    <row r="98" spans="1:48" ht="27.6">
      <c r="A98" s="46" t="s">
        <v>687</v>
      </c>
      <c r="B98" s="40" t="s">
        <v>25</v>
      </c>
      <c r="C98" s="103" t="s">
        <v>897</v>
      </c>
      <c r="D98" s="44"/>
      <c r="E98" s="71"/>
      <c r="F98" s="929" t="s">
        <v>896</v>
      </c>
      <c r="G98" s="43" t="s">
        <v>25</v>
      </c>
      <c r="H98" s="35" t="s">
        <v>839</v>
      </c>
      <c r="I98" s="916">
        <v>181</v>
      </c>
      <c r="J98" s="453"/>
      <c r="K98" s="921" t="s">
        <v>649</v>
      </c>
      <c r="L98" s="1009" t="s">
        <v>46</v>
      </c>
      <c r="M98" s="924" t="s">
        <v>46</v>
      </c>
      <c r="N98" s="18" t="s">
        <v>25</v>
      </c>
      <c r="O98" s="17" t="s">
        <v>894</v>
      </c>
      <c r="P98" s="20">
        <v>1</v>
      </c>
      <c r="Q98" s="347">
        <v>72</v>
      </c>
      <c r="R98" s="40" t="s">
        <v>25</v>
      </c>
      <c r="S98" s="44" t="s">
        <v>24</v>
      </c>
      <c r="T98" s="122"/>
      <c r="U98" s="122"/>
      <c r="V98" s="122"/>
      <c r="W98" s="122"/>
      <c r="X98" s="122"/>
      <c r="Y98" s="122"/>
      <c r="Z98" s="348"/>
      <c r="AA98" s="36"/>
      <c r="AB98" s="56"/>
      <c r="AC98" s="34"/>
      <c r="AD98" s="940"/>
      <c r="AE98" s="943"/>
      <c r="AF98" s="497"/>
      <c r="AG98" s="497"/>
      <c r="AH98" s="497"/>
      <c r="AI98" s="497"/>
      <c r="AJ98" s="497"/>
      <c r="AK98" s="497"/>
      <c r="AL98" s="497"/>
      <c r="AM98" s="497"/>
      <c r="AN98" s="497"/>
      <c r="AO98" s="497"/>
      <c r="AP98" s="497"/>
      <c r="AQ98" s="497"/>
      <c r="AR98" s="497"/>
      <c r="AS98" s="497"/>
      <c r="AT98" s="497"/>
      <c r="AU98" s="497"/>
      <c r="AV98" s="921"/>
    </row>
    <row r="99" spans="1:48">
      <c r="A99" s="23"/>
      <c r="B99" s="22" t="s">
        <v>16</v>
      </c>
      <c r="C99" s="33" t="s">
        <v>895</v>
      </c>
      <c r="D99" s="18"/>
      <c r="E99" s="61"/>
      <c r="F99" s="917"/>
      <c r="G99" s="18" t="s">
        <v>16</v>
      </c>
      <c r="H99" s="18" t="s">
        <v>836</v>
      </c>
      <c r="I99" s="917"/>
      <c r="J99" s="451"/>
      <c r="K99" s="922"/>
      <c r="L99" s="932"/>
      <c r="M99" s="935"/>
      <c r="N99" s="18" t="s">
        <v>16</v>
      </c>
      <c r="O99" s="17" t="s">
        <v>21</v>
      </c>
      <c r="P99" s="20">
        <v>2</v>
      </c>
      <c r="Q99" s="347">
        <v>27</v>
      </c>
      <c r="R99" s="22"/>
      <c r="S99" s="18"/>
      <c r="T99" s="20"/>
      <c r="U99" s="20"/>
      <c r="V99" s="20"/>
      <c r="W99" s="20"/>
      <c r="X99" s="20"/>
      <c r="Y99" s="20"/>
      <c r="Z99" s="331"/>
      <c r="AA99" s="18"/>
      <c r="AB99" s="24"/>
      <c r="AC99" s="23"/>
      <c r="AD99" s="941"/>
      <c r="AE99" s="944"/>
      <c r="AF99" s="498"/>
      <c r="AG99" s="498"/>
      <c r="AH99" s="498"/>
      <c r="AI99" s="498"/>
      <c r="AJ99" s="498"/>
      <c r="AK99" s="498"/>
      <c r="AL99" s="498"/>
      <c r="AM99" s="498"/>
      <c r="AN99" s="498"/>
      <c r="AO99" s="498"/>
      <c r="AP99" s="498"/>
      <c r="AQ99" s="498"/>
      <c r="AR99" s="498"/>
      <c r="AS99" s="498"/>
      <c r="AT99" s="498"/>
      <c r="AU99" s="498"/>
      <c r="AV99" s="922"/>
    </row>
    <row r="100" spans="1:48">
      <c r="A100" s="23"/>
      <c r="B100" s="22" t="s">
        <v>18</v>
      </c>
      <c r="C100" s="30" t="s">
        <v>633</v>
      </c>
      <c r="D100" s="18"/>
      <c r="E100" s="61"/>
      <c r="F100" s="917"/>
      <c r="G100" s="18" t="s">
        <v>18</v>
      </c>
      <c r="H100" s="18" t="s">
        <v>19</v>
      </c>
      <c r="I100" s="917"/>
      <c r="J100" s="451"/>
      <c r="K100" s="922"/>
      <c r="L100" s="932"/>
      <c r="M100" s="935"/>
      <c r="N100" s="18" t="s">
        <v>18</v>
      </c>
      <c r="O100" s="17" t="s">
        <v>17</v>
      </c>
      <c r="P100" s="20">
        <v>2</v>
      </c>
      <c r="Q100" s="21"/>
      <c r="R100" s="22" t="s">
        <v>16</v>
      </c>
      <c r="S100" s="18" t="s">
        <v>15</v>
      </c>
      <c r="T100" s="20">
        <v>12</v>
      </c>
      <c r="U100" s="344">
        <v>1</v>
      </c>
      <c r="V100" s="333" t="s">
        <v>344</v>
      </c>
      <c r="W100" s="333">
        <v>3</v>
      </c>
      <c r="X100" s="333">
        <v>0</v>
      </c>
      <c r="Y100" s="333">
        <v>0</v>
      </c>
      <c r="Z100" s="335">
        <v>3</v>
      </c>
      <c r="AA100" s="18"/>
      <c r="AB100" s="24"/>
      <c r="AC100" s="23"/>
      <c r="AD100" s="941"/>
      <c r="AE100" s="944"/>
      <c r="AF100" s="498"/>
      <c r="AG100" s="498"/>
      <c r="AH100" s="498"/>
      <c r="AI100" s="498"/>
      <c r="AJ100" s="498"/>
      <c r="AK100" s="498"/>
      <c r="AL100" s="498"/>
      <c r="AM100" s="498"/>
      <c r="AN100" s="498"/>
      <c r="AO100" s="498"/>
      <c r="AP100" s="498"/>
      <c r="AQ100" s="498"/>
      <c r="AR100" s="498"/>
      <c r="AS100" s="498"/>
      <c r="AT100" s="498"/>
      <c r="AU100" s="498"/>
      <c r="AV100" s="922"/>
    </row>
    <row r="101" spans="1:48" ht="55.2">
      <c r="A101" s="23"/>
      <c r="B101" s="26" t="s">
        <v>12</v>
      </c>
      <c r="C101" s="25" t="s">
        <v>893</v>
      </c>
      <c r="D101" s="18"/>
      <c r="E101" s="61"/>
      <c r="F101" s="917"/>
      <c r="G101" s="18"/>
      <c r="H101" s="21"/>
      <c r="I101" s="917"/>
      <c r="J101" s="451"/>
      <c r="K101" s="922"/>
      <c r="L101" s="932"/>
      <c r="M101" s="935"/>
      <c r="N101" s="18" t="s">
        <v>12</v>
      </c>
      <c r="O101" s="17" t="s">
        <v>11</v>
      </c>
      <c r="P101" s="20">
        <v>2</v>
      </c>
      <c r="Q101" s="21"/>
      <c r="R101" s="78"/>
      <c r="S101" s="17"/>
      <c r="T101" s="20"/>
      <c r="U101" s="344">
        <f t="shared" ref="U101:U111" si="5">U100+1</f>
        <v>2</v>
      </c>
      <c r="V101" s="333" t="s">
        <v>137</v>
      </c>
      <c r="W101" s="333">
        <v>0</v>
      </c>
      <c r="X101" s="333">
        <v>12</v>
      </c>
      <c r="Y101" s="333">
        <v>0</v>
      </c>
      <c r="Z101" s="335">
        <v>12</v>
      </c>
      <c r="AA101" s="18"/>
      <c r="AB101" s="17"/>
      <c r="AC101" s="447"/>
      <c r="AD101" s="941"/>
      <c r="AE101" s="944"/>
      <c r="AF101" s="498"/>
      <c r="AG101" s="498"/>
      <c r="AH101" s="498"/>
      <c r="AI101" s="498"/>
      <c r="AJ101" s="498"/>
      <c r="AK101" s="498"/>
      <c r="AL101" s="498"/>
      <c r="AM101" s="498"/>
      <c r="AN101" s="498"/>
      <c r="AO101" s="498"/>
      <c r="AP101" s="498"/>
      <c r="AQ101" s="498"/>
      <c r="AR101" s="498"/>
      <c r="AS101" s="498"/>
      <c r="AT101" s="498"/>
      <c r="AU101" s="498"/>
      <c r="AV101" s="922"/>
    </row>
    <row r="102" spans="1:48" ht="27.6">
      <c r="A102" s="23"/>
      <c r="B102" s="22" t="s">
        <v>8</v>
      </c>
      <c r="C102" s="62" t="s">
        <v>892</v>
      </c>
      <c r="D102" s="18"/>
      <c r="E102" s="62"/>
      <c r="F102" s="917"/>
      <c r="G102" s="18"/>
      <c r="H102" s="21"/>
      <c r="I102" s="917"/>
      <c r="J102" s="451"/>
      <c r="K102" s="922"/>
      <c r="L102" s="932"/>
      <c r="M102" s="935"/>
      <c r="N102" s="18"/>
      <c r="O102" s="17"/>
      <c r="P102" s="20"/>
      <c r="Q102" s="21"/>
      <c r="R102" s="78"/>
      <c r="S102" s="17"/>
      <c r="T102" s="20"/>
      <c r="U102" s="344">
        <f t="shared" si="5"/>
        <v>3</v>
      </c>
      <c r="V102" s="333" t="s">
        <v>647</v>
      </c>
      <c r="W102" s="333">
        <v>6</v>
      </c>
      <c r="X102" s="333">
        <v>9</v>
      </c>
      <c r="Y102" s="333">
        <v>0</v>
      </c>
      <c r="Z102" s="335">
        <v>15</v>
      </c>
      <c r="AA102" s="18"/>
      <c r="AB102" s="17"/>
      <c r="AC102" s="447"/>
      <c r="AD102" s="941"/>
      <c r="AE102" s="944"/>
      <c r="AF102" s="498"/>
      <c r="AG102" s="498"/>
      <c r="AH102" s="498"/>
      <c r="AI102" s="498"/>
      <c r="AJ102" s="498"/>
      <c r="AK102" s="498"/>
      <c r="AL102" s="498"/>
      <c r="AM102" s="498"/>
      <c r="AN102" s="498"/>
      <c r="AO102" s="498"/>
      <c r="AP102" s="498"/>
      <c r="AQ102" s="498"/>
      <c r="AR102" s="498"/>
      <c r="AS102" s="498"/>
      <c r="AT102" s="498"/>
      <c r="AU102" s="498"/>
      <c r="AV102" s="922"/>
    </row>
    <row r="103" spans="1:48">
      <c r="A103" s="23"/>
      <c r="B103" s="26"/>
      <c r="C103" s="25"/>
      <c r="D103" s="18"/>
      <c r="E103" s="61"/>
      <c r="F103" s="917"/>
      <c r="G103" s="18"/>
      <c r="H103" s="21"/>
      <c r="I103" s="917"/>
      <c r="J103" s="451"/>
      <c r="K103" s="922"/>
      <c r="L103" s="932"/>
      <c r="M103" s="935"/>
      <c r="N103" s="18"/>
      <c r="O103" s="17"/>
      <c r="P103" s="20"/>
      <c r="Q103" s="21"/>
      <c r="R103" s="78"/>
      <c r="S103" s="17"/>
      <c r="T103" s="20"/>
      <c r="U103" s="344">
        <f t="shared" si="5"/>
        <v>4</v>
      </c>
      <c r="V103" s="333" t="s">
        <v>144</v>
      </c>
      <c r="W103" s="333">
        <v>7</v>
      </c>
      <c r="X103" s="333">
        <v>0</v>
      </c>
      <c r="Y103" s="333">
        <v>0</v>
      </c>
      <c r="Z103" s="335">
        <v>7</v>
      </c>
      <c r="AA103" s="18"/>
      <c r="AB103" s="17"/>
      <c r="AC103" s="447"/>
      <c r="AD103" s="941"/>
      <c r="AE103" s="944"/>
      <c r="AF103" s="498"/>
      <c r="AG103" s="498"/>
      <c r="AH103" s="498"/>
      <c r="AI103" s="498"/>
      <c r="AJ103" s="498"/>
      <c r="AK103" s="498"/>
      <c r="AL103" s="498"/>
      <c r="AM103" s="498"/>
      <c r="AN103" s="498"/>
      <c r="AO103" s="498"/>
      <c r="AP103" s="498"/>
      <c r="AQ103" s="498"/>
      <c r="AR103" s="498"/>
      <c r="AS103" s="498"/>
      <c r="AT103" s="498"/>
      <c r="AU103" s="498"/>
      <c r="AV103" s="922"/>
    </row>
    <row r="104" spans="1:48">
      <c r="A104" s="23"/>
      <c r="B104" s="26"/>
      <c r="C104" s="25"/>
      <c r="D104" s="18"/>
      <c r="E104" s="61"/>
      <c r="F104" s="917"/>
      <c r="G104" s="18"/>
      <c r="H104" s="21"/>
      <c r="I104" s="917"/>
      <c r="J104" s="451"/>
      <c r="K104" s="922"/>
      <c r="L104" s="932"/>
      <c r="M104" s="935"/>
      <c r="N104" s="18"/>
      <c r="O104" s="24"/>
      <c r="P104" s="23"/>
      <c r="Q104" s="21"/>
      <c r="R104" s="78"/>
      <c r="S104" s="17"/>
      <c r="T104" s="20"/>
      <c r="U104" s="344">
        <f t="shared" si="5"/>
        <v>5</v>
      </c>
      <c r="V104" s="333" t="s">
        <v>0</v>
      </c>
      <c r="W104" s="333">
        <v>32</v>
      </c>
      <c r="X104" s="333">
        <v>0</v>
      </c>
      <c r="Y104" s="333">
        <v>0</v>
      </c>
      <c r="Z104" s="335">
        <v>32</v>
      </c>
      <c r="AA104" s="18"/>
      <c r="AB104" s="17"/>
      <c r="AC104" s="447"/>
      <c r="AD104" s="941"/>
      <c r="AE104" s="944"/>
      <c r="AF104" s="498"/>
      <c r="AG104" s="498"/>
      <c r="AH104" s="498"/>
      <c r="AI104" s="498"/>
      <c r="AJ104" s="498"/>
      <c r="AK104" s="498"/>
      <c r="AL104" s="498"/>
      <c r="AM104" s="498"/>
      <c r="AN104" s="498"/>
      <c r="AO104" s="498"/>
      <c r="AP104" s="498"/>
      <c r="AQ104" s="498"/>
      <c r="AR104" s="498"/>
      <c r="AS104" s="498"/>
      <c r="AT104" s="498"/>
      <c r="AU104" s="498"/>
      <c r="AV104" s="922"/>
    </row>
    <row r="105" spans="1:48">
      <c r="A105" s="23"/>
      <c r="B105" s="26"/>
      <c r="C105" s="25"/>
      <c r="D105" s="18"/>
      <c r="E105" s="61"/>
      <c r="F105" s="917"/>
      <c r="G105" s="18"/>
      <c r="H105" s="21"/>
      <c r="I105" s="917"/>
      <c r="J105" s="451"/>
      <c r="K105" s="922"/>
      <c r="L105" s="932"/>
      <c r="M105" s="935"/>
      <c r="N105" s="18"/>
      <c r="O105" s="24"/>
      <c r="P105" s="23"/>
      <c r="Q105" s="21"/>
      <c r="R105" s="78"/>
      <c r="S105" s="17"/>
      <c r="T105" s="20"/>
      <c r="U105" s="344">
        <f t="shared" si="5"/>
        <v>6</v>
      </c>
      <c r="V105" s="333" t="s">
        <v>261</v>
      </c>
      <c r="W105" s="333">
        <v>0</v>
      </c>
      <c r="X105" s="333">
        <v>5</v>
      </c>
      <c r="Y105" s="333">
        <v>0</v>
      </c>
      <c r="Z105" s="335">
        <v>5</v>
      </c>
      <c r="AA105" s="18"/>
      <c r="AB105" s="17"/>
      <c r="AC105" s="447"/>
      <c r="AD105" s="941"/>
      <c r="AE105" s="944"/>
      <c r="AF105" s="498"/>
      <c r="AG105" s="498"/>
      <c r="AH105" s="498"/>
      <c r="AI105" s="498"/>
      <c r="AJ105" s="498"/>
      <c r="AK105" s="498"/>
      <c r="AL105" s="498"/>
      <c r="AM105" s="498"/>
      <c r="AN105" s="498"/>
      <c r="AO105" s="498"/>
      <c r="AP105" s="498"/>
      <c r="AQ105" s="498"/>
      <c r="AR105" s="498"/>
      <c r="AS105" s="498"/>
      <c r="AT105" s="498"/>
      <c r="AU105" s="498"/>
      <c r="AV105" s="922"/>
    </row>
    <row r="106" spans="1:48">
      <c r="A106" s="23"/>
      <c r="B106" s="26"/>
      <c r="C106" s="25"/>
      <c r="D106" s="18"/>
      <c r="E106" s="61"/>
      <c r="F106" s="917"/>
      <c r="G106" s="18"/>
      <c r="H106" s="21"/>
      <c r="I106" s="917"/>
      <c r="J106" s="451"/>
      <c r="K106" s="922"/>
      <c r="L106" s="932"/>
      <c r="M106" s="935"/>
      <c r="N106" s="18"/>
      <c r="O106" s="24"/>
      <c r="P106" s="23"/>
      <c r="Q106" s="21"/>
      <c r="R106" s="78"/>
      <c r="S106" s="17"/>
      <c r="T106" s="20"/>
      <c r="U106" s="344">
        <f t="shared" si="5"/>
        <v>7</v>
      </c>
      <c r="V106" s="333" t="s">
        <v>891</v>
      </c>
      <c r="W106" s="333">
        <v>7</v>
      </c>
      <c r="X106" s="333">
        <v>0</v>
      </c>
      <c r="Y106" s="333">
        <v>0</v>
      </c>
      <c r="Z106" s="335">
        <v>7</v>
      </c>
      <c r="AA106" s="18"/>
      <c r="AB106" s="17"/>
      <c r="AC106" s="447"/>
      <c r="AD106" s="941"/>
      <c r="AE106" s="944"/>
      <c r="AF106" s="498"/>
      <c r="AG106" s="498"/>
      <c r="AH106" s="498"/>
      <c r="AI106" s="498"/>
      <c r="AJ106" s="498"/>
      <c r="AK106" s="498"/>
      <c r="AL106" s="498"/>
      <c r="AM106" s="498"/>
      <c r="AN106" s="498"/>
      <c r="AO106" s="498"/>
      <c r="AP106" s="498"/>
      <c r="AQ106" s="498"/>
      <c r="AR106" s="498"/>
      <c r="AS106" s="498"/>
      <c r="AT106" s="498"/>
      <c r="AU106" s="498"/>
      <c r="AV106" s="922"/>
    </row>
    <row r="107" spans="1:48">
      <c r="A107" s="23"/>
      <c r="B107" s="26"/>
      <c r="C107" s="25"/>
      <c r="D107" s="18"/>
      <c r="E107" s="61"/>
      <c r="F107" s="917"/>
      <c r="G107" s="18"/>
      <c r="H107" s="21"/>
      <c r="I107" s="917"/>
      <c r="J107" s="451"/>
      <c r="K107" s="922"/>
      <c r="L107" s="932"/>
      <c r="M107" s="935"/>
      <c r="N107" s="18"/>
      <c r="O107" s="24"/>
      <c r="P107" s="23"/>
      <c r="Q107" s="21"/>
      <c r="R107" s="78"/>
      <c r="S107" s="17"/>
      <c r="T107" s="20"/>
      <c r="U107" s="344">
        <f t="shared" si="5"/>
        <v>8</v>
      </c>
      <c r="V107" s="333" t="s">
        <v>826</v>
      </c>
      <c r="W107" s="333">
        <v>0</v>
      </c>
      <c r="X107" s="333">
        <v>60</v>
      </c>
      <c r="Y107" s="333">
        <v>0</v>
      </c>
      <c r="Z107" s="335">
        <v>60</v>
      </c>
      <c r="AA107" s="18"/>
      <c r="AB107" s="17"/>
      <c r="AC107" s="447"/>
      <c r="AD107" s="941"/>
      <c r="AE107" s="944"/>
      <c r="AF107" s="498"/>
      <c r="AG107" s="498"/>
      <c r="AH107" s="498"/>
      <c r="AI107" s="498"/>
      <c r="AJ107" s="498"/>
      <c r="AK107" s="498"/>
      <c r="AL107" s="498"/>
      <c r="AM107" s="498"/>
      <c r="AN107" s="498"/>
      <c r="AO107" s="498"/>
      <c r="AP107" s="498"/>
      <c r="AQ107" s="498"/>
      <c r="AR107" s="498"/>
      <c r="AS107" s="498"/>
      <c r="AT107" s="498"/>
      <c r="AU107" s="498"/>
      <c r="AV107" s="922"/>
    </row>
    <row r="108" spans="1:48">
      <c r="A108" s="23"/>
      <c r="B108" s="26"/>
      <c r="C108" s="25"/>
      <c r="D108" s="18"/>
      <c r="E108" s="61"/>
      <c r="F108" s="917"/>
      <c r="G108" s="18"/>
      <c r="H108" s="21"/>
      <c r="I108" s="917"/>
      <c r="J108" s="451"/>
      <c r="K108" s="922"/>
      <c r="L108" s="932"/>
      <c r="M108" s="935"/>
      <c r="N108" s="18"/>
      <c r="O108" s="24"/>
      <c r="P108" s="23"/>
      <c r="Q108" s="21"/>
      <c r="R108" s="78"/>
      <c r="S108" s="17"/>
      <c r="T108" s="20"/>
      <c r="U108" s="344">
        <f t="shared" si="5"/>
        <v>9</v>
      </c>
      <c r="V108" s="333" t="s">
        <v>34</v>
      </c>
      <c r="W108" s="333">
        <v>3</v>
      </c>
      <c r="X108" s="333">
        <v>0</v>
      </c>
      <c r="Y108" s="333">
        <v>0</v>
      </c>
      <c r="Z108" s="335">
        <v>3</v>
      </c>
      <c r="AA108" s="18"/>
      <c r="AB108" s="17"/>
      <c r="AC108" s="447"/>
      <c r="AD108" s="941"/>
      <c r="AE108" s="944"/>
      <c r="AF108" s="498"/>
      <c r="AG108" s="498"/>
      <c r="AH108" s="498"/>
      <c r="AI108" s="498"/>
      <c r="AJ108" s="498"/>
      <c r="AK108" s="498"/>
      <c r="AL108" s="498"/>
      <c r="AM108" s="498"/>
      <c r="AN108" s="498"/>
      <c r="AO108" s="498"/>
      <c r="AP108" s="498"/>
      <c r="AQ108" s="498"/>
      <c r="AR108" s="498"/>
      <c r="AS108" s="498"/>
      <c r="AT108" s="498"/>
      <c r="AU108" s="498"/>
      <c r="AV108" s="922"/>
    </row>
    <row r="109" spans="1:48">
      <c r="A109" s="23"/>
      <c r="B109" s="26"/>
      <c r="C109" s="25"/>
      <c r="D109" s="18"/>
      <c r="E109" s="61"/>
      <c r="F109" s="917"/>
      <c r="G109" s="18"/>
      <c r="H109" s="21"/>
      <c r="I109" s="917"/>
      <c r="J109" s="451"/>
      <c r="K109" s="922"/>
      <c r="L109" s="932"/>
      <c r="M109" s="935"/>
      <c r="N109" s="18"/>
      <c r="O109" s="24"/>
      <c r="P109" s="23"/>
      <c r="Q109" s="21"/>
      <c r="R109" s="78"/>
      <c r="S109" s="17"/>
      <c r="T109" s="20"/>
      <c r="U109" s="344">
        <f t="shared" si="5"/>
        <v>10</v>
      </c>
      <c r="V109" s="333" t="s">
        <v>313</v>
      </c>
      <c r="W109" s="333">
        <v>2</v>
      </c>
      <c r="X109" s="333">
        <v>0</v>
      </c>
      <c r="Y109" s="333">
        <v>0</v>
      </c>
      <c r="Z109" s="335">
        <v>2</v>
      </c>
      <c r="AA109" s="18"/>
      <c r="AB109" s="17"/>
      <c r="AC109" s="447"/>
      <c r="AD109" s="941"/>
      <c r="AE109" s="944"/>
      <c r="AF109" s="498"/>
      <c r="AG109" s="498"/>
      <c r="AH109" s="498"/>
      <c r="AI109" s="498"/>
      <c r="AJ109" s="498"/>
      <c r="AK109" s="498"/>
      <c r="AL109" s="498"/>
      <c r="AM109" s="498"/>
      <c r="AN109" s="498"/>
      <c r="AO109" s="498"/>
      <c r="AP109" s="498"/>
      <c r="AQ109" s="498"/>
      <c r="AR109" s="498"/>
      <c r="AS109" s="498"/>
      <c r="AT109" s="498"/>
      <c r="AU109" s="498"/>
      <c r="AV109" s="922"/>
    </row>
    <row r="110" spans="1:48">
      <c r="A110" s="23"/>
      <c r="B110" s="26"/>
      <c r="C110" s="25"/>
      <c r="D110" s="18"/>
      <c r="E110" s="61"/>
      <c r="F110" s="917"/>
      <c r="G110" s="18"/>
      <c r="H110" s="21"/>
      <c r="I110" s="917"/>
      <c r="J110" s="451"/>
      <c r="K110" s="922"/>
      <c r="L110" s="932"/>
      <c r="M110" s="935"/>
      <c r="N110" s="18"/>
      <c r="O110" s="24"/>
      <c r="P110" s="23"/>
      <c r="Q110" s="21"/>
      <c r="R110" s="78"/>
      <c r="S110" s="17"/>
      <c r="T110" s="20"/>
      <c r="U110" s="344">
        <f t="shared" si="5"/>
        <v>11</v>
      </c>
      <c r="V110" s="333" t="s">
        <v>2</v>
      </c>
      <c r="W110" s="333">
        <v>43</v>
      </c>
      <c r="X110" s="333">
        <v>0</v>
      </c>
      <c r="Y110" s="333">
        <v>0</v>
      </c>
      <c r="Z110" s="335">
        <v>43</v>
      </c>
      <c r="AA110" s="18"/>
      <c r="AB110" s="17"/>
      <c r="AC110" s="447"/>
      <c r="AD110" s="941"/>
      <c r="AE110" s="944"/>
      <c r="AF110" s="498"/>
      <c r="AG110" s="498"/>
      <c r="AH110" s="498"/>
      <c r="AI110" s="498"/>
      <c r="AJ110" s="498"/>
      <c r="AK110" s="498"/>
      <c r="AL110" s="498"/>
      <c r="AM110" s="498"/>
      <c r="AN110" s="498"/>
      <c r="AO110" s="498"/>
      <c r="AP110" s="498"/>
      <c r="AQ110" s="498"/>
      <c r="AR110" s="498"/>
      <c r="AS110" s="498"/>
      <c r="AT110" s="498"/>
      <c r="AU110" s="498"/>
      <c r="AV110" s="922"/>
    </row>
    <row r="111" spans="1:48" ht="41.4">
      <c r="A111" s="23"/>
      <c r="B111" s="26"/>
      <c r="C111" s="25"/>
      <c r="D111" s="18"/>
      <c r="E111" s="61"/>
      <c r="F111" s="917"/>
      <c r="G111" s="18"/>
      <c r="H111" s="21"/>
      <c r="I111" s="917"/>
      <c r="J111" s="451"/>
      <c r="K111" s="922"/>
      <c r="L111" s="932"/>
      <c r="M111" s="935"/>
      <c r="N111" s="18"/>
      <c r="O111" s="24"/>
      <c r="P111" s="23"/>
      <c r="Q111" s="21"/>
      <c r="R111" s="78"/>
      <c r="S111" s="17"/>
      <c r="T111" s="20"/>
      <c r="U111" s="344">
        <f t="shared" si="5"/>
        <v>12</v>
      </c>
      <c r="V111" s="333" t="s">
        <v>890</v>
      </c>
      <c r="W111" s="333">
        <v>20</v>
      </c>
      <c r="X111" s="333">
        <v>0</v>
      </c>
      <c r="Y111" s="333">
        <v>0</v>
      </c>
      <c r="Z111" s="335">
        <v>20</v>
      </c>
      <c r="AA111" s="18"/>
      <c r="AB111" s="17"/>
      <c r="AC111" s="447"/>
      <c r="AD111" s="941"/>
      <c r="AE111" s="944"/>
      <c r="AF111" s="498"/>
      <c r="AG111" s="498"/>
      <c r="AH111" s="498"/>
      <c r="AI111" s="498"/>
      <c r="AJ111" s="498"/>
      <c r="AK111" s="498"/>
      <c r="AL111" s="498"/>
      <c r="AM111" s="498"/>
      <c r="AN111" s="498"/>
      <c r="AO111" s="498"/>
      <c r="AP111" s="498"/>
      <c r="AQ111" s="498"/>
      <c r="AR111" s="498"/>
      <c r="AS111" s="498"/>
      <c r="AT111" s="498"/>
      <c r="AU111" s="498"/>
      <c r="AV111" s="922"/>
    </row>
    <row r="112" spans="1:48">
      <c r="A112" s="12"/>
      <c r="B112" s="471"/>
      <c r="C112" s="469"/>
      <c r="D112" s="7"/>
      <c r="E112" s="14"/>
      <c r="F112" s="918"/>
      <c r="G112" s="7"/>
      <c r="H112" s="10"/>
      <c r="I112" s="918"/>
      <c r="J112" s="452"/>
      <c r="K112" s="923"/>
      <c r="L112" s="933"/>
      <c r="M112" s="936"/>
      <c r="N112" s="7"/>
      <c r="O112" s="13"/>
      <c r="P112" s="12"/>
      <c r="Q112" s="10"/>
      <c r="R112" s="11"/>
      <c r="S112" s="7"/>
      <c r="T112" s="47"/>
      <c r="U112" s="458"/>
      <c r="V112" s="52"/>
      <c r="W112" s="448"/>
      <c r="X112" s="448"/>
      <c r="Y112" s="448"/>
      <c r="Z112" s="330"/>
      <c r="AA112" s="7"/>
      <c r="AB112" s="6"/>
      <c r="AC112" s="448"/>
      <c r="AD112" s="942"/>
      <c r="AE112" s="945"/>
      <c r="AF112" s="499"/>
      <c r="AG112" s="499"/>
      <c r="AH112" s="499"/>
      <c r="AI112" s="499"/>
      <c r="AJ112" s="499"/>
      <c r="AK112" s="499"/>
      <c r="AL112" s="499"/>
      <c r="AM112" s="499"/>
      <c r="AN112" s="499"/>
      <c r="AO112" s="499"/>
      <c r="AP112" s="499"/>
      <c r="AQ112" s="499"/>
      <c r="AR112" s="499"/>
      <c r="AS112" s="499"/>
      <c r="AT112" s="499"/>
      <c r="AU112" s="499"/>
      <c r="AV112" s="923"/>
    </row>
    <row r="113" spans="1:48">
      <c r="A113" s="46" t="s">
        <v>681</v>
      </c>
      <c r="B113" s="40" t="s">
        <v>25</v>
      </c>
      <c r="C113" s="103" t="s">
        <v>889</v>
      </c>
      <c r="D113" s="44"/>
      <c r="E113" s="71"/>
      <c r="F113" s="929" t="s">
        <v>888</v>
      </c>
      <c r="G113" s="43" t="s">
        <v>25</v>
      </c>
      <c r="H113" s="35" t="s">
        <v>839</v>
      </c>
      <c r="I113" s="916">
        <v>155</v>
      </c>
      <c r="J113" s="453"/>
      <c r="K113" s="921" t="s">
        <v>887</v>
      </c>
      <c r="L113" s="931" t="s">
        <v>46</v>
      </c>
      <c r="M113" s="924" t="s">
        <v>46</v>
      </c>
      <c r="N113" s="36"/>
      <c r="O113" s="329"/>
      <c r="P113" s="122"/>
      <c r="Q113" s="44"/>
      <c r="R113" s="40" t="s">
        <v>25</v>
      </c>
      <c r="S113" s="44" t="s">
        <v>24</v>
      </c>
      <c r="T113" s="122">
        <v>6</v>
      </c>
      <c r="U113" s="346">
        <v>1</v>
      </c>
      <c r="V113" s="339" t="s">
        <v>109</v>
      </c>
      <c r="W113" s="345">
        <v>35</v>
      </c>
      <c r="X113" s="345">
        <v>1</v>
      </c>
      <c r="Y113" s="345">
        <v>4</v>
      </c>
      <c r="Z113" s="338">
        <v>40</v>
      </c>
      <c r="AA113" s="36"/>
      <c r="AB113" s="35"/>
      <c r="AC113" s="34"/>
      <c r="AD113" s="940"/>
      <c r="AE113" s="943"/>
      <c r="AF113" s="497"/>
      <c r="AG113" s="497"/>
      <c r="AH113" s="497"/>
      <c r="AI113" s="497"/>
      <c r="AJ113" s="497"/>
      <c r="AK113" s="497"/>
      <c r="AL113" s="497"/>
      <c r="AM113" s="497"/>
      <c r="AN113" s="497"/>
      <c r="AO113" s="497"/>
      <c r="AP113" s="497"/>
      <c r="AQ113" s="497"/>
      <c r="AR113" s="497"/>
      <c r="AS113" s="497"/>
      <c r="AT113" s="497"/>
      <c r="AU113" s="497"/>
      <c r="AV113" s="921"/>
    </row>
    <row r="114" spans="1:48">
      <c r="A114" s="95"/>
      <c r="B114" s="22" t="s">
        <v>16</v>
      </c>
      <c r="C114" s="33" t="s">
        <v>886</v>
      </c>
      <c r="D114" s="18"/>
      <c r="E114" s="61"/>
      <c r="F114" s="917"/>
      <c r="G114" s="18" t="s">
        <v>16</v>
      </c>
      <c r="H114" s="18" t="s">
        <v>836</v>
      </c>
      <c r="I114" s="917"/>
      <c r="J114" s="451"/>
      <c r="K114" s="922"/>
      <c r="L114" s="932"/>
      <c r="M114" s="935"/>
      <c r="N114" s="64"/>
      <c r="O114" s="76"/>
      <c r="P114" s="77"/>
      <c r="Q114" s="76"/>
      <c r="R114" s="78"/>
      <c r="S114" s="18"/>
      <c r="T114" s="20"/>
      <c r="U114" s="344">
        <v>2</v>
      </c>
      <c r="V114" s="333" t="s">
        <v>88</v>
      </c>
      <c r="W114" s="332">
        <v>40</v>
      </c>
      <c r="X114" s="332">
        <v>0</v>
      </c>
      <c r="Y114" s="332">
        <v>0</v>
      </c>
      <c r="Z114" s="335">
        <v>40</v>
      </c>
      <c r="AA114" s="64"/>
      <c r="AB114" s="24"/>
      <c r="AC114" s="23"/>
      <c r="AD114" s="941"/>
      <c r="AE114" s="944"/>
      <c r="AF114" s="498"/>
      <c r="AG114" s="498"/>
      <c r="AH114" s="498"/>
      <c r="AI114" s="498"/>
      <c r="AJ114" s="498"/>
      <c r="AK114" s="498"/>
      <c r="AL114" s="498"/>
      <c r="AM114" s="498"/>
      <c r="AN114" s="498"/>
      <c r="AO114" s="498"/>
      <c r="AP114" s="498"/>
      <c r="AQ114" s="498"/>
      <c r="AR114" s="498"/>
      <c r="AS114" s="498"/>
      <c r="AT114" s="498"/>
      <c r="AU114" s="498"/>
      <c r="AV114" s="922"/>
    </row>
    <row r="115" spans="1:48">
      <c r="A115" s="95"/>
      <c r="B115" s="22" t="s">
        <v>18</v>
      </c>
      <c r="C115" s="30" t="s">
        <v>633</v>
      </c>
      <c r="D115" s="18"/>
      <c r="E115" s="61"/>
      <c r="F115" s="917"/>
      <c r="G115" s="18" t="s">
        <v>18</v>
      </c>
      <c r="H115" s="18" t="s">
        <v>19</v>
      </c>
      <c r="I115" s="917"/>
      <c r="J115" s="451"/>
      <c r="K115" s="922"/>
      <c r="L115" s="932"/>
      <c r="M115" s="935"/>
      <c r="N115" s="64"/>
      <c r="O115" s="76"/>
      <c r="P115" s="77"/>
      <c r="Q115" s="76"/>
      <c r="R115" s="78"/>
      <c r="S115" s="18"/>
      <c r="T115" s="20"/>
      <c r="U115" s="344">
        <v>3</v>
      </c>
      <c r="V115" s="333" t="s">
        <v>585</v>
      </c>
      <c r="W115" s="332">
        <v>30</v>
      </c>
      <c r="X115" s="332">
        <v>15</v>
      </c>
      <c r="Y115" s="332">
        <v>5</v>
      </c>
      <c r="Z115" s="335">
        <v>50</v>
      </c>
      <c r="AA115" s="64"/>
      <c r="AB115" s="24"/>
      <c r="AC115" s="23"/>
      <c r="AD115" s="941"/>
      <c r="AE115" s="944"/>
      <c r="AF115" s="498"/>
      <c r="AG115" s="498"/>
      <c r="AH115" s="498"/>
      <c r="AI115" s="498"/>
      <c r="AJ115" s="498"/>
      <c r="AK115" s="498"/>
      <c r="AL115" s="498"/>
      <c r="AM115" s="498"/>
      <c r="AN115" s="498"/>
      <c r="AO115" s="498"/>
      <c r="AP115" s="498"/>
      <c r="AQ115" s="498"/>
      <c r="AR115" s="498"/>
      <c r="AS115" s="498"/>
      <c r="AT115" s="498"/>
      <c r="AU115" s="498"/>
      <c r="AV115" s="922"/>
    </row>
    <row r="116" spans="1:48" ht="55.2">
      <c r="A116" s="95"/>
      <c r="B116" s="26" t="s">
        <v>12</v>
      </c>
      <c r="C116" s="25" t="s">
        <v>885</v>
      </c>
      <c r="D116" s="18"/>
      <c r="E116" s="61"/>
      <c r="F116" s="917"/>
      <c r="G116" s="93"/>
      <c r="H116" s="24"/>
      <c r="I116" s="917"/>
      <c r="J116" s="451"/>
      <c r="K116" s="922"/>
      <c r="L116" s="932"/>
      <c r="M116" s="935"/>
      <c r="N116" s="64"/>
      <c r="O116" s="76"/>
      <c r="P116" s="77"/>
      <c r="Q116" s="76"/>
      <c r="R116" s="78"/>
      <c r="S116" s="18"/>
      <c r="T116" s="20"/>
      <c r="U116" s="344">
        <v>4</v>
      </c>
      <c r="V116" s="333" t="s">
        <v>56</v>
      </c>
      <c r="W116" s="332">
        <v>30</v>
      </c>
      <c r="X116" s="332">
        <v>15</v>
      </c>
      <c r="Y116" s="332">
        <v>5</v>
      </c>
      <c r="Z116" s="335">
        <v>50</v>
      </c>
      <c r="AA116" s="64"/>
      <c r="AB116" s="24"/>
      <c r="AC116" s="23"/>
      <c r="AD116" s="941"/>
      <c r="AE116" s="944"/>
      <c r="AF116" s="498"/>
      <c r="AG116" s="498"/>
      <c r="AH116" s="498"/>
      <c r="AI116" s="498"/>
      <c r="AJ116" s="498"/>
      <c r="AK116" s="498"/>
      <c r="AL116" s="498"/>
      <c r="AM116" s="498"/>
      <c r="AN116" s="498"/>
      <c r="AO116" s="498"/>
      <c r="AP116" s="498"/>
      <c r="AQ116" s="498"/>
      <c r="AR116" s="498"/>
      <c r="AS116" s="498"/>
      <c r="AT116" s="498"/>
      <c r="AU116" s="498"/>
      <c r="AV116" s="922"/>
    </row>
    <row r="117" spans="1:48">
      <c r="A117" s="95"/>
      <c r="B117" s="22" t="s">
        <v>8</v>
      </c>
      <c r="C117" s="62" t="s">
        <v>884</v>
      </c>
      <c r="D117" s="18"/>
      <c r="E117" s="61"/>
      <c r="F117" s="917"/>
      <c r="G117" s="93"/>
      <c r="H117" s="24"/>
      <c r="I117" s="917"/>
      <c r="J117" s="451"/>
      <c r="K117" s="922"/>
      <c r="L117" s="932"/>
      <c r="M117" s="935"/>
      <c r="N117" s="64"/>
      <c r="O117" s="76"/>
      <c r="P117" s="77"/>
      <c r="Q117" s="76"/>
      <c r="R117" s="78"/>
      <c r="S117" s="18"/>
      <c r="T117" s="20"/>
      <c r="U117" s="344">
        <v>5</v>
      </c>
      <c r="V117" s="333" t="s">
        <v>58</v>
      </c>
      <c r="W117" s="332">
        <v>45</v>
      </c>
      <c r="X117" s="332">
        <v>2</v>
      </c>
      <c r="Y117" s="332">
        <v>3</v>
      </c>
      <c r="Z117" s="335">
        <v>50</v>
      </c>
      <c r="AA117" s="64"/>
      <c r="AB117" s="24"/>
      <c r="AC117" s="23"/>
      <c r="AD117" s="941"/>
      <c r="AE117" s="944"/>
      <c r="AF117" s="498"/>
      <c r="AG117" s="498"/>
      <c r="AH117" s="498"/>
      <c r="AI117" s="498"/>
      <c r="AJ117" s="498"/>
      <c r="AK117" s="498"/>
      <c r="AL117" s="498"/>
      <c r="AM117" s="498"/>
      <c r="AN117" s="498"/>
      <c r="AO117" s="498"/>
      <c r="AP117" s="498"/>
      <c r="AQ117" s="498"/>
      <c r="AR117" s="498"/>
      <c r="AS117" s="498"/>
      <c r="AT117" s="498"/>
      <c r="AU117" s="498"/>
      <c r="AV117" s="922"/>
    </row>
    <row r="118" spans="1:48">
      <c r="A118" s="95"/>
      <c r="B118" s="78"/>
      <c r="C118" s="30"/>
      <c r="D118" s="18"/>
      <c r="E118" s="61"/>
      <c r="F118" s="917"/>
      <c r="G118" s="93"/>
      <c r="H118" s="24"/>
      <c r="I118" s="917"/>
      <c r="J118" s="451"/>
      <c r="K118" s="922"/>
      <c r="L118" s="932"/>
      <c r="M118" s="935"/>
      <c r="N118" s="64"/>
      <c r="O118" s="76"/>
      <c r="P118" s="77"/>
      <c r="Q118" s="76"/>
      <c r="R118" s="78"/>
      <c r="S118" s="18"/>
      <c r="T118" s="20"/>
      <c r="U118" s="344">
        <v>6</v>
      </c>
      <c r="V118" s="333" t="s">
        <v>883</v>
      </c>
      <c r="W118" s="332">
        <v>39</v>
      </c>
      <c r="X118" s="332">
        <v>2</v>
      </c>
      <c r="Y118" s="332">
        <v>9</v>
      </c>
      <c r="Z118" s="335">
        <v>50</v>
      </c>
      <c r="AA118" s="64"/>
      <c r="AB118" s="24"/>
      <c r="AC118" s="23"/>
      <c r="AD118" s="941"/>
      <c r="AE118" s="944"/>
      <c r="AF118" s="498"/>
      <c r="AG118" s="498"/>
      <c r="AH118" s="498"/>
      <c r="AI118" s="498"/>
      <c r="AJ118" s="498"/>
      <c r="AK118" s="498"/>
      <c r="AL118" s="498"/>
      <c r="AM118" s="498"/>
      <c r="AN118" s="498"/>
      <c r="AO118" s="498"/>
      <c r="AP118" s="498"/>
      <c r="AQ118" s="498"/>
      <c r="AR118" s="498"/>
      <c r="AS118" s="498"/>
      <c r="AT118" s="498"/>
      <c r="AU118" s="498"/>
      <c r="AV118" s="922"/>
    </row>
    <row r="119" spans="1:48">
      <c r="A119" s="23"/>
      <c r="B119" s="22"/>
      <c r="C119" s="33"/>
      <c r="D119" s="18"/>
      <c r="E119" s="61"/>
      <c r="F119" s="917"/>
      <c r="G119" s="18"/>
      <c r="H119" s="18"/>
      <c r="I119" s="917"/>
      <c r="J119" s="451"/>
      <c r="K119" s="922"/>
      <c r="L119" s="932"/>
      <c r="M119" s="935"/>
      <c r="N119" s="18"/>
      <c r="O119" s="17"/>
      <c r="P119" s="447"/>
      <c r="Q119" s="451"/>
      <c r="R119" s="22"/>
      <c r="S119" s="18"/>
      <c r="T119" s="20"/>
      <c r="U119" s="63"/>
      <c r="V119" s="20"/>
      <c r="W119" s="20"/>
      <c r="X119" s="20"/>
      <c r="Y119" s="20"/>
      <c r="Z119" s="331"/>
      <c r="AA119" s="18"/>
      <c r="AB119" s="24"/>
      <c r="AC119" s="23"/>
      <c r="AD119" s="941"/>
      <c r="AE119" s="944"/>
      <c r="AF119" s="498"/>
      <c r="AG119" s="498"/>
      <c r="AH119" s="498"/>
      <c r="AI119" s="498"/>
      <c r="AJ119" s="498"/>
      <c r="AK119" s="498"/>
      <c r="AL119" s="498"/>
      <c r="AM119" s="498"/>
      <c r="AN119" s="498"/>
      <c r="AO119" s="498"/>
      <c r="AP119" s="498"/>
      <c r="AQ119" s="498"/>
      <c r="AR119" s="498"/>
      <c r="AS119" s="498"/>
      <c r="AT119" s="498"/>
      <c r="AU119" s="498"/>
      <c r="AV119" s="922"/>
    </row>
    <row r="120" spans="1:48">
      <c r="A120" s="23"/>
      <c r="B120" s="22"/>
      <c r="C120" s="30"/>
      <c r="D120" s="18"/>
      <c r="E120" s="61"/>
      <c r="F120" s="917"/>
      <c r="G120" s="18"/>
      <c r="H120" s="18"/>
      <c r="I120" s="917"/>
      <c r="J120" s="451"/>
      <c r="K120" s="922"/>
      <c r="L120" s="932"/>
      <c r="M120" s="935"/>
      <c r="N120" s="18"/>
      <c r="O120" s="24"/>
      <c r="P120" s="23"/>
      <c r="Q120" s="21"/>
      <c r="R120" s="22" t="s">
        <v>16</v>
      </c>
      <c r="S120" s="18" t="s">
        <v>15</v>
      </c>
      <c r="T120" s="20">
        <v>5</v>
      </c>
      <c r="U120" s="344">
        <v>1</v>
      </c>
      <c r="V120" s="333" t="s">
        <v>882</v>
      </c>
      <c r="W120" s="333">
        <v>50</v>
      </c>
      <c r="X120" s="333">
        <v>0</v>
      </c>
      <c r="Y120" s="333">
        <v>0</v>
      </c>
      <c r="Z120" s="335">
        <f>SUM(W120:Y120)</f>
        <v>50</v>
      </c>
      <c r="AA120" s="18"/>
      <c r="AB120" s="24"/>
      <c r="AC120" s="23"/>
      <c r="AD120" s="941"/>
      <c r="AE120" s="944"/>
      <c r="AF120" s="498"/>
      <c r="AG120" s="498"/>
      <c r="AH120" s="498"/>
      <c r="AI120" s="498"/>
      <c r="AJ120" s="498"/>
      <c r="AK120" s="498"/>
      <c r="AL120" s="498"/>
      <c r="AM120" s="498"/>
      <c r="AN120" s="498"/>
      <c r="AO120" s="498"/>
      <c r="AP120" s="498"/>
      <c r="AQ120" s="498"/>
      <c r="AR120" s="498"/>
      <c r="AS120" s="498"/>
      <c r="AT120" s="498"/>
      <c r="AU120" s="498"/>
      <c r="AV120" s="922"/>
    </row>
    <row r="121" spans="1:48">
      <c r="A121" s="23"/>
      <c r="B121" s="22"/>
      <c r="C121" s="30"/>
      <c r="D121" s="18"/>
      <c r="E121" s="61"/>
      <c r="F121" s="917"/>
      <c r="G121" s="18"/>
      <c r="H121" s="18"/>
      <c r="I121" s="917"/>
      <c r="J121" s="451"/>
      <c r="K121" s="922"/>
      <c r="L121" s="932"/>
      <c r="M121" s="935"/>
      <c r="N121" s="18"/>
      <c r="O121" s="24"/>
      <c r="P121" s="23"/>
      <c r="Q121" s="21"/>
      <c r="R121" s="22"/>
      <c r="S121" s="18"/>
      <c r="T121" s="20"/>
      <c r="U121" s="344">
        <v>2</v>
      </c>
      <c r="V121" s="333" t="s">
        <v>881</v>
      </c>
      <c r="W121" s="333">
        <v>50</v>
      </c>
      <c r="X121" s="333">
        <v>0</v>
      </c>
      <c r="Y121" s="333">
        <v>0</v>
      </c>
      <c r="Z121" s="335">
        <f>SUM(W121:Y121)</f>
        <v>50</v>
      </c>
      <c r="AA121" s="18"/>
      <c r="AB121" s="24"/>
      <c r="AC121" s="23"/>
      <c r="AD121" s="941"/>
      <c r="AE121" s="944"/>
      <c r="AF121" s="498"/>
      <c r="AG121" s="498"/>
      <c r="AH121" s="498"/>
      <c r="AI121" s="498"/>
      <c r="AJ121" s="498"/>
      <c r="AK121" s="498"/>
      <c r="AL121" s="498"/>
      <c r="AM121" s="498"/>
      <c r="AN121" s="498"/>
      <c r="AO121" s="498"/>
      <c r="AP121" s="498"/>
      <c r="AQ121" s="498"/>
      <c r="AR121" s="498"/>
      <c r="AS121" s="498"/>
      <c r="AT121" s="498"/>
      <c r="AU121" s="498"/>
      <c r="AV121" s="922"/>
    </row>
    <row r="122" spans="1:48">
      <c r="A122" s="23"/>
      <c r="B122" s="22"/>
      <c r="C122" s="30"/>
      <c r="D122" s="18"/>
      <c r="E122" s="61"/>
      <c r="F122" s="917"/>
      <c r="G122" s="18"/>
      <c r="H122" s="18"/>
      <c r="I122" s="917"/>
      <c r="J122" s="451"/>
      <c r="K122" s="922"/>
      <c r="L122" s="932"/>
      <c r="M122" s="935"/>
      <c r="N122" s="18"/>
      <c r="O122" s="24"/>
      <c r="P122" s="23"/>
      <c r="Q122" s="21"/>
      <c r="R122" s="22"/>
      <c r="S122" s="18"/>
      <c r="T122" s="20"/>
      <c r="U122" s="344">
        <v>3</v>
      </c>
      <c r="V122" s="333" t="s">
        <v>807</v>
      </c>
      <c r="W122" s="333">
        <v>70</v>
      </c>
      <c r="X122" s="333">
        <v>0</v>
      </c>
      <c r="Y122" s="333">
        <v>0</v>
      </c>
      <c r="Z122" s="335">
        <f>SUM(W122:Y122)</f>
        <v>70</v>
      </c>
      <c r="AA122" s="18"/>
      <c r="AB122" s="24"/>
      <c r="AC122" s="23"/>
      <c r="AD122" s="941"/>
      <c r="AE122" s="944"/>
      <c r="AF122" s="498"/>
      <c r="AG122" s="498"/>
      <c r="AH122" s="498"/>
      <c r="AI122" s="498"/>
      <c r="AJ122" s="498"/>
      <c r="AK122" s="498"/>
      <c r="AL122" s="498"/>
      <c r="AM122" s="498"/>
      <c r="AN122" s="498"/>
      <c r="AO122" s="498"/>
      <c r="AP122" s="498"/>
      <c r="AQ122" s="498"/>
      <c r="AR122" s="498"/>
      <c r="AS122" s="498"/>
      <c r="AT122" s="498"/>
      <c r="AU122" s="498"/>
      <c r="AV122" s="922"/>
    </row>
    <row r="123" spans="1:48">
      <c r="A123" s="23"/>
      <c r="B123" s="22"/>
      <c r="C123" s="30"/>
      <c r="D123" s="18"/>
      <c r="E123" s="61"/>
      <c r="F123" s="917"/>
      <c r="G123" s="18"/>
      <c r="H123" s="18"/>
      <c r="I123" s="917"/>
      <c r="J123" s="451"/>
      <c r="K123" s="922"/>
      <c r="L123" s="932"/>
      <c r="M123" s="935"/>
      <c r="N123" s="18"/>
      <c r="O123" s="24"/>
      <c r="P123" s="23"/>
      <c r="Q123" s="21"/>
      <c r="R123" s="22"/>
      <c r="S123" s="18"/>
      <c r="T123" s="20"/>
      <c r="U123" s="344">
        <v>4</v>
      </c>
      <c r="V123" s="333" t="s">
        <v>880</v>
      </c>
      <c r="W123" s="333">
        <v>150</v>
      </c>
      <c r="X123" s="333">
        <v>0</v>
      </c>
      <c r="Y123" s="333">
        <v>0</v>
      </c>
      <c r="Z123" s="335">
        <f>SUM(W123:Y123)</f>
        <v>150</v>
      </c>
      <c r="AA123" s="18"/>
      <c r="AB123" s="24"/>
      <c r="AC123" s="23"/>
      <c r="AD123" s="941"/>
      <c r="AE123" s="944"/>
      <c r="AF123" s="498"/>
      <c r="AG123" s="498"/>
      <c r="AH123" s="498"/>
      <c r="AI123" s="498"/>
      <c r="AJ123" s="498"/>
      <c r="AK123" s="498">
        <v>6000</v>
      </c>
      <c r="AL123" s="498"/>
      <c r="AM123" s="498"/>
      <c r="AN123" s="498"/>
      <c r="AO123" s="498"/>
      <c r="AP123" s="498"/>
      <c r="AQ123" s="498"/>
      <c r="AR123" s="498"/>
      <c r="AS123" s="498"/>
      <c r="AT123" s="498"/>
      <c r="AU123" s="498"/>
      <c r="AV123" s="922"/>
    </row>
    <row r="124" spans="1:48" ht="27.6">
      <c r="A124" s="23"/>
      <c r="B124" s="22"/>
      <c r="C124" s="30"/>
      <c r="D124" s="18"/>
      <c r="E124" s="61"/>
      <c r="F124" s="917"/>
      <c r="G124" s="18"/>
      <c r="H124" s="18"/>
      <c r="I124" s="917"/>
      <c r="J124" s="451"/>
      <c r="K124" s="922"/>
      <c r="L124" s="932"/>
      <c r="M124" s="935"/>
      <c r="N124" s="18"/>
      <c r="O124" s="24"/>
      <c r="P124" s="23"/>
      <c r="Q124" s="21"/>
      <c r="R124" s="22"/>
      <c r="S124" s="18"/>
      <c r="T124" s="20"/>
      <c r="U124" s="344">
        <v>5</v>
      </c>
      <c r="V124" s="333" t="s">
        <v>647</v>
      </c>
      <c r="W124" s="333">
        <v>10</v>
      </c>
      <c r="X124" s="333">
        <v>0</v>
      </c>
      <c r="Y124" s="333">
        <v>0</v>
      </c>
      <c r="Z124" s="335">
        <f>SUM(W124:Y124)</f>
        <v>10</v>
      </c>
      <c r="AA124" s="18"/>
      <c r="AB124" s="24"/>
      <c r="AC124" s="23"/>
      <c r="AD124" s="941"/>
      <c r="AE124" s="944"/>
      <c r="AF124" s="498"/>
      <c r="AG124" s="498"/>
      <c r="AH124" s="498"/>
      <c r="AI124" s="498"/>
      <c r="AJ124" s="498"/>
      <c r="AK124" s="498"/>
      <c r="AL124" s="498"/>
      <c r="AM124" s="498"/>
      <c r="AN124" s="498"/>
      <c r="AO124" s="498"/>
      <c r="AP124" s="498"/>
      <c r="AQ124" s="498"/>
      <c r="AR124" s="498"/>
      <c r="AS124" s="498"/>
      <c r="AT124" s="498"/>
      <c r="AU124" s="498"/>
      <c r="AV124" s="922"/>
    </row>
    <row r="125" spans="1:48">
      <c r="A125" s="23"/>
      <c r="B125" s="22"/>
      <c r="C125" s="30"/>
      <c r="D125" s="18"/>
      <c r="E125" s="61"/>
      <c r="F125" s="917"/>
      <c r="G125" s="18"/>
      <c r="H125" s="18"/>
      <c r="I125" s="917"/>
      <c r="J125" s="451"/>
      <c r="K125" s="922"/>
      <c r="L125" s="932"/>
      <c r="M125" s="935"/>
      <c r="N125" s="18"/>
      <c r="O125" s="24"/>
      <c r="P125" s="23"/>
      <c r="Q125" s="21"/>
      <c r="R125" s="22"/>
      <c r="S125" s="18"/>
      <c r="T125" s="20"/>
      <c r="U125" s="343"/>
      <c r="V125" s="342"/>
      <c r="W125" s="341"/>
      <c r="X125" s="341"/>
      <c r="Y125" s="341"/>
      <c r="Z125" s="340"/>
      <c r="AA125" s="18"/>
      <c r="AB125" s="24"/>
      <c r="AC125" s="23"/>
      <c r="AD125" s="941"/>
      <c r="AE125" s="944"/>
      <c r="AF125" s="498"/>
      <c r="AG125" s="498"/>
      <c r="AH125" s="498"/>
      <c r="AI125" s="498"/>
      <c r="AJ125" s="498"/>
      <c r="AK125" s="498"/>
      <c r="AL125" s="498"/>
      <c r="AM125" s="498"/>
      <c r="AN125" s="498"/>
      <c r="AO125" s="498"/>
      <c r="AP125" s="498"/>
      <c r="AQ125" s="498"/>
      <c r="AR125" s="498"/>
      <c r="AS125" s="498"/>
      <c r="AT125" s="498"/>
      <c r="AU125" s="498"/>
      <c r="AV125" s="922"/>
    </row>
    <row r="126" spans="1:48">
      <c r="A126" s="46" t="s">
        <v>674</v>
      </c>
      <c r="B126" s="40" t="s">
        <v>25</v>
      </c>
      <c r="C126" s="103" t="s">
        <v>879</v>
      </c>
      <c r="D126" s="44"/>
      <c r="E126" s="71"/>
      <c r="F126" s="929" t="s">
        <v>878</v>
      </c>
      <c r="G126" s="43" t="s">
        <v>25</v>
      </c>
      <c r="H126" s="35" t="s">
        <v>839</v>
      </c>
      <c r="I126" s="916">
        <v>316</v>
      </c>
      <c r="J126" s="453"/>
      <c r="K126" s="921" t="s">
        <v>877</v>
      </c>
      <c r="L126" s="931" t="s">
        <v>46</v>
      </c>
      <c r="M126" s="924" t="s">
        <v>46</v>
      </c>
      <c r="N126" s="36"/>
      <c r="O126" s="56" t="s">
        <v>876</v>
      </c>
      <c r="P126" s="42"/>
      <c r="Q126" s="42"/>
      <c r="R126" s="40" t="s">
        <v>25</v>
      </c>
      <c r="S126" s="44" t="s">
        <v>24</v>
      </c>
      <c r="T126" s="122">
        <v>14</v>
      </c>
      <c r="U126" s="338">
        <v>1</v>
      </c>
      <c r="V126" s="339" t="s">
        <v>14</v>
      </c>
      <c r="W126" s="339">
        <v>10</v>
      </c>
      <c r="X126" s="339">
        <v>14</v>
      </c>
      <c r="Y126" s="339">
        <v>0</v>
      </c>
      <c r="Z126" s="338">
        <f t="shared" ref="Z126:Z141" si="6">SUM(W126:Y126)</f>
        <v>24</v>
      </c>
      <c r="AA126" s="36"/>
      <c r="AB126" s="35"/>
      <c r="AC126" s="34"/>
      <c r="AD126" s="940"/>
      <c r="AE126" s="943"/>
      <c r="AF126" s="497"/>
      <c r="AG126" s="497"/>
      <c r="AH126" s="497"/>
      <c r="AI126" s="497"/>
      <c r="AJ126" s="497"/>
      <c r="AK126" s="497"/>
      <c r="AL126" s="497"/>
      <c r="AM126" s="497"/>
      <c r="AN126" s="497"/>
      <c r="AO126" s="497"/>
      <c r="AP126" s="497"/>
      <c r="AQ126" s="497"/>
      <c r="AR126" s="497"/>
      <c r="AS126" s="497"/>
      <c r="AT126" s="497"/>
      <c r="AU126" s="497"/>
      <c r="AV126" s="921"/>
    </row>
    <row r="127" spans="1:48" ht="27.6">
      <c r="A127" s="95"/>
      <c r="B127" s="78" t="s">
        <v>16</v>
      </c>
      <c r="C127" s="30" t="s">
        <v>875</v>
      </c>
      <c r="D127" s="18"/>
      <c r="E127" s="61"/>
      <c r="F127" s="917"/>
      <c r="G127" s="93" t="s">
        <v>16</v>
      </c>
      <c r="H127" s="24" t="s">
        <v>874</v>
      </c>
      <c r="I127" s="917"/>
      <c r="J127" s="451"/>
      <c r="K127" s="922"/>
      <c r="L127" s="932"/>
      <c r="M127" s="935"/>
      <c r="N127" s="78" t="s">
        <v>25</v>
      </c>
      <c r="O127" s="33" t="s">
        <v>873</v>
      </c>
      <c r="P127" s="20">
        <v>1</v>
      </c>
      <c r="Q127" s="20">
        <v>109.64</v>
      </c>
      <c r="R127" s="78"/>
      <c r="S127" s="18"/>
      <c r="T127" s="20"/>
      <c r="U127" s="335">
        <v>2</v>
      </c>
      <c r="V127" s="333" t="s">
        <v>82</v>
      </c>
      <c r="W127" s="333">
        <v>4</v>
      </c>
      <c r="X127" s="333">
        <v>0</v>
      </c>
      <c r="Y127" s="333">
        <v>0</v>
      </c>
      <c r="Z127" s="335">
        <f t="shared" si="6"/>
        <v>4</v>
      </c>
      <c r="AA127" s="64"/>
      <c r="AB127" s="24"/>
      <c r="AC127" s="23"/>
      <c r="AD127" s="941"/>
      <c r="AE127" s="944"/>
      <c r="AF127" s="498"/>
      <c r="AG127" s="498"/>
      <c r="AH127" s="498"/>
      <c r="AI127" s="498"/>
      <c r="AJ127" s="498"/>
      <c r="AK127" s="498"/>
      <c r="AL127" s="498"/>
      <c r="AM127" s="498"/>
      <c r="AN127" s="498"/>
      <c r="AO127" s="498"/>
      <c r="AP127" s="498"/>
      <c r="AQ127" s="498"/>
      <c r="AR127" s="498"/>
      <c r="AS127" s="498"/>
      <c r="AT127" s="498"/>
      <c r="AU127" s="498"/>
      <c r="AV127" s="922"/>
    </row>
    <row r="128" spans="1:48" ht="27.6">
      <c r="A128" s="95"/>
      <c r="B128" s="22" t="s">
        <v>18</v>
      </c>
      <c r="C128" s="30" t="s">
        <v>404</v>
      </c>
      <c r="D128" s="18"/>
      <c r="E128" s="61"/>
      <c r="F128" s="917"/>
      <c r="G128" s="18" t="s">
        <v>18</v>
      </c>
      <c r="H128" s="18" t="s">
        <v>19</v>
      </c>
      <c r="I128" s="917"/>
      <c r="J128" s="451"/>
      <c r="K128" s="922"/>
      <c r="L128" s="932"/>
      <c r="M128" s="935"/>
      <c r="N128" s="64" t="s">
        <v>16</v>
      </c>
      <c r="O128" s="17" t="s">
        <v>274</v>
      </c>
      <c r="P128" s="20">
        <v>1</v>
      </c>
      <c r="Q128" s="20">
        <v>97.72</v>
      </c>
      <c r="R128" s="78"/>
      <c r="S128" s="18"/>
      <c r="T128" s="20"/>
      <c r="U128" s="335">
        <v>3</v>
      </c>
      <c r="V128" s="333" t="s">
        <v>872</v>
      </c>
      <c r="W128" s="333">
        <v>0</v>
      </c>
      <c r="X128" s="333">
        <v>2</v>
      </c>
      <c r="Y128" s="333">
        <v>0</v>
      </c>
      <c r="Z128" s="335">
        <f t="shared" si="6"/>
        <v>2</v>
      </c>
      <c r="AA128" s="64"/>
      <c r="AB128" s="24"/>
      <c r="AC128" s="23"/>
      <c r="AD128" s="941"/>
      <c r="AE128" s="944"/>
      <c r="AF128" s="498"/>
      <c r="AG128" s="498"/>
      <c r="AH128" s="498"/>
      <c r="AI128" s="498"/>
      <c r="AJ128" s="498"/>
      <c r="AK128" s="498"/>
      <c r="AL128" s="498"/>
      <c r="AM128" s="498"/>
      <c r="AN128" s="498"/>
      <c r="AO128" s="498"/>
      <c r="AP128" s="498"/>
      <c r="AQ128" s="498"/>
      <c r="AR128" s="498"/>
      <c r="AS128" s="498"/>
      <c r="AT128" s="498"/>
      <c r="AU128" s="498"/>
      <c r="AV128" s="922"/>
    </row>
    <row r="129" spans="1:48" ht="41.4">
      <c r="A129" s="95"/>
      <c r="B129" s="26" t="s">
        <v>12</v>
      </c>
      <c r="C129" s="25" t="s">
        <v>871</v>
      </c>
      <c r="D129" s="18"/>
      <c r="E129" s="61"/>
      <c r="F129" s="917"/>
      <c r="G129" s="93"/>
      <c r="H129" s="24"/>
      <c r="I129" s="917"/>
      <c r="J129" s="451"/>
      <c r="K129" s="922"/>
      <c r="L129" s="932"/>
      <c r="M129" s="935"/>
      <c r="N129" s="64" t="s">
        <v>18</v>
      </c>
      <c r="O129" s="18" t="s">
        <v>21</v>
      </c>
      <c r="P129" s="20">
        <v>1</v>
      </c>
      <c r="Q129" s="20">
        <v>25.68</v>
      </c>
      <c r="R129" s="78"/>
      <c r="S129" s="18"/>
      <c r="T129" s="20"/>
      <c r="U129" s="335">
        <v>4</v>
      </c>
      <c r="V129" s="333" t="s">
        <v>6</v>
      </c>
      <c r="W129" s="333">
        <v>0</v>
      </c>
      <c r="X129" s="333">
        <v>3</v>
      </c>
      <c r="Y129" s="333">
        <v>0</v>
      </c>
      <c r="Z129" s="335">
        <f t="shared" si="6"/>
        <v>3</v>
      </c>
      <c r="AA129" s="64"/>
      <c r="AB129" s="24"/>
      <c r="AC129" s="23"/>
      <c r="AD129" s="941"/>
      <c r="AE129" s="944"/>
      <c r="AF129" s="498"/>
      <c r="AG129" s="498"/>
      <c r="AH129" s="498"/>
      <c r="AI129" s="498"/>
      <c r="AJ129" s="498"/>
      <c r="AK129" s="498"/>
      <c r="AL129" s="498"/>
      <c r="AM129" s="498"/>
      <c r="AN129" s="498"/>
      <c r="AO129" s="498"/>
      <c r="AP129" s="498"/>
      <c r="AQ129" s="498"/>
      <c r="AR129" s="498"/>
      <c r="AS129" s="498"/>
      <c r="AT129" s="498"/>
      <c r="AU129" s="498"/>
      <c r="AV129" s="922"/>
    </row>
    <row r="130" spans="1:48">
      <c r="A130" s="95"/>
      <c r="B130" s="22" t="s">
        <v>8</v>
      </c>
      <c r="C130" s="62" t="s">
        <v>870</v>
      </c>
      <c r="D130" s="18"/>
      <c r="E130" s="61"/>
      <c r="F130" s="917"/>
      <c r="G130" s="93"/>
      <c r="H130" s="24"/>
      <c r="I130" s="917"/>
      <c r="J130" s="451"/>
      <c r="K130" s="922"/>
      <c r="L130" s="932"/>
      <c r="M130" s="935"/>
      <c r="N130" s="64" t="s">
        <v>12</v>
      </c>
      <c r="O130" s="17" t="s">
        <v>17</v>
      </c>
      <c r="P130" s="20">
        <v>2</v>
      </c>
      <c r="Q130" s="76"/>
      <c r="R130" s="78"/>
      <c r="S130" s="18"/>
      <c r="T130" s="20"/>
      <c r="U130" s="335">
        <v>5</v>
      </c>
      <c r="V130" s="333" t="s">
        <v>268</v>
      </c>
      <c r="W130" s="333">
        <v>0</v>
      </c>
      <c r="X130" s="333">
        <v>4</v>
      </c>
      <c r="Y130" s="333">
        <v>0</v>
      </c>
      <c r="Z130" s="335">
        <f t="shared" si="6"/>
        <v>4</v>
      </c>
      <c r="AA130" s="64"/>
      <c r="AB130" s="24"/>
      <c r="AC130" s="23"/>
      <c r="AD130" s="941"/>
      <c r="AE130" s="944"/>
      <c r="AF130" s="498"/>
      <c r="AG130" s="498"/>
      <c r="AH130" s="498"/>
      <c r="AI130" s="498"/>
      <c r="AJ130" s="498"/>
      <c r="AK130" s="498"/>
      <c r="AL130" s="498"/>
      <c r="AM130" s="498"/>
      <c r="AN130" s="498"/>
      <c r="AO130" s="498"/>
      <c r="AP130" s="498"/>
      <c r="AQ130" s="498"/>
      <c r="AR130" s="498"/>
      <c r="AS130" s="498"/>
      <c r="AT130" s="498"/>
      <c r="AU130" s="498"/>
      <c r="AV130" s="922"/>
    </row>
    <row r="131" spans="1:48">
      <c r="A131" s="95"/>
      <c r="B131" s="78"/>
      <c r="C131" s="30"/>
      <c r="D131" s="18"/>
      <c r="E131" s="61"/>
      <c r="F131" s="917"/>
      <c r="G131" s="93"/>
      <c r="H131" s="24"/>
      <c r="I131" s="917"/>
      <c r="J131" s="451"/>
      <c r="K131" s="922"/>
      <c r="L131" s="932"/>
      <c r="M131" s="935"/>
      <c r="N131" s="64" t="s">
        <v>8</v>
      </c>
      <c r="O131" s="17" t="s">
        <v>11</v>
      </c>
      <c r="P131" s="77">
        <v>2</v>
      </c>
      <c r="Q131" s="77"/>
      <c r="R131" s="78"/>
      <c r="S131" s="18"/>
      <c r="T131" s="20"/>
      <c r="U131" s="335">
        <v>6</v>
      </c>
      <c r="V131" s="333" t="s">
        <v>137</v>
      </c>
      <c r="W131" s="333">
        <v>10</v>
      </c>
      <c r="X131" s="333">
        <v>0</v>
      </c>
      <c r="Y131" s="333">
        <v>0</v>
      </c>
      <c r="Z131" s="335">
        <f t="shared" si="6"/>
        <v>10</v>
      </c>
      <c r="AA131" s="64"/>
      <c r="AB131" s="24"/>
      <c r="AC131" s="23"/>
      <c r="AD131" s="941"/>
      <c r="AE131" s="944"/>
      <c r="AF131" s="498"/>
      <c r="AG131" s="498"/>
      <c r="AH131" s="498"/>
      <c r="AI131" s="498"/>
      <c r="AJ131" s="498"/>
      <c r="AK131" s="498"/>
      <c r="AL131" s="498"/>
      <c r="AM131" s="498"/>
      <c r="AN131" s="498"/>
      <c r="AO131" s="498"/>
      <c r="AP131" s="498"/>
      <c r="AQ131" s="498"/>
      <c r="AR131" s="498"/>
      <c r="AS131" s="498"/>
      <c r="AT131" s="498"/>
      <c r="AU131" s="498"/>
      <c r="AV131" s="922"/>
    </row>
    <row r="132" spans="1:48">
      <c r="A132" s="95"/>
      <c r="B132" s="78"/>
      <c r="C132" s="30"/>
      <c r="D132" s="18"/>
      <c r="E132" s="61"/>
      <c r="F132" s="917"/>
      <c r="G132" s="93"/>
      <c r="H132" s="24"/>
      <c r="I132" s="917"/>
      <c r="J132" s="451"/>
      <c r="K132" s="922"/>
      <c r="L132" s="932"/>
      <c r="M132" s="935"/>
      <c r="N132" s="64" t="s">
        <v>54</v>
      </c>
      <c r="O132" s="17" t="s">
        <v>175</v>
      </c>
      <c r="P132" s="77">
        <v>1</v>
      </c>
      <c r="Q132" s="337">
        <v>36.9</v>
      </c>
      <c r="R132" s="78"/>
      <c r="S132" s="18"/>
      <c r="T132" s="20"/>
      <c r="U132" s="335">
        <v>7</v>
      </c>
      <c r="V132" s="333" t="s">
        <v>313</v>
      </c>
      <c r="W132" s="333">
        <v>5</v>
      </c>
      <c r="X132" s="333">
        <v>0</v>
      </c>
      <c r="Y132" s="333">
        <v>0</v>
      </c>
      <c r="Z132" s="335">
        <f t="shared" si="6"/>
        <v>5</v>
      </c>
      <c r="AA132" s="64"/>
      <c r="AB132" s="24"/>
      <c r="AC132" s="23"/>
      <c r="AD132" s="941"/>
      <c r="AE132" s="944"/>
      <c r="AF132" s="498"/>
      <c r="AG132" s="498"/>
      <c r="AH132" s="498"/>
      <c r="AI132" s="498"/>
      <c r="AJ132" s="498"/>
      <c r="AK132" s="498"/>
      <c r="AL132" s="498"/>
      <c r="AM132" s="498"/>
      <c r="AN132" s="498"/>
      <c r="AO132" s="498"/>
      <c r="AP132" s="498"/>
      <c r="AQ132" s="498"/>
      <c r="AR132" s="498"/>
      <c r="AS132" s="498"/>
      <c r="AT132" s="498"/>
      <c r="AU132" s="498"/>
      <c r="AV132" s="922"/>
    </row>
    <row r="133" spans="1:48">
      <c r="A133" s="95"/>
      <c r="B133" s="78"/>
      <c r="C133" s="30"/>
      <c r="D133" s="18"/>
      <c r="E133" s="61"/>
      <c r="F133" s="917"/>
      <c r="G133" s="93"/>
      <c r="H133" s="24"/>
      <c r="I133" s="917"/>
      <c r="J133" s="451"/>
      <c r="K133" s="922"/>
      <c r="L133" s="932"/>
      <c r="M133" s="935"/>
      <c r="N133" s="64" t="s">
        <v>53</v>
      </c>
      <c r="O133" s="17" t="s">
        <v>121</v>
      </c>
      <c r="P133" s="77">
        <v>1</v>
      </c>
      <c r="Q133" s="337">
        <v>29.7</v>
      </c>
      <c r="R133" s="78"/>
      <c r="S133" s="18"/>
      <c r="T133" s="20"/>
      <c r="U133" s="335">
        <v>8</v>
      </c>
      <c r="V133" s="333" t="s">
        <v>827</v>
      </c>
      <c r="W133" s="333">
        <v>0</v>
      </c>
      <c r="X133" s="333">
        <v>1005</v>
      </c>
      <c r="Y133" s="333">
        <v>0</v>
      </c>
      <c r="Z133" s="335">
        <f t="shared" si="6"/>
        <v>1005</v>
      </c>
      <c r="AA133" s="64"/>
      <c r="AB133" s="24"/>
      <c r="AC133" s="23"/>
      <c r="AD133" s="941"/>
      <c r="AE133" s="944"/>
      <c r="AF133" s="498"/>
      <c r="AG133" s="498"/>
      <c r="AH133" s="498"/>
      <c r="AI133" s="498"/>
      <c r="AJ133" s="498"/>
      <c r="AK133" s="498"/>
      <c r="AL133" s="498"/>
      <c r="AM133" s="498"/>
      <c r="AN133" s="498"/>
      <c r="AO133" s="498"/>
      <c r="AP133" s="498"/>
      <c r="AQ133" s="498"/>
      <c r="AR133" s="498"/>
      <c r="AS133" s="498"/>
      <c r="AT133" s="498"/>
      <c r="AU133" s="498"/>
      <c r="AV133" s="922"/>
    </row>
    <row r="134" spans="1:48">
      <c r="A134" s="95"/>
      <c r="B134" s="78"/>
      <c r="C134" s="30"/>
      <c r="D134" s="18"/>
      <c r="E134" s="61"/>
      <c r="F134" s="917"/>
      <c r="G134" s="93"/>
      <c r="H134" s="24"/>
      <c r="I134" s="917"/>
      <c r="J134" s="451"/>
      <c r="K134" s="922"/>
      <c r="L134" s="932"/>
      <c r="M134" s="935"/>
      <c r="N134" s="64" t="s">
        <v>51</v>
      </c>
      <c r="O134" s="17" t="s">
        <v>869</v>
      </c>
      <c r="P134" s="77">
        <v>1</v>
      </c>
      <c r="Q134" s="337">
        <v>7.3</v>
      </c>
      <c r="R134" s="78"/>
      <c r="S134" s="18"/>
      <c r="T134" s="20"/>
      <c r="U134" s="335">
        <v>9</v>
      </c>
      <c r="V134" s="333" t="s">
        <v>411</v>
      </c>
      <c r="W134" s="333">
        <v>4</v>
      </c>
      <c r="X134" s="333">
        <v>0</v>
      </c>
      <c r="Y134" s="333">
        <v>0</v>
      </c>
      <c r="Z134" s="335">
        <f t="shared" si="6"/>
        <v>4</v>
      </c>
      <c r="AA134" s="64"/>
      <c r="AB134" s="24"/>
      <c r="AC134" s="23"/>
      <c r="AD134" s="941"/>
      <c r="AE134" s="944"/>
      <c r="AF134" s="498"/>
      <c r="AG134" s="498"/>
      <c r="AH134" s="498"/>
      <c r="AI134" s="498"/>
      <c r="AJ134" s="498"/>
      <c r="AK134" s="498"/>
      <c r="AL134" s="498"/>
      <c r="AM134" s="498"/>
      <c r="AN134" s="498"/>
      <c r="AO134" s="498"/>
      <c r="AP134" s="498"/>
      <c r="AQ134" s="498"/>
      <c r="AR134" s="498"/>
      <c r="AS134" s="498"/>
      <c r="AT134" s="498"/>
      <c r="AU134" s="498"/>
      <c r="AV134" s="922"/>
    </row>
    <row r="135" spans="1:48" ht="27.6">
      <c r="A135" s="95"/>
      <c r="B135" s="78"/>
      <c r="C135" s="30"/>
      <c r="D135" s="18"/>
      <c r="E135" s="61"/>
      <c r="F135" s="917"/>
      <c r="G135" s="93"/>
      <c r="H135" s="24"/>
      <c r="I135" s="917"/>
      <c r="J135" s="451"/>
      <c r="K135" s="922"/>
      <c r="L135" s="932"/>
      <c r="M135" s="935"/>
      <c r="N135" s="64" t="s">
        <v>154</v>
      </c>
      <c r="O135" s="17" t="s">
        <v>399</v>
      </c>
      <c r="P135" s="77">
        <v>1</v>
      </c>
      <c r="Q135" s="337">
        <v>4</v>
      </c>
      <c r="R135" s="78"/>
      <c r="S135" s="18"/>
      <c r="T135" s="20"/>
      <c r="U135" s="335">
        <v>10</v>
      </c>
      <c r="V135" s="333" t="s">
        <v>868</v>
      </c>
      <c r="W135" s="333">
        <v>2</v>
      </c>
      <c r="X135" s="333">
        <v>0</v>
      </c>
      <c r="Y135" s="333">
        <v>0</v>
      </c>
      <c r="Z135" s="335">
        <f t="shared" si="6"/>
        <v>2</v>
      </c>
      <c r="AA135" s="64"/>
      <c r="AB135" s="24"/>
      <c r="AC135" s="23"/>
      <c r="AD135" s="941"/>
      <c r="AE135" s="944"/>
      <c r="AF135" s="498"/>
      <c r="AG135" s="498"/>
      <c r="AH135" s="498"/>
      <c r="AI135" s="498"/>
      <c r="AJ135" s="498"/>
      <c r="AK135" s="498"/>
      <c r="AL135" s="498"/>
      <c r="AM135" s="498"/>
      <c r="AN135" s="498"/>
      <c r="AO135" s="498"/>
      <c r="AP135" s="498"/>
      <c r="AQ135" s="498"/>
      <c r="AR135" s="498"/>
      <c r="AS135" s="498"/>
      <c r="AT135" s="498"/>
      <c r="AU135" s="498"/>
      <c r="AV135" s="922"/>
    </row>
    <row r="136" spans="1:48">
      <c r="A136" s="95"/>
      <c r="B136" s="78"/>
      <c r="C136" s="30"/>
      <c r="D136" s="18"/>
      <c r="E136" s="61"/>
      <c r="F136" s="917"/>
      <c r="G136" s="93"/>
      <c r="H136" s="24"/>
      <c r="I136" s="917"/>
      <c r="J136" s="451"/>
      <c r="K136" s="922"/>
      <c r="L136" s="932"/>
      <c r="M136" s="935"/>
      <c r="N136" s="64" t="s">
        <v>172</v>
      </c>
      <c r="O136" s="327" t="s">
        <v>184</v>
      </c>
      <c r="P136" s="77">
        <v>1</v>
      </c>
      <c r="Q136" s="77">
        <v>17.18</v>
      </c>
      <c r="R136" s="78"/>
      <c r="S136" s="18"/>
      <c r="T136" s="20"/>
      <c r="U136" s="335">
        <v>11</v>
      </c>
      <c r="V136" s="333" t="s">
        <v>32</v>
      </c>
      <c r="W136" s="333">
        <v>3</v>
      </c>
      <c r="X136" s="333">
        <v>0</v>
      </c>
      <c r="Y136" s="333">
        <v>0</v>
      </c>
      <c r="Z136" s="335">
        <f t="shared" si="6"/>
        <v>3</v>
      </c>
      <c r="AA136" s="64"/>
      <c r="AB136" s="24"/>
      <c r="AC136" s="23"/>
      <c r="AD136" s="941"/>
      <c r="AE136" s="944"/>
      <c r="AF136" s="498"/>
      <c r="AG136" s="498"/>
      <c r="AH136" s="498"/>
      <c r="AI136" s="498"/>
      <c r="AJ136" s="498"/>
      <c r="AK136" s="498"/>
      <c r="AL136" s="498"/>
      <c r="AM136" s="498"/>
      <c r="AN136" s="498"/>
      <c r="AO136" s="498"/>
      <c r="AP136" s="498"/>
      <c r="AQ136" s="498"/>
      <c r="AR136" s="498"/>
      <c r="AS136" s="498"/>
      <c r="AT136" s="498"/>
      <c r="AU136" s="498"/>
      <c r="AV136" s="922"/>
    </row>
    <row r="137" spans="1:48">
      <c r="A137" s="95"/>
      <c r="B137" s="78"/>
      <c r="C137" s="30"/>
      <c r="D137" s="18"/>
      <c r="E137" s="61"/>
      <c r="F137" s="917"/>
      <c r="G137" s="93"/>
      <c r="H137" s="24"/>
      <c r="I137" s="917"/>
      <c r="J137" s="451"/>
      <c r="K137" s="922"/>
      <c r="L137" s="932"/>
      <c r="M137" s="935"/>
      <c r="N137" s="64"/>
      <c r="O137" s="17"/>
      <c r="P137" s="20"/>
      <c r="Q137" s="20"/>
      <c r="R137" s="78"/>
      <c r="S137" s="18"/>
      <c r="T137" s="20"/>
      <c r="U137" s="335">
        <v>12</v>
      </c>
      <c r="V137" s="333" t="s">
        <v>142</v>
      </c>
      <c r="W137" s="333">
        <v>2</v>
      </c>
      <c r="X137" s="333">
        <v>0</v>
      </c>
      <c r="Y137" s="333">
        <v>0</v>
      </c>
      <c r="Z137" s="335">
        <f t="shared" si="6"/>
        <v>2</v>
      </c>
      <c r="AA137" s="64"/>
      <c r="AB137" s="24"/>
      <c r="AC137" s="23"/>
      <c r="AD137" s="941"/>
      <c r="AE137" s="944"/>
      <c r="AF137" s="498"/>
      <c r="AG137" s="498"/>
      <c r="AH137" s="498"/>
      <c r="AI137" s="498"/>
      <c r="AJ137" s="498"/>
      <c r="AK137" s="498"/>
      <c r="AL137" s="498"/>
      <c r="AM137" s="498"/>
      <c r="AN137" s="498"/>
      <c r="AO137" s="498"/>
      <c r="AP137" s="498"/>
      <c r="AQ137" s="498"/>
      <c r="AR137" s="498"/>
      <c r="AS137" s="498"/>
      <c r="AT137" s="498"/>
      <c r="AU137" s="498"/>
      <c r="AV137" s="922"/>
    </row>
    <row r="138" spans="1:48">
      <c r="A138" s="95"/>
      <c r="B138" s="78"/>
      <c r="C138" s="30"/>
      <c r="D138" s="18"/>
      <c r="E138" s="61"/>
      <c r="F138" s="917"/>
      <c r="G138" s="93"/>
      <c r="H138" s="24"/>
      <c r="I138" s="917"/>
      <c r="J138" s="451"/>
      <c r="K138" s="922"/>
      <c r="L138" s="932"/>
      <c r="M138" s="935"/>
      <c r="N138" s="64"/>
      <c r="O138" s="17" t="s">
        <v>867</v>
      </c>
      <c r="P138" s="20"/>
      <c r="Q138" s="20"/>
      <c r="R138" s="78"/>
      <c r="S138" s="18"/>
      <c r="T138" s="20"/>
      <c r="U138" s="335">
        <v>13</v>
      </c>
      <c r="V138" s="333" t="s">
        <v>814</v>
      </c>
      <c r="W138" s="333">
        <v>0</v>
      </c>
      <c r="X138" s="333">
        <v>20</v>
      </c>
      <c r="Y138" s="333">
        <v>0</v>
      </c>
      <c r="Z138" s="335">
        <f t="shared" si="6"/>
        <v>20</v>
      </c>
      <c r="AA138" s="64"/>
      <c r="AB138" s="24"/>
      <c r="AC138" s="23"/>
      <c r="AD138" s="941"/>
      <c r="AE138" s="944"/>
      <c r="AF138" s="498"/>
      <c r="AG138" s="498"/>
      <c r="AH138" s="498"/>
      <c r="AI138" s="498"/>
      <c r="AJ138" s="498"/>
      <c r="AK138" s="498"/>
      <c r="AL138" s="498"/>
      <c r="AM138" s="498"/>
      <c r="AN138" s="498"/>
      <c r="AO138" s="498"/>
      <c r="AP138" s="498"/>
      <c r="AQ138" s="498"/>
      <c r="AR138" s="498"/>
      <c r="AS138" s="498"/>
      <c r="AT138" s="498"/>
      <c r="AU138" s="498"/>
      <c r="AV138" s="922"/>
    </row>
    <row r="139" spans="1:48" ht="27.6">
      <c r="A139" s="95"/>
      <c r="B139" s="78"/>
      <c r="C139" s="30"/>
      <c r="D139" s="18"/>
      <c r="E139" s="61"/>
      <c r="F139" s="917"/>
      <c r="G139" s="93"/>
      <c r="H139" s="24"/>
      <c r="I139" s="917"/>
      <c r="J139" s="451"/>
      <c r="K139" s="922"/>
      <c r="L139" s="932"/>
      <c r="M139" s="935"/>
      <c r="N139" s="64" t="s">
        <v>25</v>
      </c>
      <c r="O139" s="17" t="s">
        <v>274</v>
      </c>
      <c r="P139" s="20">
        <v>1</v>
      </c>
      <c r="Q139" s="20">
        <v>75.02</v>
      </c>
      <c r="R139" s="78"/>
      <c r="S139" s="18"/>
      <c r="T139" s="20"/>
      <c r="U139" s="335">
        <v>14</v>
      </c>
      <c r="V139" s="333" t="s">
        <v>82</v>
      </c>
      <c r="W139" s="333">
        <v>0</v>
      </c>
      <c r="X139" s="333">
        <v>5</v>
      </c>
      <c r="Y139" s="333">
        <v>0</v>
      </c>
      <c r="Z139" s="335">
        <f t="shared" si="6"/>
        <v>5</v>
      </c>
      <c r="AA139" s="64"/>
      <c r="AB139" s="24"/>
      <c r="AC139" s="23"/>
      <c r="AD139" s="941"/>
      <c r="AE139" s="944"/>
      <c r="AF139" s="498"/>
      <c r="AG139" s="498"/>
      <c r="AH139" s="498"/>
      <c r="AI139" s="498"/>
      <c r="AJ139" s="498"/>
      <c r="AK139" s="498"/>
      <c r="AL139" s="498"/>
      <c r="AM139" s="498"/>
      <c r="AN139" s="498"/>
      <c r="AO139" s="498"/>
      <c r="AP139" s="498"/>
      <c r="AQ139" s="498"/>
      <c r="AR139" s="498"/>
      <c r="AS139" s="498"/>
      <c r="AT139" s="498"/>
      <c r="AU139" s="498"/>
      <c r="AV139" s="922"/>
    </row>
    <row r="140" spans="1:48">
      <c r="A140" s="95"/>
      <c r="B140" s="78"/>
      <c r="C140" s="30"/>
      <c r="D140" s="18"/>
      <c r="E140" s="61"/>
      <c r="F140" s="917"/>
      <c r="G140" s="93"/>
      <c r="H140" s="24"/>
      <c r="I140" s="917"/>
      <c r="J140" s="451"/>
      <c r="K140" s="922"/>
      <c r="L140" s="932"/>
      <c r="M140" s="935"/>
      <c r="N140" s="64" t="s">
        <v>16</v>
      </c>
      <c r="O140" s="76" t="s">
        <v>21</v>
      </c>
      <c r="P140" s="77">
        <v>1</v>
      </c>
      <c r="Q140" s="337">
        <v>12.4</v>
      </c>
      <c r="R140" s="78"/>
      <c r="S140" s="18"/>
      <c r="T140" s="20"/>
      <c r="U140" s="336"/>
      <c r="V140" s="333"/>
      <c r="W140" s="333"/>
      <c r="X140" s="333"/>
      <c r="Y140" s="333"/>
      <c r="Z140" s="335">
        <f t="shared" si="6"/>
        <v>0</v>
      </c>
      <c r="AA140" s="64"/>
      <c r="AB140" s="24"/>
      <c r="AC140" s="23"/>
      <c r="AD140" s="941"/>
      <c r="AE140" s="944"/>
      <c r="AF140" s="498"/>
      <c r="AG140" s="498"/>
      <c r="AH140" s="498"/>
      <c r="AI140" s="498"/>
      <c r="AJ140" s="498"/>
      <c r="AK140" s="498"/>
      <c r="AL140" s="498"/>
      <c r="AM140" s="498"/>
      <c r="AN140" s="498"/>
      <c r="AO140" s="498"/>
      <c r="AP140" s="498"/>
      <c r="AQ140" s="498"/>
      <c r="AR140" s="498"/>
      <c r="AS140" s="498"/>
      <c r="AT140" s="498"/>
      <c r="AU140" s="498"/>
      <c r="AV140" s="922"/>
    </row>
    <row r="141" spans="1:48" ht="27.6">
      <c r="A141" s="23"/>
      <c r="B141" s="22"/>
      <c r="C141" s="30"/>
      <c r="D141" s="18"/>
      <c r="E141" s="61"/>
      <c r="F141" s="917"/>
      <c r="G141" s="18"/>
      <c r="H141" s="18"/>
      <c r="I141" s="917"/>
      <c r="J141" s="451"/>
      <c r="K141" s="922"/>
      <c r="L141" s="932"/>
      <c r="M141" s="935"/>
      <c r="N141" s="64" t="s">
        <v>18</v>
      </c>
      <c r="O141" s="17" t="s">
        <v>274</v>
      </c>
      <c r="P141" s="20">
        <v>1</v>
      </c>
      <c r="Q141" s="18">
        <v>113.85</v>
      </c>
      <c r="R141" s="22" t="s">
        <v>16</v>
      </c>
      <c r="S141" s="18" t="s">
        <v>15</v>
      </c>
      <c r="T141" s="20">
        <v>1</v>
      </c>
      <c r="U141" s="119">
        <v>1</v>
      </c>
      <c r="V141" s="333" t="s">
        <v>56</v>
      </c>
      <c r="W141" s="332">
        <v>0</v>
      </c>
      <c r="X141" s="332">
        <v>8</v>
      </c>
      <c r="Y141" s="332">
        <v>0</v>
      </c>
      <c r="Z141" s="331">
        <f t="shared" si="6"/>
        <v>8</v>
      </c>
      <c r="AA141" s="18"/>
      <c r="AB141" s="24"/>
      <c r="AC141" s="23"/>
      <c r="AD141" s="941"/>
      <c r="AE141" s="944"/>
      <c r="AF141" s="498"/>
      <c r="AG141" s="498"/>
      <c r="AH141" s="498"/>
      <c r="AI141" s="498"/>
      <c r="AJ141" s="498"/>
      <c r="AK141" s="498"/>
      <c r="AL141" s="498"/>
      <c r="AM141" s="498"/>
      <c r="AN141" s="498"/>
      <c r="AO141" s="498"/>
      <c r="AP141" s="498"/>
      <c r="AQ141" s="498"/>
      <c r="AR141" s="498"/>
      <c r="AS141" s="498"/>
      <c r="AT141" s="498"/>
      <c r="AU141" s="498"/>
      <c r="AV141" s="922"/>
    </row>
    <row r="142" spans="1:48">
      <c r="A142" s="23"/>
      <c r="B142" s="22"/>
      <c r="C142" s="30"/>
      <c r="D142" s="18"/>
      <c r="E142" s="61"/>
      <c r="F142" s="917"/>
      <c r="G142" s="18"/>
      <c r="H142" s="18"/>
      <c r="I142" s="917"/>
      <c r="J142" s="451"/>
      <c r="K142" s="922"/>
      <c r="L142" s="932"/>
      <c r="M142" s="935"/>
      <c r="N142" s="64" t="s">
        <v>12</v>
      </c>
      <c r="O142" s="18" t="s">
        <v>21</v>
      </c>
      <c r="P142" s="20">
        <v>1</v>
      </c>
      <c r="Q142" s="18">
        <v>21.85</v>
      </c>
      <c r="R142" s="22"/>
      <c r="S142" s="18"/>
      <c r="T142" s="20"/>
      <c r="U142" s="119"/>
      <c r="V142" s="333"/>
      <c r="W142" s="332"/>
      <c r="X142" s="332"/>
      <c r="Y142" s="332"/>
      <c r="Z142" s="331"/>
      <c r="AA142" s="18"/>
      <c r="AB142" s="24"/>
      <c r="AC142" s="23"/>
      <c r="AD142" s="941"/>
      <c r="AE142" s="944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8"/>
      <c r="AP142" s="498"/>
      <c r="AQ142" s="498"/>
      <c r="AR142" s="498"/>
      <c r="AS142" s="498"/>
      <c r="AT142" s="498"/>
      <c r="AU142" s="498"/>
      <c r="AV142" s="922"/>
    </row>
    <row r="143" spans="1:48">
      <c r="A143" s="23"/>
      <c r="B143" s="22"/>
      <c r="C143" s="30"/>
      <c r="D143" s="18"/>
      <c r="E143" s="61"/>
      <c r="F143" s="917"/>
      <c r="G143" s="18"/>
      <c r="H143" s="18"/>
      <c r="I143" s="917"/>
      <c r="J143" s="451"/>
      <c r="K143" s="922"/>
      <c r="L143" s="932"/>
      <c r="M143" s="935"/>
      <c r="N143" s="64" t="s">
        <v>8</v>
      </c>
      <c r="O143" s="18" t="s">
        <v>832</v>
      </c>
      <c r="P143" s="20">
        <v>1</v>
      </c>
      <c r="Q143" s="334">
        <v>55.6</v>
      </c>
      <c r="R143" s="22"/>
      <c r="S143" s="18"/>
      <c r="T143" s="20"/>
      <c r="U143" s="119"/>
      <c r="V143" s="333"/>
      <c r="W143" s="332"/>
      <c r="X143" s="332"/>
      <c r="Y143" s="332"/>
      <c r="Z143" s="331"/>
      <c r="AA143" s="18"/>
      <c r="AB143" s="24"/>
      <c r="AC143" s="23"/>
      <c r="AD143" s="941"/>
      <c r="AE143" s="944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8"/>
      <c r="AP143" s="498"/>
      <c r="AQ143" s="498"/>
      <c r="AR143" s="498"/>
      <c r="AS143" s="498"/>
      <c r="AT143" s="498"/>
      <c r="AU143" s="498"/>
      <c r="AV143" s="922"/>
    </row>
    <row r="144" spans="1:48">
      <c r="A144" s="23"/>
      <c r="B144" s="22"/>
      <c r="C144" s="30"/>
      <c r="D144" s="18"/>
      <c r="E144" s="61"/>
      <c r="F144" s="917"/>
      <c r="G144" s="18"/>
      <c r="H144" s="18"/>
      <c r="I144" s="917"/>
      <c r="J144" s="451"/>
      <c r="K144" s="922"/>
      <c r="L144" s="932"/>
      <c r="M144" s="935"/>
      <c r="N144" s="64" t="s">
        <v>54</v>
      </c>
      <c r="O144" s="18" t="s">
        <v>184</v>
      </c>
      <c r="P144" s="20">
        <v>1</v>
      </c>
      <c r="Q144" s="18">
        <v>31.98</v>
      </c>
      <c r="R144" s="22"/>
      <c r="S144" s="18"/>
      <c r="T144" s="20"/>
      <c r="U144" s="119"/>
      <c r="V144" s="333"/>
      <c r="W144" s="332"/>
      <c r="X144" s="332"/>
      <c r="Y144" s="332"/>
      <c r="Z144" s="331"/>
      <c r="AA144" s="18"/>
      <c r="AB144" s="24"/>
      <c r="AC144" s="23"/>
      <c r="AD144" s="941"/>
      <c r="AE144" s="944"/>
      <c r="AF144" s="498"/>
      <c r="AG144" s="498"/>
      <c r="AH144" s="498"/>
      <c r="AI144" s="498"/>
      <c r="AJ144" s="498"/>
      <c r="AK144" s="498"/>
      <c r="AL144" s="498"/>
      <c r="AM144" s="498"/>
      <c r="AN144" s="498"/>
      <c r="AO144" s="498"/>
      <c r="AP144" s="498"/>
      <c r="AQ144" s="498"/>
      <c r="AR144" s="498"/>
      <c r="AS144" s="498"/>
      <c r="AT144" s="498"/>
      <c r="AU144" s="498"/>
      <c r="AV144" s="922"/>
    </row>
    <row r="145" spans="1:48" ht="28.2">
      <c r="A145" s="23"/>
      <c r="B145" s="22"/>
      <c r="C145" s="30"/>
      <c r="D145" s="18"/>
      <c r="E145" s="61"/>
      <c r="F145" s="917"/>
      <c r="G145" s="18"/>
      <c r="H145" s="18"/>
      <c r="I145" s="917"/>
      <c r="J145" s="451"/>
      <c r="K145" s="922"/>
      <c r="L145" s="932"/>
      <c r="M145" s="935"/>
      <c r="N145" s="64" t="s">
        <v>53</v>
      </c>
      <c r="O145" s="327" t="s">
        <v>26</v>
      </c>
      <c r="P145" s="20">
        <v>1</v>
      </c>
      <c r="Q145" s="18">
        <v>38.33</v>
      </c>
      <c r="R145" s="22"/>
      <c r="S145" s="18"/>
      <c r="T145" s="20"/>
      <c r="U145" s="119"/>
      <c r="V145" s="333"/>
      <c r="W145" s="332"/>
      <c r="X145" s="332"/>
      <c r="Y145" s="332"/>
      <c r="Z145" s="331"/>
      <c r="AA145" s="18"/>
      <c r="AB145" s="24"/>
      <c r="AC145" s="23"/>
      <c r="AD145" s="941"/>
      <c r="AE145" s="944"/>
      <c r="AF145" s="498"/>
      <c r="AG145" s="498"/>
      <c r="AH145" s="498"/>
      <c r="AI145" s="498"/>
      <c r="AJ145" s="498"/>
      <c r="AK145" s="498"/>
      <c r="AL145" s="498"/>
      <c r="AM145" s="498"/>
      <c r="AN145" s="498"/>
      <c r="AO145" s="498"/>
      <c r="AP145" s="498"/>
      <c r="AQ145" s="498"/>
      <c r="AR145" s="498"/>
      <c r="AS145" s="498"/>
      <c r="AT145" s="498"/>
      <c r="AU145" s="498"/>
      <c r="AV145" s="922"/>
    </row>
    <row r="146" spans="1:48">
      <c r="A146" s="23"/>
      <c r="B146" s="22"/>
      <c r="C146" s="30"/>
      <c r="D146" s="18"/>
      <c r="E146" s="61"/>
      <c r="F146" s="917"/>
      <c r="G146" s="18"/>
      <c r="H146" s="18"/>
      <c r="I146" s="917"/>
      <c r="J146" s="451"/>
      <c r="K146" s="922"/>
      <c r="L146" s="932"/>
      <c r="M146" s="935"/>
      <c r="N146" s="64" t="s">
        <v>51</v>
      </c>
      <c r="O146" s="76" t="s">
        <v>21</v>
      </c>
      <c r="P146" s="77">
        <v>1</v>
      </c>
      <c r="Q146" s="76">
        <v>11.68</v>
      </c>
      <c r="R146" s="22"/>
      <c r="S146" s="18"/>
      <c r="T146" s="20"/>
      <c r="U146" s="119"/>
      <c r="V146" s="333"/>
      <c r="W146" s="332"/>
      <c r="X146" s="332"/>
      <c r="Y146" s="332"/>
      <c r="Z146" s="331"/>
      <c r="AA146" s="18"/>
      <c r="AB146" s="24"/>
      <c r="AC146" s="23"/>
      <c r="AD146" s="941"/>
      <c r="AE146" s="944"/>
      <c r="AF146" s="498"/>
      <c r="AG146" s="498"/>
      <c r="AH146" s="498"/>
      <c r="AI146" s="498"/>
      <c r="AJ146" s="498"/>
      <c r="AK146" s="498"/>
      <c r="AL146" s="498"/>
      <c r="AM146" s="498"/>
      <c r="AN146" s="498"/>
      <c r="AO146" s="498"/>
      <c r="AP146" s="498"/>
      <c r="AQ146" s="498"/>
      <c r="AR146" s="498"/>
      <c r="AS146" s="498"/>
      <c r="AT146" s="498"/>
      <c r="AU146" s="498"/>
      <c r="AV146" s="922"/>
    </row>
    <row r="147" spans="1:48">
      <c r="A147" s="23"/>
      <c r="B147" s="22"/>
      <c r="C147" s="30"/>
      <c r="D147" s="18"/>
      <c r="E147" s="61"/>
      <c r="F147" s="917"/>
      <c r="G147" s="18"/>
      <c r="H147" s="18"/>
      <c r="I147" s="917"/>
      <c r="J147" s="451"/>
      <c r="K147" s="922"/>
      <c r="L147" s="932"/>
      <c r="M147" s="935"/>
      <c r="N147" s="64" t="s">
        <v>154</v>
      </c>
      <c r="O147" s="76" t="s">
        <v>17</v>
      </c>
      <c r="P147" s="77">
        <v>1</v>
      </c>
      <c r="Q147" s="76"/>
      <c r="R147" s="22"/>
      <c r="S147" s="18"/>
      <c r="T147" s="20"/>
      <c r="U147" s="119"/>
      <c r="V147" s="333"/>
      <c r="W147" s="332"/>
      <c r="X147" s="332"/>
      <c r="Y147" s="332"/>
      <c r="Z147" s="331"/>
      <c r="AA147" s="18"/>
      <c r="AB147" s="24"/>
      <c r="AC147" s="23"/>
      <c r="AD147" s="941"/>
      <c r="AE147" s="944"/>
      <c r="AF147" s="498"/>
      <c r="AG147" s="498"/>
      <c r="AH147" s="498"/>
      <c r="AI147" s="498"/>
      <c r="AJ147" s="498"/>
      <c r="AK147" s="498"/>
      <c r="AL147" s="498"/>
      <c r="AM147" s="498"/>
      <c r="AN147" s="498"/>
      <c r="AO147" s="498"/>
      <c r="AP147" s="498"/>
      <c r="AQ147" s="498"/>
      <c r="AR147" s="498"/>
      <c r="AS147" s="498"/>
      <c r="AT147" s="498"/>
      <c r="AU147" s="498"/>
      <c r="AV147" s="922"/>
    </row>
    <row r="148" spans="1:48">
      <c r="A148" s="12"/>
      <c r="B148" s="11"/>
      <c r="C148" s="15"/>
      <c r="D148" s="7"/>
      <c r="E148" s="14"/>
      <c r="F148" s="918"/>
      <c r="G148" s="7"/>
      <c r="H148" s="10"/>
      <c r="I148" s="918"/>
      <c r="J148" s="452"/>
      <c r="K148" s="923"/>
      <c r="L148" s="933"/>
      <c r="M148" s="936"/>
      <c r="N148" s="7"/>
      <c r="O148" s="13"/>
      <c r="P148" s="12"/>
      <c r="Q148" s="10"/>
      <c r="R148" s="11"/>
      <c r="S148" s="7"/>
      <c r="T148" s="47"/>
      <c r="U148" s="458"/>
      <c r="V148" s="52"/>
      <c r="W148" s="448"/>
      <c r="X148" s="448"/>
      <c r="Y148" s="448"/>
      <c r="Z148" s="330"/>
      <c r="AA148" s="7"/>
      <c r="AB148" s="13"/>
      <c r="AC148" s="12"/>
      <c r="AD148" s="942"/>
      <c r="AE148" s="945"/>
      <c r="AF148" s="499"/>
      <c r="AG148" s="499"/>
      <c r="AH148" s="499"/>
      <c r="AI148" s="499"/>
      <c r="AJ148" s="499"/>
      <c r="AK148" s="499"/>
      <c r="AL148" s="499"/>
      <c r="AM148" s="499"/>
      <c r="AN148" s="499"/>
      <c r="AO148" s="499"/>
      <c r="AP148" s="499"/>
      <c r="AQ148" s="499"/>
      <c r="AR148" s="499"/>
      <c r="AS148" s="499"/>
      <c r="AT148" s="499"/>
      <c r="AU148" s="499"/>
      <c r="AV148" s="923"/>
    </row>
    <row r="149" spans="1:48">
      <c r="A149" s="46" t="s">
        <v>866</v>
      </c>
      <c r="B149" s="40" t="s">
        <v>25</v>
      </c>
      <c r="C149" s="103" t="s">
        <v>865</v>
      </c>
      <c r="D149" s="40" t="s">
        <v>25</v>
      </c>
      <c r="E149" s="103" t="s">
        <v>473</v>
      </c>
      <c r="F149" s="929" t="s">
        <v>864</v>
      </c>
      <c r="G149" s="43" t="s">
        <v>25</v>
      </c>
      <c r="H149" s="35" t="s">
        <v>863</v>
      </c>
      <c r="I149" s="916">
        <v>4950</v>
      </c>
      <c r="J149" s="453"/>
      <c r="K149" s="921" t="s">
        <v>862</v>
      </c>
      <c r="L149" s="455" t="s">
        <v>46</v>
      </c>
      <c r="M149" s="924" t="s">
        <v>46</v>
      </c>
      <c r="N149" s="36"/>
      <c r="O149" s="329"/>
      <c r="P149" s="42"/>
      <c r="Q149" s="484"/>
      <c r="R149" s="40" t="s">
        <v>25</v>
      </c>
      <c r="S149" s="44" t="s">
        <v>24</v>
      </c>
      <c r="T149" s="122">
        <v>4</v>
      </c>
      <c r="U149" s="122">
        <v>1</v>
      </c>
      <c r="V149" s="339" t="s">
        <v>58</v>
      </c>
      <c r="W149" s="345">
        <v>7</v>
      </c>
      <c r="X149" s="345">
        <v>0</v>
      </c>
      <c r="Y149" s="345">
        <v>0</v>
      </c>
      <c r="Z149" s="348">
        <f>SUM(W149:Y149)</f>
        <v>7</v>
      </c>
      <c r="AA149" s="36"/>
      <c r="AB149" s="35"/>
      <c r="AC149" s="34"/>
      <c r="AD149" s="443"/>
      <c r="AE149" s="440"/>
      <c r="AF149" s="497"/>
      <c r="AG149" s="497"/>
      <c r="AH149" s="497"/>
      <c r="AI149" s="497"/>
      <c r="AJ149" s="497"/>
      <c r="AK149" s="497"/>
      <c r="AL149" s="497"/>
      <c r="AM149" s="497"/>
      <c r="AN149" s="497"/>
      <c r="AO149" s="497"/>
      <c r="AP149" s="497"/>
      <c r="AQ149" s="497"/>
      <c r="AR149" s="497"/>
      <c r="AS149" s="497"/>
      <c r="AT149" s="497"/>
      <c r="AU149" s="497"/>
      <c r="AV149" s="921"/>
    </row>
    <row r="150" spans="1:48" ht="27.6">
      <c r="A150" s="23"/>
      <c r="B150" s="22" t="s">
        <v>16</v>
      </c>
      <c r="C150" s="33" t="s">
        <v>861</v>
      </c>
      <c r="D150" s="22" t="s">
        <v>16</v>
      </c>
      <c r="E150" s="33" t="s">
        <v>470</v>
      </c>
      <c r="F150" s="917"/>
      <c r="G150" s="18" t="s">
        <v>16</v>
      </c>
      <c r="H150" s="18" t="s">
        <v>836</v>
      </c>
      <c r="I150" s="917"/>
      <c r="J150" s="451"/>
      <c r="K150" s="922"/>
      <c r="L150" s="460"/>
      <c r="M150" s="935"/>
      <c r="N150" s="18"/>
      <c r="O150" s="17"/>
      <c r="P150" s="485"/>
      <c r="Q150" s="486"/>
      <c r="R150" s="22"/>
      <c r="S150" s="18"/>
      <c r="T150" s="20"/>
      <c r="U150" s="20">
        <v>2</v>
      </c>
      <c r="V150" s="333" t="s">
        <v>87</v>
      </c>
      <c r="W150" s="332">
        <v>7</v>
      </c>
      <c r="X150" s="332">
        <v>0</v>
      </c>
      <c r="Y150" s="332">
        <v>0</v>
      </c>
      <c r="Z150" s="331">
        <f>SUM(W150:Y150)</f>
        <v>7</v>
      </c>
      <c r="AA150" s="18"/>
      <c r="AB150" s="24"/>
      <c r="AC150" s="23"/>
      <c r="AD150" s="444"/>
      <c r="AE150" s="441"/>
      <c r="AF150" s="498"/>
      <c r="AG150" s="498"/>
      <c r="AH150" s="498"/>
      <c r="AI150" s="498"/>
      <c r="AJ150" s="498"/>
      <c r="AK150" s="498"/>
      <c r="AL150" s="498"/>
      <c r="AM150" s="498"/>
      <c r="AN150" s="498"/>
      <c r="AO150" s="498"/>
      <c r="AP150" s="498"/>
      <c r="AQ150" s="498"/>
      <c r="AR150" s="498"/>
      <c r="AS150" s="498"/>
      <c r="AT150" s="498"/>
      <c r="AU150" s="498"/>
      <c r="AV150" s="922"/>
    </row>
    <row r="151" spans="1:48">
      <c r="A151" s="23"/>
      <c r="B151" s="22" t="s">
        <v>18</v>
      </c>
      <c r="C151" s="30" t="s">
        <v>613</v>
      </c>
      <c r="D151" s="22" t="s">
        <v>18</v>
      </c>
      <c r="E151" s="30" t="s">
        <v>38</v>
      </c>
      <c r="F151" s="917"/>
      <c r="G151" s="18" t="s">
        <v>18</v>
      </c>
      <c r="H151" s="18" t="s">
        <v>19</v>
      </c>
      <c r="I151" s="917"/>
      <c r="J151" s="451"/>
      <c r="K151" s="922"/>
      <c r="L151" s="460"/>
      <c r="M151" s="935"/>
      <c r="N151" s="18"/>
      <c r="O151" s="24"/>
      <c r="P151" s="23"/>
      <c r="Q151" s="21"/>
      <c r="R151" s="22"/>
      <c r="S151" s="18"/>
      <c r="T151" s="447"/>
      <c r="U151" s="74">
        <v>3</v>
      </c>
      <c r="V151" s="333" t="s">
        <v>88</v>
      </c>
      <c r="W151" s="332">
        <v>2</v>
      </c>
      <c r="X151" s="332">
        <v>0</v>
      </c>
      <c r="Y151" s="332">
        <v>0</v>
      </c>
      <c r="Z151" s="331">
        <f>SUM(W151:Y151)</f>
        <v>2</v>
      </c>
      <c r="AA151" s="18"/>
      <c r="AB151" s="24"/>
      <c r="AC151" s="23"/>
      <c r="AD151" s="444"/>
      <c r="AE151" s="441"/>
      <c r="AF151" s="498"/>
      <c r="AG151" s="498"/>
      <c r="AH151" s="498"/>
      <c r="AI151" s="498"/>
      <c r="AJ151" s="498"/>
      <c r="AK151" s="498"/>
      <c r="AL151" s="498"/>
      <c r="AM151" s="498"/>
      <c r="AN151" s="498"/>
      <c r="AO151" s="498"/>
      <c r="AP151" s="498"/>
      <c r="AQ151" s="498"/>
      <c r="AR151" s="498"/>
      <c r="AS151" s="498"/>
      <c r="AT151" s="498"/>
      <c r="AU151" s="498"/>
      <c r="AV151" s="922"/>
    </row>
    <row r="152" spans="1:48" ht="82.8">
      <c r="A152" s="23"/>
      <c r="B152" s="26" t="s">
        <v>12</v>
      </c>
      <c r="C152" s="25" t="s">
        <v>860</v>
      </c>
      <c r="D152" s="26" t="s">
        <v>12</v>
      </c>
      <c r="E152" s="25" t="s">
        <v>859</v>
      </c>
      <c r="F152" s="917"/>
      <c r="G152" s="18"/>
      <c r="H152" s="21"/>
      <c r="I152" s="917"/>
      <c r="J152" s="451"/>
      <c r="K152" s="922"/>
      <c r="L152" s="460"/>
      <c r="M152" s="935"/>
      <c r="N152" s="18"/>
      <c r="O152" s="24"/>
      <c r="P152" s="23"/>
      <c r="Q152" s="21"/>
      <c r="R152" s="22"/>
      <c r="S152" s="18"/>
      <c r="T152" s="447"/>
      <c r="U152" s="74">
        <v>4</v>
      </c>
      <c r="V152" s="333" t="s">
        <v>858</v>
      </c>
      <c r="W152" s="332">
        <v>3</v>
      </c>
      <c r="X152" s="332">
        <v>0</v>
      </c>
      <c r="Y152" s="332">
        <v>0</v>
      </c>
      <c r="Z152" s="331">
        <f>SUM(W152:Y152)</f>
        <v>3</v>
      </c>
      <c r="AA152" s="18"/>
      <c r="AB152" s="17"/>
      <c r="AC152" s="447"/>
      <c r="AD152" s="444"/>
      <c r="AE152" s="441"/>
      <c r="AF152" s="498"/>
      <c r="AG152" s="498"/>
      <c r="AH152" s="498"/>
      <c r="AI152" s="498"/>
      <c r="AJ152" s="498"/>
      <c r="AK152" s="498"/>
      <c r="AL152" s="498"/>
      <c r="AM152" s="498"/>
      <c r="AN152" s="498"/>
      <c r="AO152" s="498"/>
      <c r="AP152" s="498"/>
      <c r="AQ152" s="498"/>
      <c r="AR152" s="498"/>
      <c r="AS152" s="498"/>
      <c r="AT152" s="498"/>
      <c r="AU152" s="498"/>
      <c r="AV152" s="922"/>
    </row>
    <row r="153" spans="1:48">
      <c r="A153" s="23"/>
      <c r="B153" s="22" t="s">
        <v>8</v>
      </c>
      <c r="C153" s="62" t="s">
        <v>857</v>
      </c>
      <c r="D153" s="22" t="s">
        <v>8</v>
      </c>
      <c r="E153" s="62" t="s">
        <v>469</v>
      </c>
      <c r="F153" s="917"/>
      <c r="G153" s="18"/>
      <c r="H153" s="21"/>
      <c r="I153" s="917"/>
      <c r="J153" s="451"/>
      <c r="K153" s="922"/>
      <c r="L153" s="460"/>
      <c r="M153" s="935"/>
      <c r="N153" s="18"/>
      <c r="O153" s="24"/>
      <c r="P153" s="23"/>
      <c r="Q153" s="21"/>
      <c r="R153" s="22"/>
      <c r="S153" s="18"/>
      <c r="T153" s="447"/>
      <c r="U153" s="74"/>
      <c r="V153" s="333"/>
      <c r="W153" s="332"/>
      <c r="X153" s="332"/>
      <c r="Y153" s="332"/>
      <c r="Z153" s="331"/>
      <c r="AA153" s="18"/>
      <c r="AB153" s="17"/>
      <c r="AC153" s="447"/>
      <c r="AD153" s="444"/>
      <c r="AE153" s="441"/>
      <c r="AF153" s="498"/>
      <c r="AG153" s="498"/>
      <c r="AH153" s="498"/>
      <c r="AI153" s="498"/>
      <c r="AJ153" s="498"/>
      <c r="AK153" s="498"/>
      <c r="AL153" s="498"/>
      <c r="AM153" s="498"/>
      <c r="AN153" s="498"/>
      <c r="AO153" s="498"/>
      <c r="AP153" s="498"/>
      <c r="AQ153" s="498"/>
      <c r="AR153" s="498"/>
      <c r="AS153" s="498"/>
      <c r="AT153" s="498"/>
      <c r="AU153" s="498"/>
      <c r="AV153" s="922"/>
    </row>
    <row r="154" spans="1:48">
      <c r="A154" s="23"/>
      <c r="B154" s="26"/>
      <c r="C154" s="25"/>
      <c r="D154" s="18"/>
      <c r="E154" s="61"/>
      <c r="F154" s="917"/>
      <c r="G154" s="18"/>
      <c r="H154" s="21"/>
      <c r="I154" s="917"/>
      <c r="J154" s="451"/>
      <c r="K154" s="922"/>
      <c r="L154" s="460"/>
      <c r="M154" s="935"/>
      <c r="N154" s="18"/>
      <c r="O154" s="24"/>
      <c r="P154" s="23"/>
      <c r="Q154" s="21"/>
      <c r="R154" s="22" t="s">
        <v>16</v>
      </c>
      <c r="S154" s="18" t="s">
        <v>15</v>
      </c>
      <c r="T154" s="63">
        <v>21</v>
      </c>
      <c r="U154" s="74">
        <v>1</v>
      </c>
      <c r="V154" s="333" t="s">
        <v>143</v>
      </c>
      <c r="W154" s="332">
        <v>3</v>
      </c>
      <c r="X154" s="332">
        <v>0</v>
      </c>
      <c r="Y154" s="332">
        <v>0</v>
      </c>
      <c r="Z154" s="331">
        <f t="shared" ref="Z154:Z174" si="7">SUM(W154:Y154)</f>
        <v>3</v>
      </c>
      <c r="AA154" s="18"/>
      <c r="AB154" s="17"/>
      <c r="AC154" s="447"/>
      <c r="AD154" s="444"/>
      <c r="AE154" s="441"/>
      <c r="AF154" s="498"/>
      <c r="AG154" s="498"/>
      <c r="AH154" s="498"/>
      <c r="AI154" s="498"/>
      <c r="AJ154" s="498"/>
      <c r="AK154" s="498"/>
      <c r="AL154" s="498"/>
      <c r="AM154" s="498"/>
      <c r="AN154" s="498"/>
      <c r="AO154" s="498"/>
      <c r="AP154" s="498"/>
      <c r="AQ154" s="498"/>
      <c r="AR154" s="498"/>
      <c r="AS154" s="498"/>
      <c r="AT154" s="498"/>
      <c r="AU154" s="498"/>
      <c r="AV154" s="922"/>
    </row>
    <row r="155" spans="1:48">
      <c r="A155" s="23"/>
      <c r="B155" s="26"/>
      <c r="C155" s="25"/>
      <c r="D155" s="18"/>
      <c r="E155" s="61"/>
      <c r="F155" s="917"/>
      <c r="G155" s="18"/>
      <c r="H155" s="21"/>
      <c r="I155" s="917"/>
      <c r="J155" s="451"/>
      <c r="K155" s="922"/>
      <c r="L155" s="460"/>
      <c r="M155" s="935"/>
      <c r="N155" s="18"/>
      <c r="O155" s="24"/>
      <c r="P155" s="23"/>
      <c r="Q155" s="21"/>
      <c r="R155" s="22"/>
      <c r="S155" s="18"/>
      <c r="T155" s="447"/>
      <c r="U155" s="74">
        <v>2</v>
      </c>
      <c r="V155" s="333" t="s">
        <v>856</v>
      </c>
      <c r="W155" s="332">
        <v>0</v>
      </c>
      <c r="X155" s="332">
        <v>0</v>
      </c>
      <c r="Y155" s="332">
        <v>12</v>
      </c>
      <c r="Z155" s="331">
        <f t="shared" si="7"/>
        <v>12</v>
      </c>
      <c r="AA155" s="18"/>
      <c r="AB155" s="17"/>
      <c r="AC155" s="447"/>
      <c r="AD155" s="444"/>
      <c r="AE155" s="441"/>
      <c r="AF155" s="498"/>
      <c r="AG155" s="498"/>
      <c r="AH155" s="498"/>
      <c r="AI155" s="498"/>
      <c r="AJ155" s="498"/>
      <c r="AK155" s="498"/>
      <c r="AL155" s="498"/>
      <c r="AM155" s="498"/>
      <c r="AN155" s="498"/>
      <c r="AO155" s="498"/>
      <c r="AP155" s="498"/>
      <c r="AQ155" s="498"/>
      <c r="AR155" s="498"/>
      <c r="AS155" s="498"/>
      <c r="AT155" s="498"/>
      <c r="AU155" s="498"/>
      <c r="AV155" s="922"/>
    </row>
    <row r="156" spans="1:48">
      <c r="A156" s="23"/>
      <c r="B156" s="26"/>
      <c r="C156" s="25"/>
      <c r="D156" s="18"/>
      <c r="E156" s="61"/>
      <c r="F156" s="917"/>
      <c r="G156" s="18"/>
      <c r="H156" s="21"/>
      <c r="I156" s="917"/>
      <c r="J156" s="451"/>
      <c r="K156" s="922"/>
      <c r="L156" s="460"/>
      <c r="M156" s="935"/>
      <c r="N156" s="18"/>
      <c r="O156" s="24"/>
      <c r="P156" s="23"/>
      <c r="Q156" s="21"/>
      <c r="R156" s="22"/>
      <c r="S156" s="18"/>
      <c r="T156" s="447"/>
      <c r="U156" s="74">
        <v>3</v>
      </c>
      <c r="V156" s="333" t="s">
        <v>232</v>
      </c>
      <c r="W156" s="332">
        <v>20</v>
      </c>
      <c r="X156" s="332">
        <v>0</v>
      </c>
      <c r="Y156" s="332">
        <v>0</v>
      </c>
      <c r="Z156" s="331">
        <f t="shared" si="7"/>
        <v>20</v>
      </c>
      <c r="AA156" s="18"/>
      <c r="AB156" s="17"/>
      <c r="AC156" s="447"/>
      <c r="AD156" s="444"/>
      <c r="AE156" s="441"/>
      <c r="AF156" s="498"/>
      <c r="AG156" s="498"/>
      <c r="AH156" s="498"/>
      <c r="AI156" s="498"/>
      <c r="AJ156" s="498"/>
      <c r="AK156" s="498"/>
      <c r="AL156" s="498"/>
      <c r="AM156" s="498"/>
      <c r="AN156" s="498"/>
      <c r="AO156" s="498"/>
      <c r="AP156" s="498"/>
      <c r="AQ156" s="498"/>
      <c r="AR156" s="498"/>
      <c r="AS156" s="498"/>
      <c r="AT156" s="498"/>
      <c r="AU156" s="498"/>
      <c r="AV156" s="922"/>
    </row>
    <row r="157" spans="1:48">
      <c r="A157" s="23"/>
      <c r="B157" s="26"/>
      <c r="C157" s="25"/>
      <c r="D157" s="18"/>
      <c r="E157" s="61"/>
      <c r="F157" s="917"/>
      <c r="G157" s="18"/>
      <c r="H157" s="21"/>
      <c r="I157" s="917"/>
      <c r="J157" s="451"/>
      <c r="K157" s="922"/>
      <c r="L157" s="460"/>
      <c r="M157" s="935"/>
      <c r="N157" s="18"/>
      <c r="O157" s="24"/>
      <c r="P157" s="23"/>
      <c r="Q157" s="21"/>
      <c r="R157" s="22"/>
      <c r="S157" s="18"/>
      <c r="T157" s="447"/>
      <c r="U157" s="74">
        <v>4</v>
      </c>
      <c r="V157" s="333" t="s">
        <v>855</v>
      </c>
      <c r="W157" s="332">
        <v>10</v>
      </c>
      <c r="X157" s="332">
        <v>0</v>
      </c>
      <c r="Y157" s="332">
        <v>0</v>
      </c>
      <c r="Z157" s="331">
        <f t="shared" si="7"/>
        <v>10</v>
      </c>
      <c r="AA157" s="18"/>
      <c r="AB157" s="17"/>
      <c r="AC157" s="447"/>
      <c r="AD157" s="444"/>
      <c r="AE157" s="441"/>
      <c r="AF157" s="498"/>
      <c r="AG157" s="498"/>
      <c r="AH157" s="498"/>
      <c r="AI157" s="498"/>
      <c r="AJ157" s="498"/>
      <c r="AK157" s="715">
        <v>15240</v>
      </c>
      <c r="AL157" s="498"/>
      <c r="AM157" s="498"/>
      <c r="AN157" s="498"/>
      <c r="AO157" s="498"/>
      <c r="AP157" s="498"/>
      <c r="AQ157" s="498"/>
      <c r="AR157" s="498"/>
      <c r="AS157" s="498"/>
      <c r="AT157" s="498"/>
      <c r="AU157" s="498"/>
      <c r="AV157" s="922"/>
    </row>
    <row r="158" spans="1:48">
      <c r="A158" s="23"/>
      <c r="B158" s="26"/>
      <c r="C158" s="25"/>
      <c r="D158" s="18"/>
      <c r="E158" s="61"/>
      <c r="F158" s="917"/>
      <c r="G158" s="18"/>
      <c r="H158" s="21"/>
      <c r="I158" s="917"/>
      <c r="J158" s="451"/>
      <c r="K158" s="922"/>
      <c r="L158" s="460"/>
      <c r="M158" s="935"/>
      <c r="N158" s="18"/>
      <c r="O158" s="24"/>
      <c r="P158" s="23"/>
      <c r="Q158" s="21"/>
      <c r="R158" s="22"/>
      <c r="S158" s="18"/>
      <c r="T158" s="447"/>
      <c r="U158" s="74">
        <v>5</v>
      </c>
      <c r="V158" s="333" t="s">
        <v>854</v>
      </c>
      <c r="W158" s="332">
        <v>0</v>
      </c>
      <c r="X158" s="332">
        <v>10</v>
      </c>
      <c r="Y158" s="332">
        <v>0</v>
      </c>
      <c r="Z158" s="331">
        <f t="shared" si="7"/>
        <v>10</v>
      </c>
      <c r="AA158" s="18"/>
      <c r="AB158" s="17"/>
      <c r="AC158" s="447"/>
      <c r="AD158" s="444"/>
      <c r="AE158" s="441"/>
      <c r="AF158" s="498"/>
      <c r="AG158" s="498"/>
      <c r="AH158" s="498"/>
      <c r="AI158" s="498"/>
      <c r="AJ158" s="498"/>
      <c r="AK158" s="498"/>
      <c r="AL158" s="498"/>
      <c r="AM158" s="498"/>
      <c r="AN158" s="498"/>
      <c r="AO158" s="498"/>
      <c r="AP158" s="498"/>
      <c r="AQ158" s="498"/>
      <c r="AR158" s="498"/>
      <c r="AS158" s="498"/>
      <c r="AT158" s="498"/>
      <c r="AU158" s="498"/>
      <c r="AV158" s="922"/>
    </row>
    <row r="159" spans="1:48">
      <c r="A159" s="23"/>
      <c r="B159" s="26"/>
      <c r="C159" s="25"/>
      <c r="D159" s="18"/>
      <c r="E159" s="61"/>
      <c r="F159" s="917"/>
      <c r="G159" s="18"/>
      <c r="H159" s="21"/>
      <c r="I159" s="917"/>
      <c r="J159" s="451"/>
      <c r="K159" s="922"/>
      <c r="L159" s="460"/>
      <c r="M159" s="935"/>
      <c r="N159" s="18"/>
      <c r="O159" s="24"/>
      <c r="P159" s="23"/>
      <c r="Q159" s="21"/>
      <c r="R159" s="22"/>
      <c r="S159" s="18"/>
      <c r="T159" s="447"/>
      <c r="U159" s="74">
        <v>6</v>
      </c>
      <c r="V159" s="333" t="s">
        <v>411</v>
      </c>
      <c r="W159" s="332">
        <v>0</v>
      </c>
      <c r="X159" s="332">
        <v>4</v>
      </c>
      <c r="Y159" s="332">
        <v>0</v>
      </c>
      <c r="Z159" s="331">
        <f t="shared" si="7"/>
        <v>4</v>
      </c>
      <c r="AA159" s="18"/>
      <c r="AB159" s="17"/>
      <c r="AC159" s="447"/>
      <c r="AD159" s="444"/>
      <c r="AE159" s="441"/>
      <c r="AF159" s="498"/>
      <c r="AG159" s="498"/>
      <c r="AH159" s="498"/>
      <c r="AI159" s="498"/>
      <c r="AJ159" s="498"/>
      <c r="AK159" s="498"/>
      <c r="AL159" s="498"/>
      <c r="AM159" s="498"/>
      <c r="AN159" s="498"/>
      <c r="AO159" s="498"/>
      <c r="AP159" s="498"/>
      <c r="AQ159" s="498"/>
      <c r="AR159" s="498"/>
      <c r="AS159" s="498"/>
      <c r="AT159" s="498"/>
      <c r="AU159" s="498"/>
      <c r="AV159" s="922"/>
    </row>
    <row r="160" spans="1:48">
      <c r="A160" s="23"/>
      <c r="B160" s="26"/>
      <c r="C160" s="25"/>
      <c r="D160" s="18"/>
      <c r="E160" s="61"/>
      <c r="F160" s="917"/>
      <c r="G160" s="18"/>
      <c r="H160" s="21"/>
      <c r="I160" s="917"/>
      <c r="J160" s="451"/>
      <c r="K160" s="922"/>
      <c r="L160" s="460"/>
      <c r="M160" s="935"/>
      <c r="N160" s="18"/>
      <c r="O160" s="24"/>
      <c r="P160" s="23"/>
      <c r="Q160" s="21"/>
      <c r="R160" s="22"/>
      <c r="S160" s="18"/>
      <c r="T160" s="447"/>
      <c r="U160" s="74">
        <v>7</v>
      </c>
      <c r="V160" s="333" t="s">
        <v>853</v>
      </c>
      <c r="W160" s="332">
        <v>0</v>
      </c>
      <c r="X160" s="332">
        <v>0</v>
      </c>
      <c r="Y160" s="332">
        <v>2</v>
      </c>
      <c r="Z160" s="331">
        <f t="shared" si="7"/>
        <v>2</v>
      </c>
      <c r="AA160" s="18"/>
      <c r="AB160" s="17"/>
      <c r="AC160" s="447"/>
      <c r="AD160" s="444"/>
      <c r="AE160" s="441"/>
      <c r="AF160" s="498"/>
      <c r="AG160" s="498"/>
      <c r="AH160" s="498"/>
      <c r="AI160" s="498"/>
      <c r="AJ160" s="498"/>
      <c r="AK160" s="498"/>
      <c r="AL160" s="498"/>
      <c r="AM160" s="498"/>
      <c r="AN160" s="498"/>
      <c r="AO160" s="498"/>
      <c r="AP160" s="498"/>
      <c r="AQ160" s="498"/>
      <c r="AR160" s="498"/>
      <c r="AS160" s="498"/>
      <c r="AT160" s="498"/>
      <c r="AU160" s="498"/>
      <c r="AV160" s="922"/>
    </row>
    <row r="161" spans="1:48">
      <c r="A161" s="23"/>
      <c r="B161" s="26"/>
      <c r="C161" s="25"/>
      <c r="D161" s="18"/>
      <c r="E161" s="61"/>
      <c r="F161" s="917"/>
      <c r="G161" s="18"/>
      <c r="H161" s="21"/>
      <c r="I161" s="917"/>
      <c r="J161" s="451"/>
      <c r="K161" s="922"/>
      <c r="L161" s="460"/>
      <c r="M161" s="935"/>
      <c r="N161" s="18"/>
      <c r="O161" s="24"/>
      <c r="P161" s="23"/>
      <c r="Q161" s="21"/>
      <c r="R161" s="22"/>
      <c r="S161" s="18"/>
      <c r="T161" s="447"/>
      <c r="U161" s="74">
        <v>8</v>
      </c>
      <c r="V161" s="333" t="s">
        <v>852</v>
      </c>
      <c r="W161" s="332">
        <v>0</v>
      </c>
      <c r="X161" s="332">
        <v>11</v>
      </c>
      <c r="Y161" s="332">
        <v>0</v>
      </c>
      <c r="Z161" s="331">
        <f t="shared" si="7"/>
        <v>11</v>
      </c>
      <c r="AA161" s="18"/>
      <c r="AB161" s="17"/>
      <c r="AC161" s="447"/>
      <c r="AD161" s="444"/>
      <c r="AE161" s="441"/>
      <c r="AF161" s="498"/>
      <c r="AG161" s="498"/>
      <c r="AH161" s="498"/>
      <c r="AI161" s="498"/>
      <c r="AJ161" s="498"/>
      <c r="AK161" s="498"/>
      <c r="AL161" s="498"/>
      <c r="AM161" s="498"/>
      <c r="AN161" s="498"/>
      <c r="AO161" s="498"/>
      <c r="AP161" s="498"/>
      <c r="AQ161" s="498"/>
      <c r="AR161" s="498"/>
      <c r="AS161" s="498"/>
      <c r="AT161" s="498"/>
      <c r="AU161" s="498"/>
      <c r="AV161" s="922"/>
    </row>
    <row r="162" spans="1:48">
      <c r="A162" s="23"/>
      <c r="B162" s="26"/>
      <c r="C162" s="25"/>
      <c r="D162" s="18"/>
      <c r="E162" s="61"/>
      <c r="F162" s="917"/>
      <c r="G162" s="18"/>
      <c r="H162" s="21"/>
      <c r="I162" s="917"/>
      <c r="J162" s="451"/>
      <c r="K162" s="922"/>
      <c r="L162" s="460"/>
      <c r="M162" s="935"/>
      <c r="N162" s="18"/>
      <c r="O162" s="24"/>
      <c r="P162" s="23"/>
      <c r="Q162" s="21"/>
      <c r="R162" s="22"/>
      <c r="S162" s="18"/>
      <c r="T162" s="447"/>
      <c r="U162" s="74">
        <v>9</v>
      </c>
      <c r="V162" s="333" t="s">
        <v>851</v>
      </c>
      <c r="W162" s="332">
        <v>4</v>
      </c>
      <c r="X162" s="332">
        <v>0</v>
      </c>
      <c r="Y162" s="332">
        <v>0</v>
      </c>
      <c r="Z162" s="331">
        <f t="shared" si="7"/>
        <v>4</v>
      </c>
      <c r="AA162" s="18"/>
      <c r="AB162" s="17"/>
      <c r="AC162" s="447"/>
      <c r="AD162" s="444"/>
      <c r="AE162" s="441"/>
      <c r="AF162" s="498"/>
      <c r="AG162" s="498"/>
      <c r="AH162" s="498"/>
      <c r="AI162" s="498"/>
      <c r="AJ162" s="498"/>
      <c r="AK162" s="498"/>
      <c r="AL162" s="498"/>
      <c r="AM162" s="498"/>
      <c r="AN162" s="498"/>
      <c r="AO162" s="498"/>
      <c r="AP162" s="498"/>
      <c r="AQ162" s="498"/>
      <c r="AR162" s="498"/>
      <c r="AS162" s="498"/>
      <c r="AT162" s="498"/>
      <c r="AU162" s="498"/>
      <c r="AV162" s="922"/>
    </row>
    <row r="163" spans="1:48">
      <c r="A163" s="23"/>
      <c r="B163" s="26"/>
      <c r="C163" s="25"/>
      <c r="D163" s="18"/>
      <c r="E163" s="61"/>
      <c r="F163" s="917"/>
      <c r="G163" s="18"/>
      <c r="H163" s="21"/>
      <c r="I163" s="917"/>
      <c r="J163" s="451"/>
      <c r="K163" s="922"/>
      <c r="L163" s="460"/>
      <c r="M163" s="935"/>
      <c r="N163" s="18"/>
      <c r="O163" s="24"/>
      <c r="P163" s="23"/>
      <c r="Q163" s="21"/>
      <c r="R163" s="22"/>
      <c r="S163" s="18"/>
      <c r="T163" s="447"/>
      <c r="U163" s="74">
        <v>10</v>
      </c>
      <c r="V163" s="333" t="s">
        <v>850</v>
      </c>
      <c r="W163" s="332">
        <v>12</v>
      </c>
      <c r="X163" s="332">
        <v>0</v>
      </c>
      <c r="Y163" s="332">
        <v>0</v>
      </c>
      <c r="Z163" s="331">
        <f t="shared" si="7"/>
        <v>12</v>
      </c>
      <c r="AA163" s="18"/>
      <c r="AB163" s="17"/>
      <c r="AC163" s="447"/>
      <c r="AD163" s="444"/>
      <c r="AE163" s="441"/>
      <c r="AF163" s="498"/>
      <c r="AG163" s="498"/>
      <c r="AH163" s="498"/>
      <c r="AI163" s="498"/>
      <c r="AJ163" s="498"/>
      <c r="AK163" s="498"/>
      <c r="AL163" s="498"/>
      <c r="AM163" s="498"/>
      <c r="AN163" s="498"/>
      <c r="AO163" s="498"/>
      <c r="AP163" s="498"/>
      <c r="AQ163" s="498"/>
      <c r="AR163" s="498"/>
      <c r="AS163" s="498"/>
      <c r="AT163" s="498"/>
      <c r="AU163" s="498"/>
      <c r="AV163" s="922"/>
    </row>
    <row r="164" spans="1:48">
      <c r="A164" s="23"/>
      <c r="B164" s="26"/>
      <c r="C164" s="25"/>
      <c r="D164" s="18"/>
      <c r="E164" s="61"/>
      <c r="F164" s="917"/>
      <c r="G164" s="18"/>
      <c r="H164" s="21"/>
      <c r="I164" s="917"/>
      <c r="J164" s="451"/>
      <c r="K164" s="922"/>
      <c r="L164" s="460"/>
      <c r="M164" s="935"/>
      <c r="N164" s="18"/>
      <c r="O164" s="24"/>
      <c r="P164" s="23"/>
      <c r="Q164" s="21"/>
      <c r="R164" s="22"/>
      <c r="S164" s="18"/>
      <c r="T164" s="447"/>
      <c r="U164" s="74">
        <v>11</v>
      </c>
      <c r="V164" s="333" t="s">
        <v>849</v>
      </c>
      <c r="W164" s="332">
        <v>2</v>
      </c>
      <c r="X164" s="332">
        <v>0</v>
      </c>
      <c r="Y164" s="332">
        <v>0</v>
      </c>
      <c r="Z164" s="331">
        <f t="shared" si="7"/>
        <v>2</v>
      </c>
      <c r="AA164" s="18"/>
      <c r="AB164" s="17"/>
      <c r="AC164" s="447"/>
      <c r="AD164" s="444"/>
      <c r="AE164" s="441"/>
      <c r="AF164" s="498"/>
      <c r="AG164" s="498"/>
      <c r="AH164" s="498"/>
      <c r="AI164" s="498"/>
      <c r="AJ164" s="498"/>
      <c r="AK164" s="498"/>
      <c r="AL164" s="498"/>
      <c r="AM164" s="498"/>
      <c r="AN164" s="498"/>
      <c r="AO164" s="498"/>
      <c r="AP164" s="498"/>
      <c r="AQ164" s="498"/>
      <c r="AR164" s="498"/>
      <c r="AS164" s="498"/>
      <c r="AT164" s="498"/>
      <c r="AU164" s="498"/>
      <c r="AV164" s="922"/>
    </row>
    <row r="165" spans="1:48">
      <c r="A165" s="23"/>
      <c r="B165" s="26"/>
      <c r="C165" s="25"/>
      <c r="D165" s="18"/>
      <c r="E165" s="61"/>
      <c r="F165" s="917"/>
      <c r="G165" s="18"/>
      <c r="H165" s="21"/>
      <c r="I165" s="917"/>
      <c r="J165" s="451"/>
      <c r="K165" s="922"/>
      <c r="L165" s="460"/>
      <c r="M165" s="935"/>
      <c r="N165" s="18"/>
      <c r="O165" s="24"/>
      <c r="P165" s="23"/>
      <c r="Q165" s="21"/>
      <c r="R165" s="22"/>
      <c r="S165" s="18"/>
      <c r="T165" s="447"/>
      <c r="U165" s="74">
        <v>12</v>
      </c>
      <c r="V165" s="333" t="s">
        <v>848</v>
      </c>
      <c r="W165" s="332">
        <v>7</v>
      </c>
      <c r="X165" s="332">
        <v>0</v>
      </c>
      <c r="Y165" s="332">
        <v>0</v>
      </c>
      <c r="Z165" s="331">
        <f t="shared" si="7"/>
        <v>7</v>
      </c>
      <c r="AA165" s="18"/>
      <c r="AB165" s="17"/>
      <c r="AC165" s="447"/>
      <c r="AD165" s="444"/>
      <c r="AE165" s="441"/>
      <c r="AF165" s="498"/>
      <c r="AG165" s="498"/>
      <c r="AH165" s="498"/>
      <c r="AI165" s="498"/>
      <c r="AJ165" s="498"/>
      <c r="AK165" s="498"/>
      <c r="AL165" s="498"/>
      <c r="AM165" s="498"/>
      <c r="AN165" s="498"/>
      <c r="AO165" s="498"/>
      <c r="AP165" s="498"/>
      <c r="AQ165" s="498"/>
      <c r="AR165" s="498"/>
      <c r="AS165" s="498"/>
      <c r="AT165" s="498"/>
      <c r="AU165" s="498"/>
      <c r="AV165" s="922"/>
    </row>
    <row r="166" spans="1:48">
      <c r="A166" s="23"/>
      <c r="B166" s="26"/>
      <c r="C166" s="25"/>
      <c r="D166" s="18"/>
      <c r="E166" s="61"/>
      <c r="F166" s="917"/>
      <c r="G166" s="18"/>
      <c r="H166" s="21"/>
      <c r="I166" s="917"/>
      <c r="J166" s="451"/>
      <c r="K166" s="922"/>
      <c r="L166" s="460"/>
      <c r="M166" s="935"/>
      <c r="N166" s="18"/>
      <c r="O166" s="24"/>
      <c r="P166" s="23"/>
      <c r="Q166" s="21"/>
      <c r="R166" s="22"/>
      <c r="S166" s="18"/>
      <c r="T166" s="447"/>
      <c r="U166" s="74">
        <v>13</v>
      </c>
      <c r="V166" s="333" t="s">
        <v>847</v>
      </c>
      <c r="W166" s="332">
        <v>10</v>
      </c>
      <c r="X166" s="332">
        <v>0</v>
      </c>
      <c r="Y166" s="332">
        <v>0</v>
      </c>
      <c r="Z166" s="331">
        <f t="shared" si="7"/>
        <v>10</v>
      </c>
      <c r="AA166" s="18"/>
      <c r="AB166" s="17"/>
      <c r="AC166" s="447"/>
      <c r="AD166" s="444"/>
      <c r="AE166" s="441"/>
      <c r="AF166" s="498"/>
      <c r="AG166" s="498"/>
      <c r="AH166" s="498"/>
      <c r="AI166" s="498"/>
      <c r="AJ166" s="498"/>
      <c r="AK166" s="715">
        <v>30000</v>
      </c>
      <c r="AL166" s="498"/>
      <c r="AM166" s="498"/>
      <c r="AN166" s="498"/>
      <c r="AO166" s="498"/>
      <c r="AP166" s="498"/>
      <c r="AQ166" s="498"/>
      <c r="AR166" s="498"/>
      <c r="AS166" s="498"/>
      <c r="AT166" s="498"/>
      <c r="AU166" s="498"/>
      <c r="AV166" s="922"/>
    </row>
    <row r="167" spans="1:48">
      <c r="A167" s="23"/>
      <c r="B167" s="26"/>
      <c r="C167" s="25"/>
      <c r="D167" s="18"/>
      <c r="E167" s="61"/>
      <c r="F167" s="917"/>
      <c r="G167" s="18"/>
      <c r="H167" s="21"/>
      <c r="I167" s="917"/>
      <c r="J167" s="451"/>
      <c r="K167" s="922"/>
      <c r="L167" s="460"/>
      <c r="M167" s="935"/>
      <c r="N167" s="18"/>
      <c r="O167" s="24"/>
      <c r="P167" s="23"/>
      <c r="Q167" s="21"/>
      <c r="R167" s="22"/>
      <c r="S167" s="18"/>
      <c r="T167" s="447"/>
      <c r="U167" s="74">
        <v>14</v>
      </c>
      <c r="V167" s="333" t="s">
        <v>846</v>
      </c>
      <c r="W167" s="332">
        <v>4</v>
      </c>
      <c r="X167" s="332">
        <v>0</v>
      </c>
      <c r="Y167" s="332">
        <v>0</v>
      </c>
      <c r="Z167" s="331">
        <f t="shared" si="7"/>
        <v>4</v>
      </c>
      <c r="AA167" s="18"/>
      <c r="AB167" s="17"/>
      <c r="AC167" s="447"/>
      <c r="AD167" s="444"/>
      <c r="AE167" s="441"/>
      <c r="AF167" s="498"/>
      <c r="AG167" s="498"/>
      <c r="AH167" s="498"/>
      <c r="AI167" s="498"/>
      <c r="AJ167" s="498"/>
      <c r="AK167" s="498">
        <v>7000</v>
      </c>
      <c r="AL167" s="498"/>
      <c r="AM167" s="498"/>
      <c r="AN167" s="498"/>
      <c r="AO167" s="498"/>
      <c r="AP167" s="498"/>
      <c r="AQ167" s="498"/>
      <c r="AR167" s="498"/>
      <c r="AS167" s="498"/>
      <c r="AT167" s="498"/>
      <c r="AU167" s="498"/>
      <c r="AV167" s="922"/>
    </row>
    <row r="168" spans="1:48">
      <c r="A168" s="23"/>
      <c r="B168" s="26"/>
      <c r="C168" s="25"/>
      <c r="D168" s="18"/>
      <c r="E168" s="61"/>
      <c r="F168" s="917"/>
      <c r="G168" s="18"/>
      <c r="H168" s="21"/>
      <c r="I168" s="917"/>
      <c r="J168" s="451"/>
      <c r="K168" s="922"/>
      <c r="L168" s="460"/>
      <c r="M168" s="935"/>
      <c r="N168" s="18"/>
      <c r="O168" s="24"/>
      <c r="P168" s="23"/>
      <c r="Q168" s="21"/>
      <c r="R168" s="22"/>
      <c r="S168" s="18"/>
      <c r="T168" s="447"/>
      <c r="U168" s="74">
        <v>15</v>
      </c>
      <c r="V168" s="333" t="s">
        <v>245</v>
      </c>
      <c r="W168" s="332">
        <v>0</v>
      </c>
      <c r="X168" s="332">
        <v>10</v>
      </c>
      <c r="Y168" s="332">
        <v>0</v>
      </c>
      <c r="Z168" s="331">
        <f t="shared" si="7"/>
        <v>10</v>
      </c>
      <c r="AA168" s="18"/>
      <c r="AB168" s="17"/>
      <c r="AC168" s="447"/>
      <c r="AD168" s="444"/>
      <c r="AE168" s="441"/>
      <c r="AF168" s="498"/>
      <c r="AG168" s="498"/>
      <c r="AH168" s="498"/>
      <c r="AI168" s="498"/>
      <c r="AJ168" s="498"/>
      <c r="AK168" s="498"/>
      <c r="AL168" s="498"/>
      <c r="AM168" s="498"/>
      <c r="AN168" s="498"/>
      <c r="AO168" s="498"/>
      <c r="AP168" s="498"/>
      <c r="AQ168" s="498"/>
      <c r="AR168" s="498"/>
      <c r="AS168" s="498"/>
      <c r="AT168" s="498"/>
      <c r="AU168" s="498"/>
      <c r="AV168" s="922"/>
    </row>
    <row r="169" spans="1:48">
      <c r="A169" s="23"/>
      <c r="B169" s="26"/>
      <c r="C169" s="25"/>
      <c r="D169" s="18"/>
      <c r="E169" s="61"/>
      <c r="F169" s="917"/>
      <c r="G169" s="18"/>
      <c r="H169" s="21"/>
      <c r="I169" s="917"/>
      <c r="J169" s="451"/>
      <c r="K169" s="922"/>
      <c r="L169" s="460"/>
      <c r="M169" s="935"/>
      <c r="N169" s="18"/>
      <c r="O169" s="24"/>
      <c r="P169" s="23"/>
      <c r="Q169" s="21"/>
      <c r="R169" s="22"/>
      <c r="S169" s="18"/>
      <c r="T169" s="447"/>
      <c r="U169" s="74">
        <v>16</v>
      </c>
      <c r="V169" s="333" t="s">
        <v>845</v>
      </c>
      <c r="W169" s="332">
        <v>0</v>
      </c>
      <c r="X169" s="332">
        <v>0</v>
      </c>
      <c r="Y169" s="332">
        <v>13</v>
      </c>
      <c r="Z169" s="331">
        <f t="shared" si="7"/>
        <v>13</v>
      </c>
      <c r="AA169" s="18"/>
      <c r="AB169" s="17"/>
      <c r="AC169" s="447"/>
      <c r="AD169" s="444"/>
      <c r="AE169" s="441"/>
      <c r="AF169" s="498"/>
      <c r="AG169" s="498"/>
      <c r="AH169" s="498"/>
      <c r="AI169" s="498"/>
      <c r="AJ169" s="498"/>
      <c r="AK169" s="498"/>
      <c r="AL169" s="498"/>
      <c r="AM169" s="498"/>
      <c r="AN169" s="498"/>
      <c r="AO169" s="498"/>
      <c r="AP169" s="498"/>
      <c r="AQ169" s="498"/>
      <c r="AR169" s="498"/>
      <c r="AS169" s="498"/>
      <c r="AT169" s="498"/>
      <c r="AU169" s="498"/>
      <c r="AV169" s="922"/>
    </row>
    <row r="170" spans="1:48">
      <c r="A170" s="23"/>
      <c r="B170" s="26"/>
      <c r="C170" s="25"/>
      <c r="D170" s="18"/>
      <c r="E170" s="61"/>
      <c r="F170" s="917"/>
      <c r="G170" s="18"/>
      <c r="H170" s="21"/>
      <c r="I170" s="917"/>
      <c r="J170" s="451"/>
      <c r="K170" s="922"/>
      <c r="L170" s="460"/>
      <c r="M170" s="935"/>
      <c r="N170" s="18"/>
      <c r="O170" s="24"/>
      <c r="P170" s="23"/>
      <c r="Q170" s="21"/>
      <c r="R170" s="22"/>
      <c r="S170" s="18"/>
      <c r="T170" s="447"/>
      <c r="U170" s="74">
        <v>17</v>
      </c>
      <c r="V170" s="333" t="s">
        <v>844</v>
      </c>
      <c r="W170" s="332">
        <v>0</v>
      </c>
      <c r="X170" s="332">
        <v>4</v>
      </c>
      <c r="Y170" s="332">
        <v>0</v>
      </c>
      <c r="Z170" s="331">
        <f t="shared" si="7"/>
        <v>4</v>
      </c>
      <c r="AA170" s="18"/>
      <c r="AB170" s="17"/>
      <c r="AC170" s="447"/>
      <c r="AD170" s="444"/>
      <c r="AE170" s="441"/>
      <c r="AF170" s="498"/>
      <c r="AG170" s="498"/>
      <c r="AH170" s="498"/>
      <c r="AI170" s="498"/>
      <c r="AJ170" s="498"/>
      <c r="AK170" s="498">
        <v>3250</v>
      </c>
      <c r="AL170" s="498"/>
      <c r="AM170" s="498"/>
      <c r="AN170" s="498"/>
      <c r="AO170" s="498"/>
      <c r="AP170" s="498"/>
      <c r="AQ170" s="498"/>
      <c r="AR170" s="498"/>
      <c r="AS170" s="498"/>
      <c r="AT170" s="498"/>
      <c r="AU170" s="498"/>
      <c r="AV170" s="922"/>
    </row>
    <row r="171" spans="1:48">
      <c r="A171" s="23"/>
      <c r="B171" s="26"/>
      <c r="C171" s="25"/>
      <c r="D171" s="18"/>
      <c r="E171" s="61"/>
      <c r="F171" s="917"/>
      <c r="G171" s="18"/>
      <c r="H171" s="21"/>
      <c r="I171" s="917"/>
      <c r="J171" s="451"/>
      <c r="K171" s="922"/>
      <c r="L171" s="460"/>
      <c r="M171" s="935"/>
      <c r="N171" s="18"/>
      <c r="O171" s="24"/>
      <c r="P171" s="23"/>
      <c r="Q171" s="21"/>
      <c r="R171" s="22"/>
      <c r="S171" s="18"/>
      <c r="T171" s="447"/>
      <c r="U171" s="74">
        <v>18</v>
      </c>
      <c r="V171" s="333" t="s">
        <v>843</v>
      </c>
      <c r="W171" s="332">
        <v>0</v>
      </c>
      <c r="X171" s="332">
        <v>6</v>
      </c>
      <c r="Y171" s="332">
        <v>0</v>
      </c>
      <c r="Z171" s="331">
        <f t="shared" si="7"/>
        <v>6</v>
      </c>
      <c r="AA171" s="18"/>
      <c r="AB171" s="17"/>
      <c r="AC171" s="447"/>
      <c r="AD171" s="444"/>
      <c r="AE171" s="441"/>
      <c r="AF171" s="498"/>
      <c r="AG171" s="498"/>
      <c r="AH171" s="498"/>
      <c r="AI171" s="498"/>
      <c r="AJ171" s="498"/>
      <c r="AK171" s="498"/>
      <c r="AL171" s="498"/>
      <c r="AM171" s="498"/>
      <c r="AN171" s="498"/>
      <c r="AO171" s="498"/>
      <c r="AP171" s="498"/>
      <c r="AQ171" s="498"/>
      <c r="AR171" s="498"/>
      <c r="AS171" s="498"/>
      <c r="AT171" s="498"/>
      <c r="AU171" s="498"/>
      <c r="AV171" s="922"/>
    </row>
    <row r="172" spans="1:48">
      <c r="A172" s="23"/>
      <c r="B172" s="26"/>
      <c r="C172" s="25"/>
      <c r="D172" s="18"/>
      <c r="E172" s="61"/>
      <c r="F172" s="917"/>
      <c r="G172" s="18"/>
      <c r="H172" s="21"/>
      <c r="I172" s="917"/>
      <c r="J172" s="451"/>
      <c r="K172" s="922"/>
      <c r="L172" s="460"/>
      <c r="M172" s="935"/>
      <c r="N172" s="18"/>
      <c r="O172" s="24"/>
      <c r="P172" s="23"/>
      <c r="Q172" s="21"/>
      <c r="R172" s="22"/>
      <c r="S172" s="18"/>
      <c r="T172" s="447"/>
      <c r="U172" s="74">
        <v>19</v>
      </c>
      <c r="V172" s="333" t="s">
        <v>842</v>
      </c>
      <c r="W172" s="332">
        <v>0</v>
      </c>
      <c r="X172" s="332">
        <v>5</v>
      </c>
      <c r="Y172" s="332">
        <v>8</v>
      </c>
      <c r="Z172" s="331">
        <f t="shared" si="7"/>
        <v>13</v>
      </c>
      <c r="AA172" s="18"/>
      <c r="AB172" s="17"/>
      <c r="AC172" s="447"/>
      <c r="AD172" s="444"/>
      <c r="AE172" s="441"/>
      <c r="AF172" s="498"/>
      <c r="AG172" s="498"/>
      <c r="AH172" s="498"/>
      <c r="AI172" s="498"/>
      <c r="AJ172" s="498"/>
      <c r="AK172" s="498"/>
      <c r="AL172" s="498"/>
      <c r="AM172" s="498"/>
      <c r="AN172" s="498"/>
      <c r="AO172" s="498"/>
      <c r="AP172" s="498"/>
      <c r="AQ172" s="498"/>
      <c r="AR172" s="498"/>
      <c r="AS172" s="498"/>
      <c r="AT172" s="498"/>
      <c r="AU172" s="498"/>
      <c r="AV172" s="922"/>
    </row>
    <row r="173" spans="1:48">
      <c r="A173" s="23"/>
      <c r="B173" s="26"/>
      <c r="C173" s="25"/>
      <c r="D173" s="18"/>
      <c r="E173" s="61"/>
      <c r="F173" s="917"/>
      <c r="G173" s="18"/>
      <c r="H173" s="21"/>
      <c r="I173" s="917"/>
      <c r="J173" s="451"/>
      <c r="K173" s="922"/>
      <c r="L173" s="460"/>
      <c r="M173" s="935"/>
      <c r="N173" s="18"/>
      <c r="O173" s="24"/>
      <c r="P173" s="23"/>
      <c r="Q173" s="21"/>
      <c r="R173" s="22"/>
      <c r="S173" s="18"/>
      <c r="T173" s="447"/>
      <c r="U173" s="74">
        <v>20</v>
      </c>
      <c r="V173" s="333" t="s">
        <v>841</v>
      </c>
      <c r="W173" s="332">
        <v>0</v>
      </c>
      <c r="X173" s="332">
        <v>10</v>
      </c>
      <c r="Y173" s="332">
        <v>0</v>
      </c>
      <c r="Z173" s="331">
        <f t="shared" si="7"/>
        <v>10</v>
      </c>
      <c r="AA173" s="18"/>
      <c r="AB173" s="17"/>
      <c r="AC173" s="447"/>
      <c r="AD173" s="444"/>
      <c r="AE173" s="441"/>
      <c r="AF173" s="498"/>
      <c r="AG173" s="498"/>
      <c r="AH173" s="498"/>
      <c r="AI173" s="498"/>
      <c r="AJ173" s="498"/>
      <c r="AK173" s="498"/>
      <c r="AL173" s="498"/>
      <c r="AM173" s="498"/>
      <c r="AN173" s="498"/>
      <c r="AO173" s="498"/>
      <c r="AP173" s="498"/>
      <c r="AQ173" s="498"/>
      <c r="AR173" s="498"/>
      <c r="AS173" s="498"/>
      <c r="AT173" s="498"/>
      <c r="AU173" s="498"/>
      <c r="AV173" s="922"/>
    </row>
    <row r="174" spans="1:48">
      <c r="A174" s="23"/>
      <c r="B174" s="26"/>
      <c r="C174" s="25"/>
      <c r="D174" s="18"/>
      <c r="E174" s="61"/>
      <c r="F174" s="917"/>
      <c r="G174" s="18"/>
      <c r="H174" s="21"/>
      <c r="I174" s="917"/>
      <c r="J174" s="451"/>
      <c r="K174" s="922"/>
      <c r="L174" s="460"/>
      <c r="M174" s="935"/>
      <c r="N174" s="18"/>
      <c r="O174" s="24"/>
      <c r="P174" s="23"/>
      <c r="Q174" s="21"/>
      <c r="R174" s="22"/>
      <c r="S174" s="18"/>
      <c r="T174" s="447"/>
      <c r="U174" s="74">
        <v>21</v>
      </c>
      <c r="V174" s="333" t="s">
        <v>34</v>
      </c>
      <c r="W174" s="332">
        <v>0</v>
      </c>
      <c r="X174" s="332">
        <v>5</v>
      </c>
      <c r="Y174" s="332">
        <v>2</v>
      </c>
      <c r="Z174" s="331">
        <f t="shared" si="7"/>
        <v>7</v>
      </c>
      <c r="AA174" s="18"/>
      <c r="AB174" s="17"/>
      <c r="AC174" s="447"/>
      <c r="AD174" s="444"/>
      <c r="AE174" s="441"/>
      <c r="AF174" s="498"/>
      <c r="AG174" s="498"/>
      <c r="AH174" s="498"/>
      <c r="AI174" s="498"/>
      <c r="AJ174" s="498"/>
      <c r="AK174" s="498"/>
      <c r="AL174" s="498"/>
      <c r="AM174" s="498"/>
      <c r="AN174" s="498"/>
      <c r="AO174" s="498"/>
      <c r="AP174" s="498"/>
      <c r="AQ174" s="498"/>
      <c r="AR174" s="498"/>
      <c r="AS174" s="498"/>
      <c r="AT174" s="498"/>
      <c r="AU174" s="498"/>
      <c r="AV174" s="922"/>
    </row>
    <row r="175" spans="1:48">
      <c r="A175" s="12"/>
      <c r="B175" s="482"/>
      <c r="C175" s="469"/>
      <c r="D175" s="7"/>
      <c r="E175" s="14"/>
      <c r="F175" s="918"/>
      <c r="G175" s="7"/>
      <c r="H175" s="10"/>
      <c r="I175" s="918"/>
      <c r="J175" s="452"/>
      <c r="K175" s="923"/>
      <c r="L175" s="59"/>
      <c r="M175" s="936"/>
      <c r="N175" s="7"/>
      <c r="O175" s="13"/>
      <c r="P175" s="12"/>
      <c r="Q175" s="10"/>
      <c r="R175" s="11"/>
      <c r="S175" s="7"/>
      <c r="T175" s="448"/>
      <c r="U175" s="458"/>
      <c r="V175" s="52"/>
      <c r="W175" s="448"/>
      <c r="X175" s="448"/>
      <c r="Y175" s="448"/>
      <c r="Z175" s="330"/>
      <c r="AA175" s="7"/>
      <c r="AB175" s="6"/>
      <c r="AC175" s="448"/>
      <c r="AD175" s="445"/>
      <c r="AE175" s="442"/>
      <c r="AF175" s="499"/>
      <c r="AG175" s="499"/>
      <c r="AH175" s="499"/>
      <c r="AI175" s="499"/>
      <c r="AJ175" s="499"/>
      <c r="AK175" s="499"/>
      <c r="AL175" s="499"/>
      <c r="AM175" s="499"/>
      <c r="AN175" s="499"/>
      <c r="AO175" s="499"/>
      <c r="AP175" s="499"/>
      <c r="AQ175" s="499"/>
      <c r="AR175" s="499"/>
      <c r="AS175" s="499"/>
      <c r="AT175" s="499"/>
      <c r="AU175" s="499"/>
      <c r="AV175" s="923"/>
    </row>
    <row r="176" spans="1:48" ht="27.6">
      <c r="A176" s="46">
        <v>10</v>
      </c>
      <c r="B176" s="40" t="s">
        <v>25</v>
      </c>
      <c r="C176" s="103" t="s">
        <v>840</v>
      </c>
      <c r="D176" s="44"/>
      <c r="E176" s="71"/>
      <c r="F176" s="916" t="e">
        <f>#REF!</f>
        <v>#REF!</v>
      </c>
      <c r="G176" s="43" t="s">
        <v>25</v>
      </c>
      <c r="H176" s="35" t="s">
        <v>839</v>
      </c>
      <c r="I176" s="916">
        <v>2326</v>
      </c>
      <c r="J176" s="453"/>
      <c r="K176" s="921" t="s">
        <v>838</v>
      </c>
      <c r="L176" s="455" t="s">
        <v>46</v>
      </c>
      <c r="M176" s="924" t="s">
        <v>46</v>
      </c>
      <c r="N176" s="36" t="s">
        <v>25</v>
      </c>
      <c r="O176" s="56" t="s">
        <v>26</v>
      </c>
      <c r="P176" s="118">
        <v>1</v>
      </c>
      <c r="Q176" s="44">
        <v>164.47</v>
      </c>
      <c r="R176" s="40" t="s">
        <v>25</v>
      </c>
      <c r="S176" s="44" t="s">
        <v>24</v>
      </c>
      <c r="T176" s="122"/>
      <c r="U176" s="357"/>
      <c r="V176" s="339"/>
      <c r="W176" s="339"/>
      <c r="X176" s="339"/>
      <c r="Y176" s="339"/>
      <c r="Z176" s="338"/>
      <c r="AA176" s="36"/>
      <c r="AB176" s="35"/>
      <c r="AC176" s="34"/>
      <c r="AD176" s="443"/>
      <c r="AE176" s="440"/>
      <c r="AF176" s="497"/>
      <c r="AG176" s="497"/>
      <c r="AH176" s="497"/>
      <c r="AI176" s="497"/>
      <c r="AJ176" s="497"/>
      <c r="AK176" s="497"/>
      <c r="AL176" s="497"/>
      <c r="AM176" s="497"/>
      <c r="AN176" s="497"/>
      <c r="AO176" s="497"/>
      <c r="AP176" s="497"/>
      <c r="AQ176" s="497"/>
      <c r="AR176" s="497"/>
      <c r="AS176" s="497"/>
      <c r="AT176" s="497"/>
      <c r="AU176" s="497"/>
      <c r="AV176" s="921"/>
    </row>
    <row r="177" spans="1:48">
      <c r="A177" s="95"/>
      <c r="B177" s="78" t="s">
        <v>16</v>
      </c>
      <c r="C177" s="30" t="s">
        <v>837</v>
      </c>
      <c r="D177" s="18"/>
      <c r="E177" s="61"/>
      <c r="F177" s="917"/>
      <c r="G177" s="93" t="s">
        <v>16</v>
      </c>
      <c r="H177" s="24" t="s">
        <v>836</v>
      </c>
      <c r="I177" s="917"/>
      <c r="J177" s="451"/>
      <c r="K177" s="922"/>
      <c r="L177" s="456"/>
      <c r="M177" s="935"/>
      <c r="N177" s="64" t="s">
        <v>16</v>
      </c>
      <c r="O177" s="76" t="s">
        <v>21</v>
      </c>
      <c r="P177" s="77">
        <v>1</v>
      </c>
      <c r="Q177" s="76">
        <v>27.33</v>
      </c>
      <c r="R177" s="78"/>
      <c r="S177" s="18"/>
      <c r="T177" s="20"/>
      <c r="U177" s="336"/>
      <c r="V177" s="333"/>
      <c r="W177" s="333"/>
      <c r="X177" s="333"/>
      <c r="Y177" s="333"/>
      <c r="Z177" s="335"/>
      <c r="AA177" s="64"/>
      <c r="AB177" s="24"/>
      <c r="AC177" s="23"/>
      <c r="AD177" s="444"/>
      <c r="AE177" s="441"/>
      <c r="AF177" s="498"/>
      <c r="AG177" s="498"/>
      <c r="AH177" s="498"/>
      <c r="AI177" s="498"/>
      <c r="AJ177" s="498"/>
      <c r="AK177" s="498"/>
      <c r="AL177" s="498"/>
      <c r="AM177" s="498"/>
      <c r="AN177" s="498"/>
      <c r="AO177" s="498"/>
      <c r="AP177" s="498"/>
      <c r="AQ177" s="498"/>
      <c r="AR177" s="498"/>
      <c r="AS177" s="498"/>
      <c r="AT177" s="498"/>
      <c r="AU177" s="498"/>
      <c r="AV177" s="922"/>
    </row>
    <row r="178" spans="1:48">
      <c r="A178" s="95"/>
      <c r="B178" s="22" t="s">
        <v>18</v>
      </c>
      <c r="C178" s="30" t="s">
        <v>38</v>
      </c>
      <c r="D178" s="18"/>
      <c r="E178" s="61"/>
      <c r="F178" s="917"/>
      <c r="G178" s="18" t="s">
        <v>18</v>
      </c>
      <c r="H178" s="18" t="s">
        <v>19</v>
      </c>
      <c r="I178" s="917"/>
      <c r="J178" s="451"/>
      <c r="K178" s="922"/>
      <c r="L178" s="456"/>
      <c r="M178" s="935"/>
      <c r="N178" s="64" t="s">
        <v>18</v>
      </c>
      <c r="O178" s="76" t="s">
        <v>17</v>
      </c>
      <c r="P178" s="77">
        <v>1</v>
      </c>
      <c r="Q178" s="76"/>
      <c r="R178" s="78" t="s">
        <v>16</v>
      </c>
      <c r="S178" s="18" t="s">
        <v>15</v>
      </c>
      <c r="T178" s="20">
        <v>20</v>
      </c>
      <c r="U178" s="344">
        <v>1</v>
      </c>
      <c r="V178" s="333" t="s">
        <v>835</v>
      </c>
      <c r="W178" s="333">
        <v>0</v>
      </c>
      <c r="X178" s="333">
        <v>1</v>
      </c>
      <c r="Y178" s="333">
        <v>0</v>
      </c>
      <c r="Z178" s="335">
        <v>1</v>
      </c>
      <c r="AA178" s="64"/>
      <c r="AB178" s="24"/>
      <c r="AC178" s="23"/>
      <c r="AD178" s="444"/>
      <c r="AE178" s="441"/>
      <c r="AF178" s="498"/>
      <c r="AG178" s="498"/>
      <c r="AH178" s="498"/>
      <c r="AI178" s="498"/>
      <c r="AJ178" s="498"/>
      <c r="AK178" s="498"/>
      <c r="AL178" s="498"/>
      <c r="AM178" s="498"/>
      <c r="AN178" s="498"/>
      <c r="AO178" s="498"/>
      <c r="AP178" s="498"/>
      <c r="AQ178" s="498"/>
      <c r="AR178" s="498"/>
      <c r="AS178" s="498"/>
      <c r="AT178" s="498"/>
      <c r="AU178" s="498"/>
      <c r="AV178" s="922"/>
    </row>
    <row r="179" spans="1:48" ht="55.2">
      <c r="A179" s="95"/>
      <c r="B179" s="26" t="s">
        <v>12</v>
      </c>
      <c r="C179" s="25" t="s">
        <v>834</v>
      </c>
      <c r="D179" s="18"/>
      <c r="E179" s="61"/>
      <c r="F179" s="917"/>
      <c r="G179" s="93"/>
      <c r="H179" s="24"/>
      <c r="I179" s="917"/>
      <c r="J179" s="451"/>
      <c r="K179" s="922"/>
      <c r="L179" s="456"/>
      <c r="M179" s="935"/>
      <c r="N179" s="64" t="s">
        <v>12</v>
      </c>
      <c r="O179" s="64" t="s">
        <v>11</v>
      </c>
      <c r="P179" s="63">
        <v>1</v>
      </c>
      <c r="Q179" s="76"/>
      <c r="R179" s="78"/>
      <c r="S179" s="18"/>
      <c r="T179" s="20"/>
      <c r="U179" s="344">
        <f t="shared" ref="U179:U197" si="8">U178+1</f>
        <v>2</v>
      </c>
      <c r="V179" s="333" t="s">
        <v>379</v>
      </c>
      <c r="W179" s="333">
        <v>0</v>
      </c>
      <c r="X179" s="333">
        <v>0</v>
      </c>
      <c r="Y179" s="333">
        <v>10</v>
      </c>
      <c r="Z179" s="335">
        <v>10</v>
      </c>
      <c r="AA179" s="64"/>
      <c r="AB179" s="24"/>
      <c r="AC179" s="23"/>
      <c r="AD179" s="444"/>
      <c r="AE179" s="441"/>
      <c r="AF179" s="498"/>
      <c r="AG179" s="498"/>
      <c r="AH179" s="498"/>
      <c r="AI179" s="498"/>
      <c r="AJ179" s="498"/>
      <c r="AK179" s="498"/>
      <c r="AL179" s="498"/>
      <c r="AM179" s="498"/>
      <c r="AN179" s="498"/>
      <c r="AO179" s="498"/>
      <c r="AP179" s="498"/>
      <c r="AQ179" s="498"/>
      <c r="AR179" s="498"/>
      <c r="AS179" s="498"/>
      <c r="AT179" s="498"/>
      <c r="AU179" s="498"/>
      <c r="AV179" s="922"/>
    </row>
    <row r="180" spans="1:48">
      <c r="A180" s="95"/>
      <c r="B180" s="22" t="s">
        <v>8</v>
      </c>
      <c r="C180" s="62" t="s">
        <v>833</v>
      </c>
      <c r="D180" s="18"/>
      <c r="E180" s="62"/>
      <c r="F180" s="917"/>
      <c r="G180" s="93"/>
      <c r="H180" s="24"/>
      <c r="I180" s="917"/>
      <c r="J180" s="451"/>
      <c r="K180" s="922"/>
      <c r="L180" s="456"/>
      <c r="M180" s="935"/>
      <c r="N180" s="64" t="s">
        <v>8</v>
      </c>
      <c r="O180" s="76" t="s">
        <v>832</v>
      </c>
      <c r="P180" s="77">
        <v>1</v>
      </c>
      <c r="Q180" s="328">
        <v>30.4</v>
      </c>
      <c r="R180" s="78"/>
      <c r="S180" s="18"/>
      <c r="T180" s="20"/>
      <c r="U180" s="344">
        <f t="shared" si="8"/>
        <v>3</v>
      </c>
      <c r="V180" s="333" t="s">
        <v>137</v>
      </c>
      <c r="W180" s="333">
        <v>0</v>
      </c>
      <c r="X180" s="333">
        <v>15</v>
      </c>
      <c r="Y180" s="333">
        <v>0</v>
      </c>
      <c r="Z180" s="335">
        <v>15</v>
      </c>
      <c r="AA180" s="64"/>
      <c r="AB180" s="24"/>
      <c r="AC180" s="23"/>
      <c r="AD180" s="444"/>
      <c r="AE180" s="441"/>
      <c r="AF180" s="498"/>
      <c r="AG180" s="498"/>
      <c r="AH180" s="498"/>
      <c r="AI180" s="498"/>
      <c r="AJ180" s="498"/>
      <c r="AK180" s="498"/>
      <c r="AL180" s="498"/>
      <c r="AM180" s="498"/>
      <c r="AN180" s="498"/>
      <c r="AO180" s="498"/>
      <c r="AP180" s="498"/>
      <c r="AQ180" s="498"/>
      <c r="AR180" s="498"/>
      <c r="AS180" s="498"/>
      <c r="AT180" s="498"/>
      <c r="AU180" s="498"/>
      <c r="AV180" s="922"/>
    </row>
    <row r="181" spans="1:48">
      <c r="A181" s="95"/>
      <c r="B181" s="78"/>
      <c r="C181" s="30"/>
      <c r="D181" s="18"/>
      <c r="E181" s="61"/>
      <c r="F181" s="917"/>
      <c r="G181" s="93"/>
      <c r="H181" s="24"/>
      <c r="I181" s="917"/>
      <c r="J181" s="451"/>
      <c r="K181" s="922"/>
      <c r="L181" s="456"/>
      <c r="M181" s="935"/>
      <c r="N181" s="64" t="s">
        <v>54</v>
      </c>
      <c r="O181" s="76" t="s">
        <v>120</v>
      </c>
      <c r="P181" s="77">
        <v>1</v>
      </c>
      <c r="Q181" s="76">
        <v>2.04</v>
      </c>
      <c r="R181" s="78"/>
      <c r="S181" s="18"/>
      <c r="T181" s="20"/>
      <c r="U181" s="344">
        <f t="shared" si="8"/>
        <v>4</v>
      </c>
      <c r="V181" s="333" t="s">
        <v>313</v>
      </c>
      <c r="W181" s="333">
        <v>0</v>
      </c>
      <c r="X181" s="333">
        <v>0</v>
      </c>
      <c r="Y181" s="333">
        <v>10</v>
      </c>
      <c r="Z181" s="335">
        <v>10</v>
      </c>
      <c r="AA181" s="64"/>
      <c r="AB181" s="24"/>
      <c r="AC181" s="23"/>
      <c r="AD181" s="444"/>
      <c r="AE181" s="441"/>
      <c r="AF181" s="498"/>
      <c r="AG181" s="498"/>
      <c r="AH181" s="498"/>
      <c r="AI181" s="498"/>
      <c r="AJ181" s="498"/>
      <c r="AK181" s="498"/>
      <c r="AL181" s="498"/>
      <c r="AM181" s="498"/>
      <c r="AN181" s="498"/>
      <c r="AO181" s="498"/>
      <c r="AP181" s="498"/>
      <c r="AQ181" s="498"/>
      <c r="AR181" s="498"/>
      <c r="AS181" s="498"/>
      <c r="AT181" s="498"/>
      <c r="AU181" s="498"/>
      <c r="AV181" s="922"/>
    </row>
    <row r="182" spans="1:48">
      <c r="A182" s="95"/>
      <c r="B182" s="78"/>
      <c r="C182" s="30"/>
      <c r="D182" s="18"/>
      <c r="E182" s="61"/>
      <c r="F182" s="917"/>
      <c r="G182" s="93"/>
      <c r="H182" s="24"/>
      <c r="I182" s="917"/>
      <c r="J182" s="451"/>
      <c r="K182" s="922"/>
      <c r="L182" s="456"/>
      <c r="M182" s="935"/>
      <c r="N182" s="64" t="s">
        <v>53</v>
      </c>
      <c r="O182" s="76" t="s">
        <v>52</v>
      </c>
      <c r="P182" s="77">
        <v>1</v>
      </c>
      <c r="Q182" s="328">
        <v>46.8</v>
      </c>
      <c r="R182" s="78"/>
      <c r="S182" s="18"/>
      <c r="T182" s="20"/>
      <c r="U182" s="344">
        <f t="shared" si="8"/>
        <v>5</v>
      </c>
      <c r="V182" s="333" t="s">
        <v>82</v>
      </c>
      <c r="W182" s="333">
        <v>0</v>
      </c>
      <c r="X182" s="333">
        <v>5</v>
      </c>
      <c r="Y182" s="333">
        <v>0</v>
      </c>
      <c r="Z182" s="335">
        <v>5</v>
      </c>
      <c r="AA182" s="64"/>
      <c r="AB182" s="24"/>
      <c r="AC182" s="23"/>
      <c r="AD182" s="444"/>
      <c r="AE182" s="441"/>
      <c r="AF182" s="498"/>
      <c r="AG182" s="498"/>
      <c r="AH182" s="498"/>
      <c r="AI182" s="498"/>
      <c r="AJ182" s="498"/>
      <c r="AK182" s="498"/>
      <c r="AL182" s="498"/>
      <c r="AM182" s="498"/>
      <c r="AN182" s="498"/>
      <c r="AO182" s="498"/>
      <c r="AP182" s="498"/>
      <c r="AQ182" s="498"/>
      <c r="AR182" s="498"/>
      <c r="AS182" s="498"/>
      <c r="AT182" s="498"/>
      <c r="AU182" s="498"/>
      <c r="AV182" s="922"/>
    </row>
    <row r="183" spans="1:48">
      <c r="A183" s="95"/>
      <c r="B183" s="78"/>
      <c r="C183" s="30"/>
      <c r="D183" s="18"/>
      <c r="E183" s="61"/>
      <c r="F183" s="917"/>
      <c r="G183" s="93"/>
      <c r="H183" s="24"/>
      <c r="I183" s="917"/>
      <c r="J183" s="451"/>
      <c r="K183" s="922"/>
      <c r="L183" s="456"/>
      <c r="M183" s="935"/>
      <c r="N183" s="64"/>
      <c r="O183" s="327"/>
      <c r="P183" s="20"/>
      <c r="Q183" s="18"/>
      <c r="R183" s="78"/>
      <c r="S183" s="18"/>
      <c r="T183" s="20"/>
      <c r="U183" s="344">
        <f t="shared" si="8"/>
        <v>6</v>
      </c>
      <c r="V183" s="333" t="s">
        <v>411</v>
      </c>
      <c r="W183" s="333">
        <v>0</v>
      </c>
      <c r="X183" s="333">
        <v>5</v>
      </c>
      <c r="Y183" s="333">
        <v>0</v>
      </c>
      <c r="Z183" s="335">
        <v>5</v>
      </c>
      <c r="AA183" s="64"/>
      <c r="AB183" s="24"/>
      <c r="AC183" s="23"/>
      <c r="AD183" s="444"/>
      <c r="AE183" s="441"/>
      <c r="AF183" s="498"/>
      <c r="AG183" s="498"/>
      <c r="AH183" s="498"/>
      <c r="AI183" s="498"/>
      <c r="AJ183" s="498"/>
      <c r="AK183" s="498"/>
      <c r="AL183" s="498"/>
      <c r="AM183" s="498"/>
      <c r="AN183" s="498"/>
      <c r="AO183" s="498"/>
      <c r="AP183" s="498"/>
      <c r="AQ183" s="498"/>
      <c r="AR183" s="498"/>
      <c r="AS183" s="498"/>
      <c r="AT183" s="498"/>
      <c r="AU183" s="498"/>
      <c r="AV183" s="922"/>
    </row>
    <row r="184" spans="1:48">
      <c r="A184" s="95"/>
      <c r="B184" s="78"/>
      <c r="C184" s="30"/>
      <c r="D184" s="18"/>
      <c r="E184" s="61"/>
      <c r="F184" s="917"/>
      <c r="G184" s="93"/>
      <c r="H184" s="24"/>
      <c r="I184" s="917"/>
      <c r="J184" s="451"/>
      <c r="K184" s="922"/>
      <c r="L184" s="456"/>
      <c r="M184" s="935"/>
      <c r="N184" s="64"/>
      <c r="O184" s="76"/>
      <c r="P184" s="77"/>
      <c r="Q184" s="76"/>
      <c r="R184" s="78"/>
      <c r="S184" s="18"/>
      <c r="T184" s="20"/>
      <c r="U184" s="344">
        <f t="shared" si="8"/>
        <v>7</v>
      </c>
      <c r="V184" s="333" t="s">
        <v>0</v>
      </c>
      <c r="W184" s="333">
        <v>50</v>
      </c>
      <c r="X184" s="333">
        <v>0</v>
      </c>
      <c r="Y184" s="333">
        <v>0</v>
      </c>
      <c r="Z184" s="335">
        <v>50</v>
      </c>
      <c r="AA184" s="64"/>
      <c r="AB184" s="24"/>
      <c r="AC184" s="23"/>
      <c r="AD184" s="444"/>
      <c r="AE184" s="441"/>
      <c r="AF184" s="498"/>
      <c r="AG184" s="498"/>
      <c r="AH184" s="498"/>
      <c r="AI184" s="498"/>
      <c r="AJ184" s="498"/>
      <c r="AK184" s="498"/>
      <c r="AL184" s="498"/>
      <c r="AM184" s="498"/>
      <c r="AN184" s="498"/>
      <c r="AO184" s="498"/>
      <c r="AP184" s="498"/>
      <c r="AQ184" s="498"/>
      <c r="AR184" s="498"/>
      <c r="AS184" s="498"/>
      <c r="AT184" s="498"/>
      <c r="AU184" s="498"/>
      <c r="AV184" s="922"/>
    </row>
    <row r="185" spans="1:48">
      <c r="A185" s="95"/>
      <c r="B185" s="78"/>
      <c r="C185" s="30"/>
      <c r="D185" s="18"/>
      <c r="E185" s="61"/>
      <c r="F185" s="917"/>
      <c r="G185" s="93"/>
      <c r="H185" s="24"/>
      <c r="I185" s="917"/>
      <c r="J185" s="451"/>
      <c r="K185" s="922"/>
      <c r="L185" s="456"/>
      <c r="M185" s="935"/>
      <c r="N185" s="64"/>
      <c r="O185" s="327"/>
      <c r="P185" s="20"/>
      <c r="Q185" s="18"/>
      <c r="R185" s="78"/>
      <c r="S185" s="18"/>
      <c r="T185" s="20"/>
      <c r="U185" s="344">
        <f t="shared" si="8"/>
        <v>8</v>
      </c>
      <c r="V185" s="333" t="s">
        <v>831</v>
      </c>
      <c r="W185" s="333">
        <v>75</v>
      </c>
      <c r="X185" s="333">
        <v>0</v>
      </c>
      <c r="Y185" s="333">
        <v>0</v>
      </c>
      <c r="Z185" s="335">
        <v>75</v>
      </c>
      <c r="AA185" s="64"/>
      <c r="AB185" s="24"/>
      <c r="AC185" s="23"/>
      <c r="AD185" s="444"/>
      <c r="AE185" s="441"/>
      <c r="AF185" s="498"/>
      <c r="AG185" s="498"/>
      <c r="AH185" s="498"/>
      <c r="AI185" s="498"/>
      <c r="AJ185" s="498"/>
      <c r="AK185" s="498"/>
      <c r="AL185" s="498"/>
      <c r="AM185" s="498"/>
      <c r="AN185" s="498"/>
      <c r="AO185" s="498"/>
      <c r="AP185" s="498"/>
      <c r="AQ185" s="498"/>
      <c r="AR185" s="498"/>
      <c r="AS185" s="498"/>
      <c r="AT185" s="498"/>
      <c r="AU185" s="498"/>
      <c r="AV185" s="922"/>
    </row>
    <row r="186" spans="1:48">
      <c r="A186" s="95"/>
      <c r="B186" s="78"/>
      <c r="C186" s="30"/>
      <c r="D186" s="18"/>
      <c r="E186" s="61"/>
      <c r="F186" s="917"/>
      <c r="G186" s="93"/>
      <c r="H186" s="24"/>
      <c r="I186" s="917"/>
      <c r="J186" s="451"/>
      <c r="K186" s="922"/>
      <c r="L186" s="456"/>
      <c r="M186" s="935"/>
      <c r="N186" s="64"/>
      <c r="O186" s="76"/>
      <c r="P186" s="77"/>
      <c r="Q186" s="328"/>
      <c r="R186" s="78"/>
      <c r="S186" s="18"/>
      <c r="T186" s="20"/>
      <c r="U186" s="344">
        <f t="shared" si="8"/>
        <v>9</v>
      </c>
      <c r="V186" s="333" t="s">
        <v>830</v>
      </c>
      <c r="W186" s="333">
        <v>0</v>
      </c>
      <c r="X186" s="333">
        <v>0</v>
      </c>
      <c r="Y186" s="333">
        <v>5</v>
      </c>
      <c r="Z186" s="335">
        <v>5</v>
      </c>
      <c r="AA186" s="64"/>
      <c r="AB186" s="24"/>
      <c r="AC186" s="23"/>
      <c r="AD186" s="444"/>
      <c r="AE186" s="441"/>
      <c r="AF186" s="498"/>
      <c r="AG186" s="498"/>
      <c r="AH186" s="498"/>
      <c r="AI186" s="498"/>
      <c r="AJ186" s="498"/>
      <c r="AK186" s="498"/>
      <c r="AL186" s="498"/>
      <c r="AM186" s="498"/>
      <c r="AN186" s="498"/>
      <c r="AO186" s="498"/>
      <c r="AP186" s="498"/>
      <c r="AQ186" s="498"/>
      <c r="AR186" s="498"/>
      <c r="AS186" s="498"/>
      <c r="AT186" s="498"/>
      <c r="AU186" s="498"/>
      <c r="AV186" s="922"/>
    </row>
    <row r="187" spans="1:48">
      <c r="A187" s="95"/>
      <c r="B187" s="78"/>
      <c r="C187" s="30"/>
      <c r="D187" s="18"/>
      <c r="E187" s="61"/>
      <c r="F187" s="917"/>
      <c r="G187" s="93"/>
      <c r="H187" s="24"/>
      <c r="I187" s="917"/>
      <c r="J187" s="451"/>
      <c r="K187" s="922"/>
      <c r="L187" s="456"/>
      <c r="M187" s="935"/>
      <c r="N187" s="64"/>
      <c r="O187" s="76"/>
      <c r="P187" s="77"/>
      <c r="Q187" s="76"/>
      <c r="R187" s="78"/>
      <c r="S187" s="18"/>
      <c r="T187" s="20"/>
      <c r="U187" s="344">
        <f t="shared" si="8"/>
        <v>10</v>
      </c>
      <c r="V187" s="333" t="s">
        <v>829</v>
      </c>
      <c r="W187" s="333">
        <v>5</v>
      </c>
      <c r="X187" s="333">
        <v>0</v>
      </c>
      <c r="Y187" s="333">
        <v>0</v>
      </c>
      <c r="Z187" s="335">
        <v>5</v>
      </c>
      <c r="AA187" s="64"/>
      <c r="AB187" s="24"/>
      <c r="AC187" s="23"/>
      <c r="AD187" s="444"/>
      <c r="AE187" s="441"/>
      <c r="AF187" s="498"/>
      <c r="AG187" s="498"/>
      <c r="AH187" s="498"/>
      <c r="AI187" s="498"/>
      <c r="AJ187" s="498"/>
      <c r="AK187" s="498"/>
      <c r="AL187" s="498"/>
      <c r="AM187" s="498"/>
      <c r="AN187" s="498"/>
      <c r="AO187" s="498"/>
      <c r="AP187" s="498"/>
      <c r="AQ187" s="498"/>
      <c r="AR187" s="498"/>
      <c r="AS187" s="498"/>
      <c r="AT187" s="498"/>
      <c r="AU187" s="498"/>
      <c r="AV187" s="922"/>
    </row>
    <row r="188" spans="1:48">
      <c r="A188" s="95"/>
      <c r="B188" s="78"/>
      <c r="C188" s="30"/>
      <c r="D188" s="18"/>
      <c r="E188" s="61"/>
      <c r="F188" s="917"/>
      <c r="G188" s="93"/>
      <c r="H188" s="24"/>
      <c r="I188" s="917"/>
      <c r="J188" s="451"/>
      <c r="K188" s="922"/>
      <c r="L188" s="456"/>
      <c r="M188" s="935"/>
      <c r="N188" s="64"/>
      <c r="O188" s="327"/>
      <c r="P188" s="20"/>
      <c r="Q188" s="18"/>
      <c r="R188" s="78"/>
      <c r="S188" s="18"/>
      <c r="T188" s="20"/>
      <c r="U188" s="344">
        <f t="shared" si="8"/>
        <v>11</v>
      </c>
      <c r="V188" s="333" t="s">
        <v>2</v>
      </c>
      <c r="W188" s="333">
        <v>7</v>
      </c>
      <c r="X188" s="333">
        <v>0</v>
      </c>
      <c r="Y188" s="333">
        <v>0</v>
      </c>
      <c r="Z188" s="335">
        <v>7</v>
      </c>
      <c r="AA188" s="64"/>
      <c r="AB188" s="24"/>
      <c r="AC188" s="23"/>
      <c r="AD188" s="444"/>
      <c r="AE188" s="441"/>
      <c r="AF188" s="498"/>
      <c r="AG188" s="498"/>
      <c r="AH188" s="498"/>
      <c r="AI188" s="498"/>
      <c r="AJ188" s="498"/>
      <c r="AK188" s="498"/>
      <c r="AL188" s="498"/>
      <c r="AM188" s="498"/>
      <c r="AN188" s="498"/>
      <c r="AO188" s="498"/>
      <c r="AP188" s="498"/>
      <c r="AQ188" s="498"/>
      <c r="AR188" s="498"/>
      <c r="AS188" s="498"/>
      <c r="AT188" s="498"/>
      <c r="AU188" s="498"/>
      <c r="AV188" s="922"/>
    </row>
    <row r="189" spans="1:48">
      <c r="A189" s="95"/>
      <c r="B189" s="78"/>
      <c r="C189" s="30"/>
      <c r="D189" s="18"/>
      <c r="E189" s="61"/>
      <c r="F189" s="917"/>
      <c r="G189" s="93"/>
      <c r="H189" s="24"/>
      <c r="I189" s="917"/>
      <c r="J189" s="451"/>
      <c r="K189" s="922"/>
      <c r="L189" s="456"/>
      <c r="M189" s="935"/>
      <c r="N189" s="64"/>
      <c r="O189" s="76"/>
      <c r="P189" s="77"/>
      <c r="Q189" s="76"/>
      <c r="R189" s="78"/>
      <c r="S189" s="18"/>
      <c r="T189" s="20"/>
      <c r="U189" s="344">
        <f t="shared" si="8"/>
        <v>12</v>
      </c>
      <c r="V189" s="333" t="s">
        <v>828</v>
      </c>
      <c r="W189" s="333">
        <v>2</v>
      </c>
      <c r="X189" s="333">
        <v>0</v>
      </c>
      <c r="Y189" s="333">
        <v>0</v>
      </c>
      <c r="Z189" s="335">
        <v>2</v>
      </c>
      <c r="AA189" s="64"/>
      <c r="AB189" s="24"/>
      <c r="AC189" s="23"/>
      <c r="AD189" s="444"/>
      <c r="AE189" s="441"/>
      <c r="AF189" s="498"/>
      <c r="AG189" s="498"/>
      <c r="AH189" s="498"/>
      <c r="AI189" s="498"/>
      <c r="AJ189" s="498"/>
      <c r="AK189" s="498"/>
      <c r="AL189" s="498"/>
      <c r="AM189" s="498"/>
      <c r="AN189" s="498"/>
      <c r="AO189" s="498"/>
      <c r="AP189" s="498"/>
      <c r="AQ189" s="498"/>
      <c r="AR189" s="498"/>
      <c r="AS189" s="498"/>
      <c r="AT189" s="498"/>
      <c r="AU189" s="498"/>
      <c r="AV189" s="922"/>
    </row>
    <row r="190" spans="1:48">
      <c r="A190" s="95"/>
      <c r="B190" s="78"/>
      <c r="C190" s="30"/>
      <c r="D190" s="18"/>
      <c r="E190" s="61"/>
      <c r="F190" s="917"/>
      <c r="G190" s="93"/>
      <c r="H190" s="24"/>
      <c r="I190" s="917"/>
      <c r="J190" s="451"/>
      <c r="K190" s="922"/>
      <c r="L190" s="456"/>
      <c r="M190" s="935"/>
      <c r="N190" s="64"/>
      <c r="O190" s="76"/>
      <c r="P190" s="77"/>
      <c r="Q190" s="76"/>
      <c r="R190" s="78"/>
      <c r="S190" s="18"/>
      <c r="T190" s="20"/>
      <c r="U190" s="344">
        <f t="shared" si="8"/>
        <v>13</v>
      </c>
      <c r="V190" s="333" t="s">
        <v>418</v>
      </c>
      <c r="W190" s="333">
        <v>2</v>
      </c>
      <c r="X190" s="333">
        <v>0</v>
      </c>
      <c r="Y190" s="333">
        <v>0</v>
      </c>
      <c r="Z190" s="335">
        <v>2</v>
      </c>
      <c r="AA190" s="64"/>
      <c r="AB190" s="24"/>
      <c r="AC190" s="23"/>
      <c r="AD190" s="444"/>
      <c r="AE190" s="441"/>
      <c r="AF190" s="498"/>
      <c r="AG190" s="498"/>
      <c r="AH190" s="498"/>
      <c r="AI190" s="498"/>
      <c r="AJ190" s="498"/>
      <c r="AK190" s="498"/>
      <c r="AL190" s="498"/>
      <c r="AM190" s="498"/>
      <c r="AN190" s="498"/>
      <c r="AO190" s="498"/>
      <c r="AP190" s="498"/>
      <c r="AQ190" s="498"/>
      <c r="AR190" s="498"/>
      <c r="AS190" s="498"/>
      <c r="AT190" s="498"/>
      <c r="AU190" s="498"/>
      <c r="AV190" s="922"/>
    </row>
    <row r="191" spans="1:48">
      <c r="A191" s="95"/>
      <c r="B191" s="78"/>
      <c r="C191" s="30"/>
      <c r="D191" s="18"/>
      <c r="E191" s="61"/>
      <c r="F191" s="917"/>
      <c r="G191" s="93"/>
      <c r="H191" s="24"/>
      <c r="I191" s="917"/>
      <c r="J191" s="451"/>
      <c r="K191" s="922"/>
      <c r="L191" s="456"/>
      <c r="M191" s="935"/>
      <c r="N191" s="64"/>
      <c r="O191" s="76"/>
      <c r="P191" s="77"/>
      <c r="Q191" s="76"/>
      <c r="R191" s="78"/>
      <c r="S191" s="18"/>
      <c r="T191" s="20"/>
      <c r="U191" s="344">
        <f t="shared" si="8"/>
        <v>14</v>
      </c>
      <c r="V191" s="333" t="s">
        <v>14</v>
      </c>
      <c r="W191" s="333">
        <v>3</v>
      </c>
      <c r="X191" s="333">
        <v>0</v>
      </c>
      <c r="Y191" s="333">
        <v>0</v>
      </c>
      <c r="Z191" s="335">
        <v>3</v>
      </c>
      <c r="AA191" s="64"/>
      <c r="AB191" s="24"/>
      <c r="AC191" s="23"/>
      <c r="AD191" s="444"/>
      <c r="AE191" s="441"/>
      <c r="AF191" s="498"/>
      <c r="AG191" s="498"/>
      <c r="AH191" s="498"/>
      <c r="AI191" s="498"/>
      <c r="AJ191" s="498"/>
      <c r="AK191" s="498"/>
      <c r="AL191" s="498"/>
      <c r="AM191" s="498"/>
      <c r="AN191" s="498"/>
      <c r="AO191" s="498"/>
      <c r="AP191" s="498"/>
      <c r="AQ191" s="498"/>
      <c r="AR191" s="498"/>
      <c r="AS191" s="498"/>
      <c r="AT191" s="498"/>
      <c r="AU191" s="498"/>
      <c r="AV191" s="922"/>
    </row>
    <row r="192" spans="1:48">
      <c r="A192" s="95"/>
      <c r="B192" s="78"/>
      <c r="C192" s="30"/>
      <c r="D192" s="18"/>
      <c r="E192" s="61"/>
      <c r="F192" s="917"/>
      <c r="G192" s="93"/>
      <c r="H192" s="24"/>
      <c r="I192" s="917"/>
      <c r="J192" s="451"/>
      <c r="K192" s="922"/>
      <c r="L192" s="456"/>
      <c r="M192" s="935"/>
      <c r="N192" s="64"/>
      <c r="O192" s="76"/>
      <c r="P192" s="77"/>
      <c r="Q192" s="76"/>
      <c r="R192" s="78"/>
      <c r="S192" s="18"/>
      <c r="T192" s="20"/>
      <c r="U192" s="344">
        <f t="shared" si="8"/>
        <v>15</v>
      </c>
      <c r="V192" s="333" t="s">
        <v>143</v>
      </c>
      <c r="W192" s="333">
        <v>3</v>
      </c>
      <c r="X192" s="333">
        <v>0</v>
      </c>
      <c r="Y192" s="333">
        <v>0</v>
      </c>
      <c r="Z192" s="335">
        <v>3</v>
      </c>
      <c r="AA192" s="64"/>
      <c r="AB192" s="24"/>
      <c r="AC192" s="23"/>
      <c r="AD192" s="444"/>
      <c r="AE192" s="441"/>
      <c r="AF192" s="498"/>
      <c r="AG192" s="498"/>
      <c r="AH192" s="498"/>
      <c r="AI192" s="498"/>
      <c r="AJ192" s="498"/>
      <c r="AK192" s="498"/>
      <c r="AL192" s="498"/>
      <c r="AM192" s="498"/>
      <c r="AN192" s="498"/>
      <c r="AO192" s="498"/>
      <c r="AP192" s="498"/>
      <c r="AQ192" s="498"/>
      <c r="AR192" s="498"/>
      <c r="AS192" s="498"/>
      <c r="AT192" s="498"/>
      <c r="AU192" s="498"/>
      <c r="AV192" s="922"/>
    </row>
    <row r="193" spans="1:48">
      <c r="A193" s="95"/>
      <c r="B193" s="78"/>
      <c r="C193" s="30"/>
      <c r="D193" s="18"/>
      <c r="E193" s="61"/>
      <c r="F193" s="917"/>
      <c r="G193" s="93"/>
      <c r="H193" s="24"/>
      <c r="I193" s="917"/>
      <c r="J193" s="451"/>
      <c r="K193" s="922"/>
      <c r="L193" s="456"/>
      <c r="M193" s="935"/>
      <c r="N193" s="64"/>
      <c r="O193" s="76"/>
      <c r="P193" s="77"/>
      <c r="Q193" s="76"/>
      <c r="R193" s="78"/>
      <c r="S193" s="18"/>
      <c r="T193" s="20"/>
      <c r="U193" s="344">
        <f t="shared" si="8"/>
        <v>16</v>
      </c>
      <c r="V193" s="333" t="s">
        <v>827</v>
      </c>
      <c r="W193" s="333">
        <v>10</v>
      </c>
      <c r="X193" s="333">
        <v>0</v>
      </c>
      <c r="Y193" s="333">
        <v>0</v>
      </c>
      <c r="Z193" s="335">
        <v>10</v>
      </c>
      <c r="AA193" s="64"/>
      <c r="AB193" s="24"/>
      <c r="AC193" s="23"/>
      <c r="AD193" s="444"/>
      <c r="AE193" s="441"/>
      <c r="AF193" s="498"/>
      <c r="AG193" s="498"/>
      <c r="AH193" s="498"/>
      <c r="AI193" s="498"/>
      <c r="AJ193" s="498"/>
      <c r="AK193" s="498"/>
      <c r="AL193" s="498"/>
      <c r="AM193" s="498"/>
      <c r="AN193" s="498"/>
      <c r="AO193" s="498"/>
      <c r="AP193" s="498"/>
      <c r="AQ193" s="498"/>
      <c r="AR193" s="498"/>
      <c r="AS193" s="498"/>
      <c r="AT193" s="498"/>
      <c r="AU193" s="498"/>
      <c r="AV193" s="922"/>
    </row>
    <row r="194" spans="1:48">
      <c r="A194" s="95"/>
      <c r="B194" s="78"/>
      <c r="C194" s="30"/>
      <c r="D194" s="18"/>
      <c r="E194" s="61"/>
      <c r="F194" s="917"/>
      <c r="G194" s="93"/>
      <c r="H194" s="24"/>
      <c r="I194" s="917"/>
      <c r="J194" s="451"/>
      <c r="K194" s="922"/>
      <c r="L194" s="456"/>
      <c r="M194" s="935"/>
      <c r="N194" s="64"/>
      <c r="O194" s="76"/>
      <c r="P194" s="77"/>
      <c r="Q194" s="76"/>
      <c r="R194" s="78"/>
      <c r="S194" s="18"/>
      <c r="T194" s="20"/>
      <c r="U194" s="344">
        <f t="shared" si="8"/>
        <v>17</v>
      </c>
      <c r="V194" s="333" t="s">
        <v>144</v>
      </c>
      <c r="W194" s="333">
        <v>2</v>
      </c>
      <c r="X194" s="333">
        <v>0</v>
      </c>
      <c r="Y194" s="333">
        <v>0</v>
      </c>
      <c r="Z194" s="335">
        <v>2</v>
      </c>
      <c r="AA194" s="64"/>
      <c r="AB194" s="24"/>
      <c r="AC194" s="23"/>
      <c r="AD194" s="444"/>
      <c r="AE194" s="441"/>
      <c r="AF194" s="498"/>
      <c r="AG194" s="498"/>
      <c r="AH194" s="498"/>
      <c r="AI194" s="498"/>
      <c r="AJ194" s="498"/>
      <c r="AK194" s="498"/>
      <c r="AL194" s="498"/>
      <c r="AM194" s="498"/>
      <c r="AN194" s="498"/>
      <c r="AO194" s="498"/>
      <c r="AP194" s="498"/>
      <c r="AQ194" s="498"/>
      <c r="AR194" s="498"/>
      <c r="AS194" s="498"/>
      <c r="AT194" s="498"/>
      <c r="AU194" s="498"/>
      <c r="AV194" s="922"/>
    </row>
    <row r="195" spans="1:48">
      <c r="A195" s="95"/>
      <c r="B195" s="78"/>
      <c r="C195" s="30"/>
      <c r="D195" s="18"/>
      <c r="E195" s="61"/>
      <c r="F195" s="917"/>
      <c r="G195" s="93"/>
      <c r="H195" s="24"/>
      <c r="I195" s="917"/>
      <c r="J195" s="451"/>
      <c r="K195" s="922"/>
      <c r="L195" s="456"/>
      <c r="M195" s="935"/>
      <c r="N195" s="64"/>
      <c r="O195" s="76"/>
      <c r="P195" s="77"/>
      <c r="Q195" s="76"/>
      <c r="R195" s="78"/>
      <c r="S195" s="18"/>
      <c r="T195" s="20"/>
      <c r="U195" s="344">
        <f t="shared" si="8"/>
        <v>18</v>
      </c>
      <c r="V195" s="333" t="s">
        <v>826</v>
      </c>
      <c r="W195" s="333">
        <v>5</v>
      </c>
      <c r="X195" s="333">
        <v>0</v>
      </c>
      <c r="Y195" s="333">
        <v>0</v>
      </c>
      <c r="Z195" s="335">
        <v>5</v>
      </c>
      <c r="AA195" s="64"/>
      <c r="AB195" s="24"/>
      <c r="AC195" s="23"/>
      <c r="AD195" s="444"/>
      <c r="AE195" s="441"/>
      <c r="AF195" s="498"/>
      <c r="AG195" s="498"/>
      <c r="AH195" s="498"/>
      <c r="AI195" s="498"/>
      <c r="AJ195" s="498"/>
      <c r="AK195" s="498"/>
      <c r="AL195" s="498"/>
      <c r="AM195" s="498"/>
      <c r="AN195" s="498"/>
      <c r="AO195" s="498"/>
      <c r="AP195" s="498"/>
      <c r="AQ195" s="498"/>
      <c r="AR195" s="498"/>
      <c r="AS195" s="498"/>
      <c r="AT195" s="498"/>
      <c r="AU195" s="498"/>
      <c r="AV195" s="922"/>
    </row>
    <row r="196" spans="1:48">
      <c r="A196" s="23"/>
      <c r="B196" s="22"/>
      <c r="C196" s="30"/>
      <c r="D196" s="18"/>
      <c r="E196" s="61"/>
      <c r="F196" s="917"/>
      <c r="G196" s="18"/>
      <c r="H196" s="18"/>
      <c r="I196" s="917"/>
      <c r="J196" s="451"/>
      <c r="K196" s="922"/>
      <c r="L196" s="460"/>
      <c r="M196" s="935"/>
      <c r="N196" s="18"/>
      <c r="O196" s="24"/>
      <c r="P196" s="23"/>
      <c r="Q196" s="21"/>
      <c r="R196" s="22"/>
      <c r="S196" s="18"/>
      <c r="T196" s="20"/>
      <c r="U196" s="344">
        <f t="shared" si="8"/>
        <v>19</v>
      </c>
      <c r="V196" s="333" t="s">
        <v>217</v>
      </c>
      <c r="W196" s="333">
        <v>10</v>
      </c>
      <c r="X196" s="333">
        <v>0</v>
      </c>
      <c r="Y196" s="333">
        <v>0</v>
      </c>
      <c r="Z196" s="335">
        <v>10</v>
      </c>
      <c r="AA196" s="18"/>
      <c r="AB196" s="24"/>
      <c r="AC196" s="23"/>
      <c r="AD196" s="444"/>
      <c r="AE196" s="441"/>
      <c r="AF196" s="498"/>
      <c r="AG196" s="498"/>
      <c r="AH196" s="498"/>
      <c r="AI196" s="498"/>
      <c r="AJ196" s="498"/>
      <c r="AK196" s="498"/>
      <c r="AL196" s="498"/>
      <c r="AM196" s="498"/>
      <c r="AN196" s="498"/>
      <c r="AO196" s="498"/>
      <c r="AP196" s="498"/>
      <c r="AQ196" s="498"/>
      <c r="AR196" s="498"/>
      <c r="AS196" s="498"/>
      <c r="AT196" s="498"/>
      <c r="AU196" s="498"/>
      <c r="AV196" s="922"/>
    </row>
    <row r="197" spans="1:48">
      <c r="A197" s="23"/>
      <c r="B197" s="26"/>
      <c r="C197" s="25"/>
      <c r="D197" s="18"/>
      <c r="E197" s="61"/>
      <c r="F197" s="917"/>
      <c r="G197" s="18"/>
      <c r="H197" s="21"/>
      <c r="I197" s="917"/>
      <c r="J197" s="451"/>
      <c r="K197" s="922"/>
      <c r="L197" s="460"/>
      <c r="M197" s="935"/>
      <c r="N197" s="18"/>
      <c r="O197" s="24"/>
      <c r="P197" s="23"/>
      <c r="Q197" s="21"/>
      <c r="R197" s="22"/>
      <c r="S197" s="18"/>
      <c r="T197" s="20"/>
      <c r="U197" s="344">
        <f t="shared" si="8"/>
        <v>20</v>
      </c>
      <c r="V197" s="333" t="s">
        <v>86</v>
      </c>
      <c r="W197" s="333">
        <v>6</v>
      </c>
      <c r="X197" s="333">
        <v>0</v>
      </c>
      <c r="Y197" s="333">
        <v>0</v>
      </c>
      <c r="Z197" s="335">
        <v>6</v>
      </c>
      <c r="AA197" s="18"/>
      <c r="AB197" s="17"/>
      <c r="AC197" s="447"/>
      <c r="AD197" s="444"/>
      <c r="AE197" s="441"/>
      <c r="AF197" s="498"/>
      <c r="AG197" s="498"/>
      <c r="AH197" s="498"/>
      <c r="AI197" s="498"/>
      <c r="AJ197" s="498"/>
      <c r="AK197" s="498"/>
      <c r="AL197" s="498"/>
      <c r="AM197" s="498"/>
      <c r="AN197" s="498"/>
      <c r="AO197" s="498"/>
      <c r="AP197" s="498"/>
      <c r="AQ197" s="498"/>
      <c r="AR197" s="498"/>
      <c r="AS197" s="498"/>
      <c r="AT197" s="498"/>
      <c r="AU197" s="498"/>
      <c r="AV197" s="922"/>
    </row>
    <row r="198" spans="1:48">
      <c r="A198" s="12"/>
      <c r="B198" s="11"/>
      <c r="C198" s="15"/>
      <c r="D198" s="7"/>
      <c r="E198" s="14"/>
      <c r="F198" s="918"/>
      <c r="G198" s="7"/>
      <c r="H198" s="10"/>
      <c r="I198" s="918"/>
      <c r="J198" s="452"/>
      <c r="K198" s="923"/>
      <c r="L198" s="59"/>
      <c r="M198" s="936"/>
      <c r="N198" s="7"/>
      <c r="O198" s="13"/>
      <c r="P198" s="12"/>
      <c r="Q198" s="10"/>
      <c r="R198" s="11"/>
      <c r="S198" s="7"/>
      <c r="T198" s="448"/>
      <c r="U198" s="458"/>
      <c r="V198" s="52"/>
      <c r="W198" s="448"/>
      <c r="X198" s="448"/>
      <c r="Y198" s="448"/>
      <c r="Z198" s="330"/>
      <c r="AA198" s="7"/>
      <c r="AB198" s="6"/>
      <c r="AC198" s="448"/>
      <c r="AD198" s="445"/>
      <c r="AE198" s="442"/>
      <c r="AF198" s="499"/>
      <c r="AG198" s="499"/>
      <c r="AH198" s="499"/>
      <c r="AI198" s="499"/>
      <c r="AJ198" s="499"/>
      <c r="AK198" s="499"/>
      <c r="AL198" s="499"/>
      <c r="AM198" s="499"/>
      <c r="AN198" s="499"/>
      <c r="AO198" s="499"/>
      <c r="AP198" s="499"/>
      <c r="AQ198" s="499"/>
      <c r="AR198" s="499"/>
      <c r="AS198" s="499"/>
      <c r="AT198" s="499"/>
      <c r="AU198" s="499"/>
      <c r="AV198" s="923"/>
    </row>
    <row r="199" spans="1:48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6"/>
      <c r="S199" s="326"/>
      <c r="T199" s="326"/>
      <c r="U199" s="326"/>
      <c r="V199" s="326"/>
      <c r="W199" s="326"/>
      <c r="X199" s="326"/>
      <c r="Y199" s="326"/>
      <c r="Z199" s="326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</row>
    <row r="200" spans="1:48">
      <c r="A200" s="1"/>
      <c r="B200" s="1"/>
      <c r="C200" s="1"/>
      <c r="D200" s="1"/>
      <c r="E200" s="1"/>
      <c r="F200" s="3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 t="s">
        <v>1806</v>
      </c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>
      <c r="A201" s="1"/>
      <c r="B201" s="1"/>
      <c r="C201" s="1"/>
      <c r="D201" s="1"/>
      <c r="E201" s="1"/>
      <c r="F201" s="3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>
      <c r="A202" s="930" t="s">
        <v>562</v>
      </c>
      <c r="B202" s="930"/>
      <c r="C202" s="930"/>
      <c r="D202" s="930"/>
      <c r="E202" s="930"/>
      <c r="F202" s="930"/>
      <c r="G202" s="930"/>
      <c r="H202" s="930"/>
      <c r="I202" s="930"/>
      <c r="J202" s="930"/>
      <c r="K202" s="930"/>
      <c r="L202" s="930"/>
      <c r="M202" s="930"/>
      <c r="N202" s="930"/>
      <c r="O202" s="930"/>
      <c r="P202" s="930"/>
      <c r="Q202" s="930"/>
      <c r="R202" s="930"/>
      <c r="S202" s="930"/>
      <c r="T202" s="930"/>
      <c r="U202" s="930"/>
      <c r="V202" s="930"/>
      <c r="W202" s="930"/>
      <c r="X202" s="930"/>
      <c r="Y202" s="930"/>
      <c r="Z202" s="930"/>
      <c r="AA202" s="930"/>
      <c r="AB202" s="930"/>
      <c r="AC202" s="930"/>
      <c r="AD202" s="930"/>
      <c r="AE202" s="930"/>
      <c r="AF202" s="930"/>
      <c r="AG202" s="930"/>
      <c r="AH202" s="930"/>
      <c r="AI202" s="930"/>
      <c r="AJ202" s="930"/>
      <c r="AK202" s="930"/>
      <c r="AL202" s="930"/>
      <c r="AM202" s="930"/>
      <c r="AN202" s="930"/>
      <c r="AO202" s="930"/>
      <c r="AP202" s="930"/>
      <c r="AQ202" s="930"/>
      <c r="AR202" s="930"/>
      <c r="AS202" s="930"/>
      <c r="AT202" s="930"/>
      <c r="AU202" s="930"/>
      <c r="AV202" s="930"/>
    </row>
    <row r="203" spans="1:48">
      <c r="A203" s="1"/>
      <c r="B203" s="1"/>
      <c r="C203" s="1"/>
      <c r="D203" s="1"/>
      <c r="E203" s="438" t="s">
        <v>1536</v>
      </c>
      <c r="F203" s="3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38"/>
      <c r="Z203" s="1"/>
      <c r="AA203" s="438" t="s">
        <v>1535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>
      <c r="A204" s="1"/>
      <c r="B204" s="1"/>
      <c r="C204" s="1"/>
      <c r="D204" s="1"/>
      <c r="E204" s="438" t="s">
        <v>559</v>
      </c>
      <c r="F204" s="3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38"/>
      <c r="Z204" s="1"/>
      <c r="AA204" s="438" t="s">
        <v>559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>
      <c r="A205" s="1"/>
      <c r="B205" s="1"/>
      <c r="C205" s="1"/>
      <c r="D205" s="1"/>
      <c r="E205" s="438"/>
      <c r="F205" s="3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38"/>
      <c r="Z205" s="1"/>
      <c r="AA205" s="43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>
      <c r="A206" s="1"/>
      <c r="B206" s="1"/>
      <c r="C206" s="1"/>
      <c r="D206" s="1"/>
      <c r="E206" s="487" t="s">
        <v>1805</v>
      </c>
      <c r="F206" s="3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38"/>
      <c r="Z206" s="1"/>
      <c r="AA206" s="43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>
      <c r="A207" s="1"/>
      <c r="B207" s="1"/>
      <c r="C207" s="1"/>
      <c r="D207" s="1"/>
      <c r="E207" s="438"/>
      <c r="F207" s="3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438"/>
      <c r="Z207" s="1"/>
      <c r="AA207" s="487" t="s">
        <v>1805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>
      <c r="A208" s="1"/>
      <c r="B208" s="1"/>
      <c r="C208" s="1"/>
      <c r="D208" s="1"/>
      <c r="E208" s="438"/>
      <c r="F208" s="3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438"/>
      <c r="Z208" s="1"/>
      <c r="AA208" s="43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>
      <c r="A209" s="1"/>
      <c r="B209" s="1"/>
      <c r="C209" s="1"/>
      <c r="D209" s="1"/>
      <c r="E209" s="438"/>
      <c r="F209" s="3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438"/>
      <c r="Z209" s="1"/>
      <c r="AA209" s="43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>
      <c r="A210" s="1"/>
      <c r="B210" s="1"/>
      <c r="C210" s="1"/>
      <c r="D210" s="1"/>
      <c r="E210" s="438"/>
      <c r="F210" s="3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438"/>
      <c r="Z210" s="1"/>
      <c r="AA210" s="43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>
      <c r="A211" s="1"/>
      <c r="B211" s="1"/>
      <c r="C211" s="1"/>
      <c r="D211" s="1"/>
      <c r="E211" s="434" t="s">
        <v>1534</v>
      </c>
      <c r="F211" s="3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434"/>
      <c r="Z211" s="1"/>
      <c r="AA211" s="434" t="s">
        <v>1801</v>
      </c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>
      <c r="A212" s="1"/>
      <c r="B212" s="1"/>
      <c r="C212" s="1"/>
      <c r="D212" s="1"/>
      <c r="E212" s="438" t="s">
        <v>556</v>
      </c>
      <c r="F212" s="3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438"/>
      <c r="Z212" s="1"/>
      <c r="AA212" s="459" t="s">
        <v>1802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</row>
    <row r="214" spans="1:48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</row>
    <row r="215" spans="1:48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</row>
    <row r="216" spans="1:48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</row>
    <row r="217" spans="1:48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</row>
    <row r="218" spans="1:48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</row>
    <row r="219" spans="1:48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</row>
    <row r="220" spans="1:48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</row>
    <row r="221" spans="1:48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</row>
    <row r="222" spans="1:48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</row>
  </sheetData>
  <autoFilter ref="V1:V222"/>
  <mergeCells count="131">
    <mergeCell ref="AF11:AT11"/>
    <mergeCell ref="AU11:AU14"/>
    <mergeCell ref="AF12:AN12"/>
    <mergeCell ref="AO12:AS12"/>
    <mergeCell ref="AF13:AG13"/>
    <mergeCell ref="AH13:AJ13"/>
    <mergeCell ref="AK13:AM13"/>
    <mergeCell ref="AN13:AN14"/>
    <mergeCell ref="AO13:AP13"/>
    <mergeCell ref="AQ13:AR13"/>
    <mergeCell ref="U11:Z11"/>
    <mergeCell ref="AA11:AC11"/>
    <mergeCell ref="AA12:AB13"/>
    <mergeCell ref="A6:AV6"/>
    <mergeCell ref="A7:AV7"/>
    <mergeCell ref="A8:AV8"/>
    <mergeCell ref="A9:AV9"/>
    <mergeCell ref="A11:A13"/>
    <mergeCell ref="B11:E11"/>
    <mergeCell ref="F11:K11"/>
    <mergeCell ref="L11:M11"/>
    <mergeCell ref="N11:Q11"/>
    <mergeCell ref="R11:T11"/>
    <mergeCell ref="AD11:AD13"/>
    <mergeCell ref="AE11:AE13"/>
    <mergeCell ref="AV11:AV13"/>
    <mergeCell ref="B12:C13"/>
    <mergeCell ref="D12:E13"/>
    <mergeCell ref="F12:F13"/>
    <mergeCell ref="G12:H13"/>
    <mergeCell ref="I12:I13"/>
    <mergeCell ref="U12:Y12"/>
    <mergeCell ref="Z12:Z13"/>
    <mergeCell ref="AC12:AC13"/>
    <mergeCell ref="Q12:Q13"/>
    <mergeCell ref="R12:S13"/>
    <mergeCell ref="T12:T13"/>
    <mergeCell ref="N14:O14"/>
    <mergeCell ref="R14:S14"/>
    <mergeCell ref="AA14:AB14"/>
    <mergeCell ref="J12:J13"/>
    <mergeCell ref="K12:K13"/>
    <mergeCell ref="L12:L13"/>
    <mergeCell ref="M12:M13"/>
    <mergeCell ref="N12:O13"/>
    <mergeCell ref="P12:P13"/>
    <mergeCell ref="A15:A19"/>
    <mergeCell ref="F15:F19"/>
    <mergeCell ref="J15:J19"/>
    <mergeCell ref="K15:K19"/>
    <mergeCell ref="L15:L19"/>
    <mergeCell ref="M15:M19"/>
    <mergeCell ref="AD15:AD19"/>
    <mergeCell ref="AE15:AE19"/>
    <mergeCell ref="AV15:AV19"/>
    <mergeCell ref="T17:T19"/>
    <mergeCell ref="F20:F27"/>
    <mergeCell ref="I20:I27"/>
    <mergeCell ref="J20:J27"/>
    <mergeCell ref="K20:K27"/>
    <mergeCell ref="L20:L27"/>
    <mergeCell ref="M20:M27"/>
    <mergeCell ref="AD20:AD27"/>
    <mergeCell ref="AE20:AE27"/>
    <mergeCell ref="AV20:AV27"/>
    <mergeCell ref="F28:F41"/>
    <mergeCell ref="I28:I41"/>
    <mergeCell ref="J28:J41"/>
    <mergeCell ref="K28:K41"/>
    <mergeCell ref="L28:L41"/>
    <mergeCell ref="M28:M41"/>
    <mergeCell ref="AD28:AD41"/>
    <mergeCell ref="AE28:AE41"/>
    <mergeCell ref="AV28:AV41"/>
    <mergeCell ref="F42:F53"/>
    <mergeCell ref="I42:I53"/>
    <mergeCell ref="J42:J53"/>
    <mergeCell ref="K42:K53"/>
    <mergeCell ref="L42:L53"/>
    <mergeCell ref="M42:M53"/>
    <mergeCell ref="AD42:AD53"/>
    <mergeCell ref="AE42:AE53"/>
    <mergeCell ref="AV42:AV53"/>
    <mergeCell ref="F54:F83"/>
    <mergeCell ref="I54:I83"/>
    <mergeCell ref="J54:J83"/>
    <mergeCell ref="K54:K83"/>
    <mergeCell ref="L54:L83"/>
    <mergeCell ref="M54:M83"/>
    <mergeCell ref="AD54:AD83"/>
    <mergeCell ref="AE54:AE83"/>
    <mergeCell ref="AV54:AV83"/>
    <mergeCell ref="F84:F97"/>
    <mergeCell ref="I84:I97"/>
    <mergeCell ref="K84:K97"/>
    <mergeCell ref="M84:M97"/>
    <mergeCell ref="F98:F112"/>
    <mergeCell ref="I98:I112"/>
    <mergeCell ref="K98:K112"/>
    <mergeCell ref="L98:L112"/>
    <mergeCell ref="M98:M112"/>
    <mergeCell ref="AD98:AD112"/>
    <mergeCell ref="AE98:AE112"/>
    <mergeCell ref="AV98:AV112"/>
    <mergeCell ref="AE113:AE125"/>
    <mergeCell ref="AV113:AV125"/>
    <mergeCell ref="F113:F125"/>
    <mergeCell ref="I113:I125"/>
    <mergeCell ref="K113:K125"/>
    <mergeCell ref="L113:L125"/>
    <mergeCell ref="M113:M125"/>
    <mergeCell ref="AD113:AD125"/>
    <mergeCell ref="F126:F148"/>
    <mergeCell ref="I126:I148"/>
    <mergeCell ref="K126:K148"/>
    <mergeCell ref="L126:L148"/>
    <mergeCell ref="M126:M148"/>
    <mergeCell ref="AD126:AD148"/>
    <mergeCell ref="AE126:AE148"/>
    <mergeCell ref="AV126:AV148"/>
    <mergeCell ref="M176:M198"/>
    <mergeCell ref="AV176:AV198"/>
    <mergeCell ref="A202:AV202"/>
    <mergeCell ref="F149:F175"/>
    <mergeCell ref="I149:I175"/>
    <mergeCell ref="K149:K175"/>
    <mergeCell ref="M149:M175"/>
    <mergeCell ref="AV149:AV175"/>
    <mergeCell ref="F176:F198"/>
    <mergeCell ref="I176:I198"/>
    <mergeCell ref="K176:K198"/>
  </mergeCells>
  <printOptions horizontalCentered="1"/>
  <pageMargins left="0.19685039370078741" right="0.19685039370078741" top="0.74803149606299213" bottom="0.19685039370078741" header="0.19685039370078741" footer="0.19685039370078741"/>
  <pageSetup paperSize="8" scale="40" fitToHeight="0" orientation="landscape" horizontalDpi="4294967293" verticalDpi="4294967293" r:id="rId1"/>
  <headerFooter>
    <oddHeader>&amp;RPage &amp;P of &amp;N</oddHeader>
  </headerFooter>
  <rowBreaks count="3" manualBreakCount="3">
    <brk id="53" max="16383" man="1"/>
    <brk id="112" max="16383" man="1"/>
    <brk id="1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L106"/>
  <sheetViews>
    <sheetView view="pageBreakPreview" zoomScaleNormal="85" zoomScaleSheetLayoutView="100" workbookViewId="0">
      <selection activeCell="A6" sqref="A6:A11"/>
    </sheetView>
  </sheetViews>
  <sheetFormatPr defaultRowHeight="13.2"/>
  <cols>
    <col min="1" max="1" width="32.6640625" style="726" customWidth="1"/>
    <col min="2" max="2" width="20.33203125" style="726" customWidth="1"/>
    <col min="3" max="3" width="19.5546875" style="726" customWidth="1"/>
    <col min="4" max="4" width="19.88671875" style="726" customWidth="1"/>
    <col min="5" max="5" width="19.33203125" style="726" customWidth="1"/>
    <col min="6" max="6" width="20.6640625" style="726" customWidth="1"/>
    <col min="7" max="7" width="14.33203125" style="726" customWidth="1"/>
    <col min="8" max="8" width="17.44140625" style="726" customWidth="1"/>
    <col min="9" max="9" width="19" style="726" customWidth="1"/>
    <col min="10" max="11" width="18" style="726" customWidth="1"/>
    <col min="12" max="12" width="19.109375" style="726" customWidth="1"/>
    <col min="13" max="13" width="12" style="726" bestFit="1" customWidth="1"/>
    <col min="14" max="16384" width="8.88671875" style="726"/>
  </cols>
  <sheetData>
    <row r="1" spans="1:12">
      <c r="A1" s="724"/>
      <c r="B1" s="725"/>
      <c r="C1" s="725"/>
      <c r="D1" s="725"/>
      <c r="E1" s="725"/>
      <c r="F1" s="725"/>
      <c r="G1" s="725"/>
    </row>
    <row r="2" spans="1:12">
      <c r="A2" s="725"/>
      <c r="B2" s="725"/>
      <c r="C2" s="725"/>
      <c r="D2" s="725"/>
      <c r="E2" s="725"/>
      <c r="F2" s="725"/>
      <c r="G2" s="725"/>
    </row>
    <row r="3" spans="1:12">
      <c r="A3" s="725"/>
      <c r="B3" s="725"/>
      <c r="C3" s="725"/>
      <c r="D3" s="725"/>
      <c r="E3" s="725"/>
      <c r="F3" s="725"/>
    </row>
    <row r="4" spans="1:12">
      <c r="A4" s="725"/>
      <c r="B4" s="725"/>
      <c r="C4" s="725"/>
      <c r="D4" s="725"/>
      <c r="E4" s="725"/>
      <c r="F4" s="725"/>
      <c r="G4" s="725"/>
    </row>
    <row r="5" spans="1:12" ht="13.8" thickBot="1"/>
    <row r="6" spans="1:12" ht="13.8" thickTop="1">
      <c r="A6" s="888" t="s">
        <v>1940</v>
      </c>
      <c r="B6" s="889"/>
      <c r="C6" s="889"/>
      <c r="D6" s="889"/>
      <c r="E6" s="892"/>
      <c r="F6" s="887"/>
      <c r="G6" s="887"/>
      <c r="H6" s="727" t="s">
        <v>1835</v>
      </c>
      <c r="I6" s="727"/>
    </row>
    <row r="7" spans="1:12" ht="13.8" thickBot="1">
      <c r="A7" s="888"/>
      <c r="B7" s="890"/>
      <c r="C7" s="890"/>
      <c r="D7" s="890"/>
      <c r="E7" s="893"/>
      <c r="F7" s="887"/>
      <c r="G7" s="887"/>
      <c r="I7" s="728"/>
    </row>
    <row r="8" spans="1:12">
      <c r="A8" s="888"/>
      <c r="B8" s="890"/>
      <c r="C8" s="890"/>
      <c r="D8" s="890"/>
      <c r="E8" s="893"/>
      <c r="F8" s="887"/>
      <c r="G8" s="887"/>
      <c r="H8" s="897"/>
      <c r="I8" s="900"/>
      <c r="J8" s="729"/>
      <c r="K8" s="897"/>
      <c r="L8" s="897"/>
    </row>
    <row r="9" spans="1:12">
      <c r="A9" s="888"/>
      <c r="B9" s="890"/>
      <c r="C9" s="890"/>
      <c r="D9" s="890"/>
      <c r="E9" s="893"/>
      <c r="F9" s="887"/>
      <c r="G9" s="887"/>
      <c r="H9" s="898"/>
      <c r="I9" s="901"/>
      <c r="J9" s="730"/>
      <c r="K9" s="898"/>
      <c r="L9" s="898"/>
    </row>
    <row r="10" spans="1:12">
      <c r="A10" s="888"/>
      <c r="B10" s="890"/>
      <c r="C10" s="890"/>
      <c r="D10" s="890"/>
      <c r="E10" s="893"/>
      <c r="F10" s="887"/>
      <c r="G10" s="887"/>
      <c r="H10" s="898"/>
      <c r="I10" s="901"/>
      <c r="J10" s="730"/>
      <c r="K10" s="898"/>
      <c r="L10" s="898"/>
    </row>
    <row r="11" spans="1:12" ht="13.8" thickBot="1">
      <c r="A11" s="888"/>
      <c r="B11" s="891"/>
      <c r="C11" s="891"/>
      <c r="D11" s="891"/>
      <c r="E11" s="894"/>
      <c r="F11" s="887"/>
      <c r="G11" s="887"/>
      <c r="H11" s="898"/>
      <c r="I11" s="901"/>
      <c r="J11" s="730"/>
      <c r="K11" s="898"/>
      <c r="L11" s="898"/>
    </row>
    <row r="12" spans="1:12" ht="31.8" customHeight="1" thickTop="1" thickBot="1">
      <c r="H12" s="899"/>
      <c r="I12" s="902"/>
      <c r="J12" s="731"/>
      <c r="K12" s="899"/>
      <c r="L12" s="899"/>
    </row>
    <row r="13" spans="1:12">
      <c r="A13" s="895" t="s">
        <v>1836</v>
      </c>
      <c r="B13" s="895" t="s">
        <v>1837</v>
      </c>
      <c r="C13" s="895" t="s">
        <v>1838</v>
      </c>
      <c r="D13" s="895" t="s">
        <v>1839</v>
      </c>
      <c r="E13" s="895" t="s">
        <v>1840</v>
      </c>
      <c r="F13" s="903" t="s">
        <v>1841</v>
      </c>
      <c r="G13" s="732"/>
      <c r="H13" s="896" t="s">
        <v>1838</v>
      </c>
      <c r="I13" s="896" t="s">
        <v>1839</v>
      </c>
      <c r="J13" s="896" t="s">
        <v>1840</v>
      </c>
      <c r="K13" s="896" t="s">
        <v>1838</v>
      </c>
      <c r="L13" s="896" t="s">
        <v>1838</v>
      </c>
    </row>
    <row r="14" spans="1:12">
      <c r="A14" s="895"/>
      <c r="B14" s="895"/>
      <c r="C14" s="895"/>
      <c r="D14" s="895"/>
      <c r="E14" s="895"/>
      <c r="F14" s="903"/>
      <c r="G14" s="733"/>
      <c r="H14" s="895"/>
      <c r="I14" s="895"/>
      <c r="J14" s="895"/>
      <c r="K14" s="895"/>
      <c r="L14" s="895"/>
    </row>
    <row r="15" spans="1:12">
      <c r="A15" s="734" t="s">
        <v>1842</v>
      </c>
      <c r="B15" s="735"/>
      <c r="C15" s="735"/>
      <c r="D15" s="735"/>
      <c r="E15" s="735"/>
      <c r="F15" s="736"/>
      <c r="H15" s="737"/>
      <c r="I15" s="737"/>
      <c r="J15" s="737"/>
      <c r="K15" s="737"/>
      <c r="L15" s="737"/>
    </row>
    <row r="16" spans="1:12">
      <c r="A16" s="738" t="s">
        <v>1843</v>
      </c>
      <c r="B16" s="739"/>
      <c r="C16" s="866" t="s">
        <v>1844</v>
      </c>
      <c r="D16" s="742" t="s">
        <v>1845</v>
      </c>
      <c r="E16" s="742" t="s">
        <v>1845</v>
      </c>
      <c r="F16" s="737"/>
      <c r="H16" s="743" t="s">
        <v>1844</v>
      </c>
      <c r="I16" s="737" t="s">
        <v>1844</v>
      </c>
      <c r="J16" s="737" t="s">
        <v>1844</v>
      </c>
      <c r="K16" s="744" t="s">
        <v>1845</v>
      </c>
      <c r="L16" s="737" t="s">
        <v>1844</v>
      </c>
    </row>
    <row r="17" spans="1:12">
      <c r="A17" s="734"/>
      <c r="B17" s="739"/>
      <c r="C17" s="867"/>
      <c r="D17" s="739"/>
      <c r="E17" s="739"/>
      <c r="F17" s="739"/>
      <c r="H17" s="739"/>
      <c r="I17" s="739"/>
      <c r="J17" s="739"/>
      <c r="K17" s="739"/>
      <c r="L17" s="739"/>
    </row>
    <row r="18" spans="1:12">
      <c r="A18" s="738" t="s">
        <v>1846</v>
      </c>
      <c r="B18" s="737" t="s">
        <v>1847</v>
      </c>
      <c r="C18" s="868" t="s">
        <v>1848</v>
      </c>
      <c r="D18" s="749" t="s">
        <v>1941</v>
      </c>
      <c r="E18" s="749" t="s">
        <v>1941</v>
      </c>
      <c r="F18" s="737"/>
      <c r="G18" s="750"/>
      <c r="H18" s="737" t="s">
        <v>1851</v>
      </c>
      <c r="I18" s="737" t="s">
        <v>1847</v>
      </c>
      <c r="J18" s="737" t="s">
        <v>1851</v>
      </c>
      <c r="K18" s="737" t="s">
        <v>1851</v>
      </c>
      <c r="L18" s="737" t="s">
        <v>1851</v>
      </c>
    </row>
    <row r="19" spans="1:12">
      <c r="A19" s="734"/>
      <c r="B19" s="739"/>
      <c r="C19" s="867"/>
      <c r="D19" s="739"/>
      <c r="E19" s="739"/>
      <c r="F19" s="739"/>
      <c r="H19" s="739"/>
      <c r="I19" s="739"/>
      <c r="J19" s="739"/>
      <c r="K19" s="739"/>
      <c r="L19" s="739"/>
    </row>
    <row r="20" spans="1:12" ht="14.4">
      <c r="A20" s="735" t="s">
        <v>1852</v>
      </c>
      <c r="B20" s="751">
        <v>0</v>
      </c>
      <c r="C20" s="752">
        <v>1428</v>
      </c>
      <c r="D20" s="869">
        <v>17500</v>
      </c>
      <c r="E20" s="754">
        <f>58*14</f>
        <v>812</v>
      </c>
      <c r="F20" s="751"/>
      <c r="G20" s="755">
        <f>+C20-B20</f>
        <v>1428</v>
      </c>
      <c r="H20" s="751">
        <v>120</v>
      </c>
      <c r="I20" s="756">
        <v>200</v>
      </c>
      <c r="J20" s="751">
        <v>86</v>
      </c>
      <c r="K20" s="756">
        <v>96</v>
      </c>
      <c r="L20" s="751">
        <v>395</v>
      </c>
    </row>
    <row r="21" spans="1:12" ht="14.4">
      <c r="A21" s="735"/>
      <c r="B21" s="751"/>
      <c r="C21" s="753"/>
      <c r="D21" s="870"/>
      <c r="E21" s="757"/>
      <c r="F21" s="751"/>
      <c r="G21" s="733">
        <f>+G20*D82</f>
        <v>339864000</v>
      </c>
      <c r="H21" s="751"/>
      <c r="I21" s="751"/>
      <c r="J21" s="751"/>
      <c r="K21" s="751"/>
      <c r="L21" s="751"/>
    </row>
    <row r="22" spans="1:12">
      <c r="A22" s="735" t="s">
        <v>1853</v>
      </c>
      <c r="B22" s="739" t="s">
        <v>1854</v>
      </c>
      <c r="C22" s="867" t="s">
        <v>1854</v>
      </c>
      <c r="D22" s="739" t="s">
        <v>1854</v>
      </c>
      <c r="E22" s="739" t="s">
        <v>1854</v>
      </c>
      <c r="F22" s="739"/>
      <c r="G22" s="750"/>
      <c r="H22" s="739" t="s">
        <v>1854</v>
      </c>
      <c r="I22" s="739" t="s">
        <v>1854</v>
      </c>
      <c r="J22" s="739" t="s">
        <v>1854</v>
      </c>
      <c r="K22" s="739" t="s">
        <v>1854</v>
      </c>
      <c r="L22" s="739" t="s">
        <v>1854</v>
      </c>
    </row>
    <row r="23" spans="1:12">
      <c r="A23" s="735"/>
      <c r="B23" s="739"/>
      <c r="C23" s="867"/>
      <c r="D23" s="739"/>
      <c r="E23" s="739"/>
      <c r="F23" s="739"/>
      <c r="G23" s="758"/>
      <c r="H23" s="739"/>
      <c r="I23" s="739"/>
      <c r="J23" s="739"/>
      <c r="K23" s="739"/>
      <c r="L23" s="739"/>
    </row>
    <row r="24" spans="1:12">
      <c r="A24" s="735" t="s">
        <v>1855</v>
      </c>
      <c r="B24" s="737" t="s">
        <v>1856</v>
      </c>
      <c r="C24" s="868" t="s">
        <v>1856</v>
      </c>
      <c r="D24" s="737" t="str">
        <f>D18</f>
        <v>Tanah Karang</v>
      </c>
      <c r="E24" s="737" t="s">
        <v>1942</v>
      </c>
      <c r="F24" s="737"/>
      <c r="G24" s="750"/>
      <c r="H24" s="737" t="s">
        <v>1856</v>
      </c>
      <c r="I24" s="737" t="s">
        <v>1856</v>
      </c>
      <c r="J24" s="737" t="s">
        <v>1856</v>
      </c>
      <c r="K24" s="737" t="s">
        <v>1856</v>
      </c>
      <c r="L24" s="737" t="s">
        <v>1856</v>
      </c>
    </row>
    <row r="25" spans="1:12">
      <c r="A25" s="735"/>
      <c r="B25" s="739"/>
      <c r="C25" s="867"/>
      <c r="D25" s="739"/>
      <c r="E25" s="739"/>
      <c r="F25" s="739"/>
      <c r="H25" s="739"/>
      <c r="I25" s="739"/>
      <c r="J25" s="739"/>
      <c r="K25" s="739"/>
      <c r="L25" s="739"/>
    </row>
    <row r="26" spans="1:12">
      <c r="A26" s="735" t="s">
        <v>531</v>
      </c>
      <c r="B26" s="737" t="s">
        <v>1857</v>
      </c>
      <c r="C26" s="868" t="s">
        <v>649</v>
      </c>
      <c r="D26" s="749" t="s">
        <v>1026</v>
      </c>
      <c r="E26" s="749" t="s">
        <v>1857</v>
      </c>
      <c r="F26" s="737"/>
      <c r="G26" s="750"/>
      <c r="H26" s="737" t="s">
        <v>1026</v>
      </c>
      <c r="I26" s="737" t="s">
        <v>1026</v>
      </c>
      <c r="J26" s="737" t="s">
        <v>1026</v>
      </c>
      <c r="K26" s="737" t="s">
        <v>1026</v>
      </c>
      <c r="L26" s="737" t="s">
        <v>1026</v>
      </c>
    </row>
    <row r="27" spans="1:12">
      <c r="A27" s="735"/>
      <c r="B27" s="739"/>
      <c r="C27" s="867"/>
      <c r="D27" s="739"/>
      <c r="E27" s="739"/>
      <c r="F27" s="739"/>
      <c r="G27" s="759"/>
      <c r="H27" s="739"/>
      <c r="I27" s="739"/>
      <c r="J27" s="739"/>
      <c r="K27" s="739"/>
      <c r="L27" s="739"/>
    </row>
    <row r="28" spans="1:12" ht="14.4">
      <c r="A28" s="735" t="s">
        <v>1858</v>
      </c>
      <c r="B28" s="760">
        <v>0</v>
      </c>
      <c r="C28" s="753">
        <v>0</v>
      </c>
      <c r="D28" s="871">
        <v>0</v>
      </c>
      <c r="E28" s="757">
        <v>0</v>
      </c>
      <c r="F28" s="751"/>
      <c r="G28" s="755">
        <f>+C28-B28</f>
        <v>0</v>
      </c>
      <c r="H28" s="751">
        <v>110</v>
      </c>
      <c r="I28" s="751">
        <v>0</v>
      </c>
      <c r="J28" s="751">
        <v>96</v>
      </c>
      <c r="K28" s="751">
        <v>80</v>
      </c>
      <c r="L28" s="751">
        <v>60</v>
      </c>
    </row>
    <row r="29" spans="1:12" ht="14.4">
      <c r="A29" s="735"/>
      <c r="B29" s="739"/>
      <c r="C29" s="753"/>
      <c r="D29" s="870"/>
      <c r="E29" s="757"/>
      <c r="F29" s="751"/>
      <c r="G29" s="733">
        <f>+G28*C36*0.95</f>
        <v>0</v>
      </c>
      <c r="H29" s="751"/>
      <c r="I29" s="751"/>
      <c r="J29" s="751"/>
      <c r="K29" s="751"/>
      <c r="L29" s="751"/>
    </row>
    <row r="30" spans="1:12" ht="13.8">
      <c r="A30" s="735" t="s">
        <v>1859</v>
      </c>
      <c r="B30" s="739"/>
      <c r="C30" s="867"/>
      <c r="D30" s="739"/>
      <c r="E30" s="739"/>
      <c r="F30" s="739"/>
      <c r="G30" s="761"/>
      <c r="H30" s="739"/>
      <c r="I30" s="739"/>
      <c r="J30" s="739"/>
      <c r="K30" s="739"/>
      <c r="L30" s="739"/>
    </row>
    <row r="31" spans="1:12">
      <c r="A31" s="735"/>
      <c r="B31" s="739"/>
      <c r="C31" s="867"/>
      <c r="D31" s="739"/>
      <c r="E31" s="739"/>
      <c r="F31" s="739"/>
      <c r="G31" s="762"/>
      <c r="H31" s="739"/>
      <c r="I31" s="739"/>
      <c r="J31" s="739"/>
      <c r="K31" s="739"/>
      <c r="L31" s="739"/>
    </row>
    <row r="32" spans="1:12" ht="14.4">
      <c r="A32" s="735" t="s">
        <v>1845</v>
      </c>
      <c r="B32" s="739"/>
      <c r="C32" s="753">
        <f>C20/14*5500000</f>
        <v>561000000</v>
      </c>
      <c r="D32" s="872">
        <f>300000*D20</f>
        <v>5250000000</v>
      </c>
      <c r="E32" s="757">
        <f>3000000*E20/14</f>
        <v>174000000</v>
      </c>
      <c r="F32" s="751"/>
      <c r="G32" s="763"/>
      <c r="H32" s="751">
        <v>900000000</v>
      </c>
      <c r="I32" s="751">
        <f>4400000*I20</f>
        <v>880000000</v>
      </c>
      <c r="J32" s="751">
        <v>530000000</v>
      </c>
      <c r="K32" s="751">
        <v>900000000</v>
      </c>
      <c r="L32" s="751">
        <v>1700000000</v>
      </c>
    </row>
    <row r="33" spans="1:12" ht="14.4">
      <c r="A33" s="735"/>
      <c r="B33" s="739"/>
      <c r="C33" s="753"/>
      <c r="D33" s="870"/>
      <c r="E33" s="757"/>
      <c r="F33" s="751"/>
      <c r="G33" s="750"/>
      <c r="H33" s="751"/>
      <c r="I33" s="751"/>
      <c r="J33" s="751"/>
      <c r="K33" s="751"/>
      <c r="L33" s="751"/>
    </row>
    <row r="34" spans="1:12" s="770" customFormat="1">
      <c r="A34" s="764" t="s">
        <v>1860</v>
      </c>
      <c r="B34" s="765"/>
      <c r="C34" s="873">
        <v>0.15</v>
      </c>
      <c r="D34" s="768">
        <v>0.1</v>
      </c>
      <c r="E34" s="768">
        <v>0.05</v>
      </c>
      <c r="F34" s="768"/>
      <c r="G34" s="769"/>
      <c r="H34" s="768">
        <v>0.05</v>
      </c>
      <c r="I34" s="768">
        <v>0.2</v>
      </c>
      <c r="J34" s="768">
        <v>0.05</v>
      </c>
      <c r="K34" s="768">
        <v>0.15</v>
      </c>
      <c r="L34" s="768">
        <v>0.1</v>
      </c>
    </row>
    <row r="35" spans="1:12">
      <c r="A35" s="735" t="s">
        <v>1861</v>
      </c>
      <c r="B35" s="771"/>
      <c r="C35" s="874">
        <f>(100%-C34)*C32</f>
        <v>476850000</v>
      </c>
      <c r="D35" s="875">
        <f>(100%-D34)*D32</f>
        <v>4725000000</v>
      </c>
      <c r="E35" s="771">
        <f t="shared" ref="E35" si="0">(100%-E34)*E32</f>
        <v>165300000</v>
      </c>
      <c r="F35" s="771"/>
      <c r="G35" s="755">
        <f>+C35-G21-G29</f>
        <v>136986000</v>
      </c>
      <c r="H35" s="771">
        <f>(100%-H34)*H32</f>
        <v>855000000</v>
      </c>
      <c r="I35" s="771">
        <f>(100%-I34)*I32</f>
        <v>704000000</v>
      </c>
      <c r="J35" s="771">
        <f>(100%-J34)*J32</f>
        <v>503500000</v>
      </c>
      <c r="K35" s="771">
        <f>(100%-K34)*K32</f>
        <v>765000000</v>
      </c>
      <c r="L35" s="771">
        <f>(100%-L34)*L32</f>
        <v>1530000000</v>
      </c>
    </row>
    <row r="36" spans="1:12" s="770" customFormat="1">
      <c r="A36" s="764" t="s">
        <v>1862</v>
      </c>
      <c r="B36" s="765"/>
      <c r="C36" s="876">
        <v>0</v>
      </c>
      <c r="D36" s="877">
        <v>0</v>
      </c>
      <c r="E36" s="776">
        <v>0</v>
      </c>
      <c r="F36" s="776"/>
      <c r="G36" s="777">
        <f>+B28*400000*0.85</f>
        <v>0</v>
      </c>
      <c r="H36" s="776">
        <v>4000000</v>
      </c>
      <c r="I36" s="776">
        <v>0</v>
      </c>
      <c r="J36" s="776">
        <v>3500000</v>
      </c>
      <c r="K36" s="776">
        <v>2500000</v>
      </c>
      <c r="L36" s="776">
        <v>2500000</v>
      </c>
    </row>
    <row r="37" spans="1:12" ht="14.4">
      <c r="A37" s="735" t="s">
        <v>1863</v>
      </c>
      <c r="B37" s="739"/>
      <c r="C37" s="753">
        <f>C36*C28</f>
        <v>0</v>
      </c>
      <c r="D37" s="878">
        <f>D36*D28</f>
        <v>0</v>
      </c>
      <c r="E37" s="757">
        <f t="shared" ref="E37" si="1">E36*E28</f>
        <v>0</v>
      </c>
      <c r="F37" s="751"/>
      <c r="G37" s="755">
        <f>+G35-G36</f>
        <v>136986000</v>
      </c>
      <c r="H37" s="751">
        <f>H36*H28</f>
        <v>440000000</v>
      </c>
      <c r="I37" s="751">
        <f>I36*I28</f>
        <v>0</v>
      </c>
      <c r="J37" s="751">
        <f>J36*J28</f>
        <v>336000000</v>
      </c>
      <c r="K37" s="751">
        <f>K36*K28</f>
        <v>200000000</v>
      </c>
      <c r="L37" s="751">
        <f>L36*L28</f>
        <v>150000000</v>
      </c>
    </row>
    <row r="38" spans="1:12" s="770" customFormat="1" ht="14.4">
      <c r="A38" s="764" t="s">
        <v>1864</v>
      </c>
      <c r="B38" s="765"/>
      <c r="C38" s="779">
        <v>0</v>
      </c>
      <c r="D38" s="879">
        <v>0</v>
      </c>
      <c r="E38" s="780">
        <v>0</v>
      </c>
      <c r="F38" s="781"/>
      <c r="G38" s="782"/>
      <c r="H38" s="781">
        <v>0.05</v>
      </c>
      <c r="I38" s="781">
        <v>0</v>
      </c>
      <c r="J38" s="781">
        <v>0.1</v>
      </c>
      <c r="K38" s="781">
        <v>0.1</v>
      </c>
      <c r="L38" s="781">
        <v>0</v>
      </c>
    </row>
    <row r="39" spans="1:12" ht="14.4">
      <c r="A39" s="735" t="s">
        <v>1865</v>
      </c>
      <c r="B39" s="739"/>
      <c r="C39" s="753">
        <f>(100%-C38)*C37</f>
        <v>0</v>
      </c>
      <c r="D39" s="872">
        <f>(100%-D38)*D37</f>
        <v>0</v>
      </c>
      <c r="E39" s="757">
        <f t="shared" ref="E39" si="2">(100%-E38)*E37</f>
        <v>0</v>
      </c>
      <c r="F39" s="751"/>
      <c r="G39" s="755"/>
      <c r="H39" s="751">
        <f>(100%-H38)*H37</f>
        <v>418000000</v>
      </c>
      <c r="I39" s="751">
        <f>(100%-I38)*I37</f>
        <v>0</v>
      </c>
      <c r="J39" s="751">
        <f>(100%-J38)*J37</f>
        <v>302400000</v>
      </c>
      <c r="K39" s="751">
        <f>(100%-K38)*K37</f>
        <v>180000000</v>
      </c>
      <c r="L39" s="751">
        <f>(100%-L38)*L37</f>
        <v>150000000</v>
      </c>
    </row>
    <row r="40" spans="1:12">
      <c r="A40" s="735" t="s">
        <v>1859</v>
      </c>
      <c r="B40" s="739"/>
      <c r="C40" s="874">
        <v>0</v>
      </c>
      <c r="D40" s="771"/>
      <c r="E40" s="771">
        <v>0</v>
      </c>
      <c r="F40" s="771"/>
      <c r="G40" s="750"/>
      <c r="H40" s="771">
        <v>0</v>
      </c>
      <c r="I40" s="771">
        <v>0</v>
      </c>
      <c r="J40" s="771">
        <v>0</v>
      </c>
      <c r="K40" s="771">
        <v>0</v>
      </c>
      <c r="L40" s="771">
        <v>0</v>
      </c>
    </row>
    <row r="41" spans="1:12" s="770" customFormat="1" ht="13.5" customHeight="1">
      <c r="A41" s="764" t="s">
        <v>1866</v>
      </c>
      <c r="B41" s="765"/>
      <c r="C41" s="783">
        <f>ROUND((C35-C39-C40)/C20,-3)</f>
        <v>334000</v>
      </c>
      <c r="D41" s="880">
        <f>ROUND((D35-D39-D40)/D20,-3)</f>
        <v>270000</v>
      </c>
      <c r="E41" s="784">
        <f t="shared" ref="E41" si="3">ROUND((E35-E39-E40)/E20,-3)</f>
        <v>204000</v>
      </c>
      <c r="F41" s="785"/>
      <c r="G41" s="786"/>
      <c r="H41" s="785">
        <f>ROUND((H35-H39-H40)/H20,-3)</f>
        <v>3642000</v>
      </c>
      <c r="I41" s="785">
        <f>ROUND((I35-I39-I40)/I20,-3)</f>
        <v>3520000</v>
      </c>
      <c r="J41" s="785">
        <f>ROUND((J35-J39-J40)/J20,-3)</f>
        <v>2338000</v>
      </c>
      <c r="K41" s="785">
        <f>ROUND((K35-K39-K40)/K20,-3)</f>
        <v>6094000</v>
      </c>
      <c r="L41" s="785">
        <f>ROUND((L35-L39-L40)/L20,-3)</f>
        <v>3494000</v>
      </c>
    </row>
    <row r="42" spans="1:12" ht="14.4">
      <c r="A42" s="735"/>
      <c r="B42" s="739"/>
      <c r="C42" s="753">
        <f t="shared" ref="C42" si="4">C41*14</f>
        <v>4676000</v>
      </c>
      <c r="D42" s="881"/>
      <c r="E42" s="757"/>
      <c r="F42" s="751"/>
      <c r="G42" s="750"/>
      <c r="H42" s="751"/>
      <c r="I42" s="751"/>
      <c r="J42" s="751"/>
      <c r="K42" s="751"/>
      <c r="L42" s="751"/>
    </row>
    <row r="43" spans="1:12" ht="18" customHeight="1">
      <c r="A43" s="787" t="s">
        <v>1867</v>
      </c>
      <c r="B43" s="739"/>
      <c r="C43" s="788" t="s">
        <v>1868</v>
      </c>
      <c r="D43" s="790" t="s">
        <v>1943</v>
      </c>
      <c r="E43" s="790" t="s">
        <v>1944</v>
      </c>
      <c r="F43" s="791"/>
      <c r="G43" s="792"/>
      <c r="H43" s="793" t="s">
        <v>1871</v>
      </c>
      <c r="I43" s="794" t="s">
        <v>1872</v>
      </c>
      <c r="J43" s="794" t="s">
        <v>1873</v>
      </c>
      <c r="K43" s="793" t="s">
        <v>1874</v>
      </c>
      <c r="L43" s="793" t="s">
        <v>1875</v>
      </c>
    </row>
    <row r="44" spans="1:12" s="802" customFormat="1" ht="27.6" customHeight="1">
      <c r="A44" s="795" t="s">
        <v>504</v>
      </c>
      <c r="B44" s="796"/>
      <c r="C44" s="797" t="s">
        <v>1876</v>
      </c>
      <c r="D44" s="798" t="s">
        <v>1945</v>
      </c>
      <c r="E44" s="798" t="s">
        <v>1946</v>
      </c>
      <c r="F44" s="793"/>
      <c r="G44" s="799"/>
      <c r="H44" s="800" t="s">
        <v>1878</v>
      </c>
      <c r="I44" s="800" t="s">
        <v>1879</v>
      </c>
      <c r="J44" s="800" t="s">
        <v>1880</v>
      </c>
      <c r="K44" s="801" t="s">
        <v>1881</v>
      </c>
      <c r="L44" s="801" t="s">
        <v>1882</v>
      </c>
    </row>
    <row r="45" spans="1:12" ht="13.8">
      <c r="A45" s="787" t="s">
        <v>1883</v>
      </c>
      <c r="B45" s="739"/>
      <c r="C45" s="789" t="s">
        <v>1884</v>
      </c>
      <c r="D45" s="803" t="s">
        <v>1886</v>
      </c>
      <c r="E45" s="803" t="s">
        <v>1886</v>
      </c>
      <c r="F45" s="804"/>
      <c r="G45" s="805"/>
      <c r="H45" s="791" t="s">
        <v>1887</v>
      </c>
      <c r="I45" s="794" t="s">
        <v>1888</v>
      </c>
      <c r="J45" s="794" t="s">
        <v>1889</v>
      </c>
      <c r="K45" s="791" t="s">
        <v>1890</v>
      </c>
      <c r="L45" s="791" t="s">
        <v>1891</v>
      </c>
    </row>
    <row r="46" spans="1:12" ht="13.8">
      <c r="A46" s="787" t="s">
        <v>1892</v>
      </c>
      <c r="B46" s="739"/>
      <c r="C46" s="806" t="s">
        <v>1893</v>
      </c>
      <c r="D46" s="807" t="s">
        <v>1947</v>
      </c>
      <c r="E46" s="807" t="s">
        <v>1947</v>
      </c>
      <c r="F46" s="804"/>
      <c r="G46" s="808"/>
      <c r="H46" s="804" t="s">
        <v>1895</v>
      </c>
      <c r="I46" s="791" t="s">
        <v>1896</v>
      </c>
      <c r="J46" s="791" t="s">
        <v>1897</v>
      </c>
      <c r="K46" s="791" t="s">
        <v>1898</v>
      </c>
      <c r="L46" s="804" t="s">
        <v>1893</v>
      </c>
    </row>
    <row r="47" spans="1:12" ht="14.4">
      <c r="A47" s="787" t="s">
        <v>1899</v>
      </c>
      <c r="B47" s="791" t="s">
        <v>1900</v>
      </c>
      <c r="C47" s="789" t="s">
        <v>1901</v>
      </c>
      <c r="D47" s="809">
        <v>0</v>
      </c>
      <c r="E47" s="809">
        <v>0</v>
      </c>
      <c r="F47" s="791"/>
      <c r="G47" s="805"/>
      <c r="H47" s="791" t="s">
        <v>1902</v>
      </c>
      <c r="I47" s="791" t="s">
        <v>1903</v>
      </c>
      <c r="J47" s="791" t="s">
        <v>1902</v>
      </c>
      <c r="K47" s="791" t="s">
        <v>1904</v>
      </c>
      <c r="L47" s="791" t="s">
        <v>1905</v>
      </c>
    </row>
    <row r="48" spans="1:12" ht="26.4">
      <c r="A48" s="787" t="s">
        <v>1836</v>
      </c>
      <c r="B48" s="791"/>
      <c r="C48" s="810"/>
      <c r="D48" s="811"/>
      <c r="E48" s="812" t="s">
        <v>1948</v>
      </c>
      <c r="F48" s="791"/>
      <c r="G48" s="808"/>
      <c r="H48" s="808"/>
      <c r="J48" s="791"/>
    </row>
    <row r="49" spans="1:8" s="808" customFormat="1" ht="16.5" customHeight="1">
      <c r="C49" s="813"/>
      <c r="D49" s="813"/>
      <c r="E49" s="813"/>
      <c r="F49" s="813"/>
      <c r="G49" s="814"/>
      <c r="H49" s="726"/>
    </row>
    <row r="50" spans="1:8">
      <c r="A50" s="815" t="s">
        <v>1907</v>
      </c>
      <c r="B50" s="808"/>
      <c r="C50" s="816" t="e">
        <f>C20/B20</f>
        <v>#DIV/0!</v>
      </c>
      <c r="D50" s="816" t="e">
        <f>D20/B20</f>
        <v>#DIV/0!</v>
      </c>
      <c r="E50" s="816" t="e">
        <f>E20/B20</f>
        <v>#DIV/0!</v>
      </c>
      <c r="F50" s="816"/>
      <c r="G50" s="808"/>
      <c r="H50" s="770"/>
    </row>
    <row r="51" spans="1:8" s="770" customFormat="1">
      <c r="A51" s="817" t="s">
        <v>1908</v>
      </c>
      <c r="B51" s="817">
        <v>2</v>
      </c>
      <c r="C51" s="817">
        <v>1</v>
      </c>
      <c r="D51" s="817">
        <v>2</v>
      </c>
      <c r="E51" s="817">
        <v>2</v>
      </c>
      <c r="F51" s="817"/>
      <c r="G51" s="818"/>
      <c r="H51" s="819"/>
    </row>
    <row r="52" spans="1:8" s="819" customFormat="1">
      <c r="A52" s="817" t="s">
        <v>1909</v>
      </c>
      <c r="B52" s="820"/>
      <c r="C52" s="820">
        <v>-0.25</v>
      </c>
      <c r="D52" s="820">
        <v>0</v>
      </c>
      <c r="E52" s="820">
        <v>0</v>
      </c>
      <c r="F52" s="820"/>
      <c r="G52" s="821"/>
      <c r="H52" s="770"/>
    </row>
    <row r="53" spans="1:8" s="770" customFormat="1">
      <c r="A53" s="764" t="s">
        <v>1910</v>
      </c>
      <c r="B53" s="764">
        <v>1</v>
      </c>
      <c r="C53" s="764">
        <v>1</v>
      </c>
      <c r="D53" s="764">
        <v>1</v>
      </c>
      <c r="E53" s="764">
        <v>1</v>
      </c>
      <c r="F53" s="764"/>
      <c r="G53" s="818"/>
      <c r="H53" s="819"/>
    </row>
    <row r="54" spans="1:8" s="819" customFormat="1">
      <c r="A54" s="817" t="s">
        <v>1909</v>
      </c>
      <c r="B54" s="820"/>
      <c r="C54" s="824">
        <v>9.9999999999999995E-7</v>
      </c>
      <c r="D54" s="824">
        <v>9.9999999999999995E-7</v>
      </c>
      <c r="E54" s="824">
        <v>9.9999999999999995E-7</v>
      </c>
      <c r="F54" s="820"/>
      <c r="G54" s="825"/>
      <c r="H54" s="770"/>
    </row>
    <row r="55" spans="1:8" s="770" customFormat="1">
      <c r="A55" s="817" t="s">
        <v>1911</v>
      </c>
      <c r="B55" s="817">
        <v>1</v>
      </c>
      <c r="C55" s="817">
        <v>1</v>
      </c>
      <c r="D55" s="817">
        <v>2</v>
      </c>
      <c r="E55" s="817">
        <v>1</v>
      </c>
      <c r="F55" s="817"/>
      <c r="G55" s="826"/>
      <c r="H55" s="827"/>
    </row>
    <row r="56" spans="1:8" s="819" customFormat="1">
      <c r="A56" s="817" t="s">
        <v>1909</v>
      </c>
      <c r="B56" s="820"/>
      <c r="C56" s="820">
        <v>0</v>
      </c>
      <c r="D56" s="820">
        <v>0.05</v>
      </c>
      <c r="E56" s="820">
        <v>0</v>
      </c>
      <c r="F56" s="820"/>
      <c r="G56" s="828"/>
      <c r="H56" s="770"/>
    </row>
    <row r="57" spans="1:8" s="770" customFormat="1">
      <c r="A57" s="829" t="s">
        <v>1949</v>
      </c>
      <c r="B57" s="817">
        <v>1</v>
      </c>
      <c r="C57" s="817">
        <v>1</v>
      </c>
      <c r="D57" s="817">
        <v>1</v>
      </c>
      <c r="E57" s="817">
        <v>2</v>
      </c>
      <c r="F57" s="817"/>
      <c r="G57" s="830"/>
      <c r="H57" s="819"/>
    </row>
    <row r="58" spans="1:8" s="819" customFormat="1">
      <c r="A58" s="817" t="s">
        <v>1909</v>
      </c>
      <c r="B58" s="820"/>
      <c r="C58" s="820">
        <v>0</v>
      </c>
      <c r="D58" s="820">
        <v>0</v>
      </c>
      <c r="E58" s="820">
        <v>0.1</v>
      </c>
      <c r="F58" s="820"/>
      <c r="G58" s="821"/>
      <c r="H58" s="770"/>
    </row>
    <row r="59" spans="1:8" s="770" customFormat="1">
      <c r="A59" s="829" t="s">
        <v>1913</v>
      </c>
      <c r="B59" s="817">
        <v>2</v>
      </c>
      <c r="C59" s="817">
        <v>1</v>
      </c>
      <c r="D59" s="817">
        <v>2</v>
      </c>
      <c r="E59" s="817">
        <v>2</v>
      </c>
      <c r="F59" s="817"/>
      <c r="G59" s="818"/>
      <c r="H59" s="819"/>
    </row>
    <row r="60" spans="1:8" s="819" customFormat="1">
      <c r="A60" s="817" t="s">
        <v>1909</v>
      </c>
      <c r="B60" s="820"/>
      <c r="C60" s="820">
        <v>-0.05</v>
      </c>
      <c r="D60" s="820">
        <v>0</v>
      </c>
      <c r="E60" s="820">
        <v>0</v>
      </c>
      <c r="F60" s="820"/>
      <c r="H60" s="770"/>
    </row>
    <row r="61" spans="1:8" s="831" customFormat="1">
      <c r="A61" s="787" t="s">
        <v>1914</v>
      </c>
      <c r="B61" s="787">
        <v>2</v>
      </c>
      <c r="C61" s="787">
        <v>2</v>
      </c>
      <c r="D61" s="787">
        <v>1</v>
      </c>
      <c r="E61" s="787">
        <v>2</v>
      </c>
      <c r="F61" s="787"/>
    </row>
    <row r="62" spans="1:8" s="819" customFormat="1">
      <c r="A62" s="817" t="s">
        <v>1909</v>
      </c>
      <c r="B62" s="820"/>
      <c r="C62" s="820">
        <v>0</v>
      </c>
      <c r="D62" s="820">
        <v>-0.1</v>
      </c>
      <c r="E62" s="820">
        <v>0</v>
      </c>
      <c r="F62" s="820"/>
      <c r="H62" s="770"/>
    </row>
    <row r="63" spans="1:8" s="770" customFormat="1">
      <c r="A63" s="829" t="s">
        <v>1950</v>
      </c>
      <c r="B63" s="817">
        <v>1</v>
      </c>
      <c r="C63" s="817">
        <v>1</v>
      </c>
      <c r="D63" s="817">
        <v>1</v>
      </c>
      <c r="E63" s="817">
        <v>1</v>
      </c>
      <c r="F63" s="817"/>
      <c r="H63" s="819"/>
    </row>
    <row r="64" spans="1:8" s="819" customFormat="1">
      <c r="A64" s="817" t="s">
        <v>1909</v>
      </c>
      <c r="B64" s="820"/>
      <c r="C64" s="820">
        <v>0</v>
      </c>
      <c r="D64" s="820">
        <v>0</v>
      </c>
      <c r="E64" s="820">
        <v>0</v>
      </c>
      <c r="F64" s="820"/>
      <c r="H64" s="770"/>
    </row>
    <row r="65" spans="1:8" s="770" customFormat="1">
      <c r="A65" s="817" t="s">
        <v>1916</v>
      </c>
      <c r="B65" s="817"/>
      <c r="C65" s="820">
        <f>C52+C54+C56+C58+C64+C60+C62</f>
        <v>-0.29999900000000002</v>
      </c>
      <c r="D65" s="820">
        <f>D52+D54+D56+D58+D64+D60+D62</f>
        <v>-4.9999000000000002E-2</v>
      </c>
      <c r="E65" s="820">
        <f>E52+E54+E56+E58+E64+E60+E62</f>
        <v>0.10000100000000001</v>
      </c>
      <c r="F65" s="820"/>
      <c r="H65" s="819"/>
    </row>
    <row r="66" spans="1:8" s="819" customFormat="1">
      <c r="A66" s="817" t="s">
        <v>1917</v>
      </c>
      <c r="B66" s="817"/>
      <c r="C66" s="832">
        <f>+ABS(C52)+ABS(C54)+ABS(C56)+ABS(C58)+ABS(C60)+ABS(C62)+ABS(C64)</f>
        <v>0.30000099999999996</v>
      </c>
      <c r="D66" s="832">
        <f>+ABS(D52)+ABS(D54)+ABS(D56)+ABS(D58)+ABS(D60)+ABS(D62)+ABS(D64)</f>
        <v>0.150001</v>
      </c>
      <c r="E66" s="832">
        <f>+ABS(E52)+ABS(E54)+ABS(E56)+ABS(E58)+ABS(E60)+ABS(E62)+ABS(E64)</f>
        <v>0.10000100000000001</v>
      </c>
      <c r="F66" s="832"/>
      <c r="H66" s="726"/>
    </row>
    <row r="67" spans="1:8">
      <c r="A67" s="726" t="s">
        <v>1918</v>
      </c>
      <c r="B67" s="726">
        <f>SUM(C69:E69)</f>
        <v>2</v>
      </c>
      <c r="C67" s="726">
        <f>C69/$B$67</f>
        <v>0.22727330578196853</v>
      </c>
      <c r="D67" s="726">
        <f>D69/$B$67</f>
        <v>0.36363619834800903</v>
      </c>
      <c r="E67" s="726">
        <f>E69/$B$67</f>
        <v>0.40909049587002255</v>
      </c>
      <c r="F67" s="726">
        <f>F69/$B$67</f>
        <v>0</v>
      </c>
    </row>
    <row r="68" spans="1:8">
      <c r="A68" s="726" t="s">
        <v>1907</v>
      </c>
      <c r="B68" s="833">
        <f>SUM(C66:E66)</f>
        <v>0.55000300000000002</v>
      </c>
      <c r="C68" s="834">
        <f>C66/$B$68</f>
        <v>0.54545338843606295</v>
      </c>
      <c r="D68" s="726">
        <f>D66/$B$68</f>
        <v>0.27272760330398194</v>
      </c>
      <c r="E68" s="726">
        <f>E66/$B$68</f>
        <v>0.18181900825995495</v>
      </c>
      <c r="F68" s="726">
        <f>F66/$B$68</f>
        <v>0</v>
      </c>
    </row>
    <row r="69" spans="1:8">
      <c r="A69" s="726" t="s">
        <v>1919</v>
      </c>
      <c r="C69" s="726">
        <f>IF(C68&lt;&gt;0,1-C68,0)</f>
        <v>0.45454661156393705</v>
      </c>
      <c r="D69" s="726">
        <f>IF(D68&lt;&gt;0,1-D68,0)</f>
        <v>0.72727239669601806</v>
      </c>
      <c r="E69" s="726">
        <f>IF(E68&lt;&gt;0,1-E68,0)</f>
        <v>0.8181809917400451</v>
      </c>
      <c r="F69" s="726">
        <f>IF(F68&lt;&gt;0,1-F68,0)</f>
        <v>0</v>
      </c>
    </row>
    <row r="70" spans="1:8" ht="17.25" customHeight="1"/>
    <row r="71" spans="1:8">
      <c r="A71" s="727" t="s">
        <v>1920</v>
      </c>
      <c r="C71" s="835">
        <f>(1+C65)*C41</f>
        <v>233800.334</v>
      </c>
      <c r="D71" s="835">
        <f>(1+D65)*D41</f>
        <v>256500.27</v>
      </c>
      <c r="E71" s="835">
        <f>(1+E65)*E41</f>
        <v>224400.204</v>
      </c>
      <c r="F71" s="835">
        <f>(1+F65)*F41</f>
        <v>0</v>
      </c>
      <c r="G71" s="835"/>
    </row>
    <row r="72" spans="1:8" ht="12" customHeight="1">
      <c r="C72" s="835">
        <f>14*C71</f>
        <v>3273204.676</v>
      </c>
    </row>
    <row r="73" spans="1:8" ht="12.75" hidden="1" customHeight="1">
      <c r="A73" s="726" t="s">
        <v>1921</v>
      </c>
      <c r="C73" s="726">
        <f>$C$80/C71</f>
        <v>0.6262153494577396</v>
      </c>
      <c r="D73" s="726">
        <f>$C$80/D71</f>
        <v>0.5707961159617736</v>
      </c>
    </row>
    <row r="74" spans="1:8">
      <c r="A74" s="726" t="s">
        <v>1922</v>
      </c>
      <c r="C74" s="726">
        <f>$C$82/C71</f>
        <v>1.0188580337393378</v>
      </c>
      <c r="D74" s="726">
        <f>$C$82/D71</f>
        <v>0.92869043992367117</v>
      </c>
      <c r="E74" s="726">
        <f>$C$82/E71</f>
        <v>1.0615380215378076</v>
      </c>
      <c r="F74" s="726" t="e">
        <f>$C$82/F71</f>
        <v>#DIV/0!</v>
      </c>
    </row>
    <row r="75" spans="1:8" ht="12.75" hidden="1" customHeight="1">
      <c r="A75" s="726" t="s">
        <v>1923</v>
      </c>
      <c r="C75" s="726">
        <f>$C$84/C71</f>
        <v>1.0188580337393378</v>
      </c>
      <c r="D75" s="726">
        <f>$C$84/D71</f>
        <v>0.92869043992367117</v>
      </c>
      <c r="E75" s="726">
        <f>$C$84/E71</f>
        <v>1.0615380215378076</v>
      </c>
      <c r="F75" s="726" t="e">
        <f>$C$84/F71</f>
        <v>#DIV/0!</v>
      </c>
    </row>
    <row r="76" spans="1:8" ht="12.75" hidden="1" customHeight="1">
      <c r="A76" s="726" t="s">
        <v>1924</v>
      </c>
      <c r="C76" s="726">
        <f>$C$86/C71</f>
        <v>1.0188580337393378</v>
      </c>
      <c r="D76" s="726">
        <f>$C$86/D71</f>
        <v>0.92869043992367117</v>
      </c>
      <c r="E76" s="726">
        <f>$C$86/E71</f>
        <v>1.0615380215378076</v>
      </c>
      <c r="F76" s="726" t="e">
        <f>$C$86/F71</f>
        <v>#DIV/0!</v>
      </c>
    </row>
    <row r="77" spans="1:8" ht="12.75" customHeight="1"/>
    <row r="78" spans="1:8">
      <c r="A78" s="836" t="s">
        <v>1925</v>
      </c>
      <c r="C78" s="837">
        <f>1-C74</f>
        <v>-1.8858033739337809E-2</v>
      </c>
      <c r="D78" s="837">
        <f>1-D74</f>
        <v>7.1309560076328826E-2</v>
      </c>
      <c r="E78" s="837">
        <f>1-E74</f>
        <v>-6.153802153780763E-2</v>
      </c>
      <c r="F78" s="837" t="e">
        <f>1-F74</f>
        <v>#DIV/0!</v>
      </c>
    </row>
    <row r="79" spans="1:8" hidden="1"/>
    <row r="80" spans="1:8" ht="12.75" hidden="1" customHeight="1">
      <c r="A80" s="727" t="s">
        <v>1926</v>
      </c>
      <c r="C80" s="835">
        <f>C71*C67+D71*D67</f>
        <v>146409.35785914623</v>
      </c>
      <c r="D80" s="838">
        <f>ROUND((C80),-3)</f>
        <v>146000</v>
      </c>
    </row>
    <row r="81" spans="1:9" hidden="1">
      <c r="A81" s="727"/>
      <c r="C81" s="835"/>
    </row>
    <row r="82" spans="1:9" ht="14.4">
      <c r="A82" s="727" t="s">
        <v>1927</v>
      </c>
      <c r="C82" s="838">
        <f>C71*C67+D71*D67+E71*E67</f>
        <v>238209.34858684044</v>
      </c>
      <c r="D82" s="839">
        <f>ROUND((C82),-3)</f>
        <v>238000</v>
      </c>
      <c r="E82" s="840"/>
      <c r="F82" s="840"/>
      <c r="I82" s="836"/>
    </row>
    <row r="83" spans="1:9" ht="14.4" hidden="1">
      <c r="A83" s="727"/>
      <c r="C83" s="838"/>
      <c r="E83" s="841"/>
    </row>
    <row r="84" spans="1:9" ht="12.75" hidden="1" customHeight="1">
      <c r="A84" s="727" t="s">
        <v>1928</v>
      </c>
      <c r="C84" s="838">
        <f>C71*C67+D71*D67+E71*E67+F71*F67</f>
        <v>238209.34858684044</v>
      </c>
      <c r="D84" s="839">
        <f>ROUND((C84),-3)</f>
        <v>238000</v>
      </c>
    </row>
    <row r="85" spans="1:9" ht="12.75" hidden="1" customHeight="1">
      <c r="A85" s="727"/>
      <c r="C85" s="838"/>
    </row>
    <row r="86" spans="1:9" ht="12.75" hidden="1" customHeight="1">
      <c r="A86" s="727" t="s">
        <v>1929</v>
      </c>
      <c r="C86" s="838">
        <f>C71*C67+D71*D67+E71*E67+F71*F67+G36*G32</f>
        <v>238209.34858684044</v>
      </c>
      <c r="D86" s="839">
        <f>ROUND((C86),-3)</f>
        <v>238000</v>
      </c>
    </row>
    <row r="87" spans="1:9" ht="12.75" customHeight="1">
      <c r="A87" s="727"/>
      <c r="C87" s="838"/>
      <c r="D87" s="839"/>
    </row>
    <row r="88" spans="1:9" ht="12.75" customHeight="1" thickBot="1">
      <c r="A88" s="727" t="s">
        <v>1930</v>
      </c>
      <c r="B88" s="842"/>
      <c r="C88" s="843"/>
      <c r="D88" s="844">
        <f>D82*14</f>
        <v>3332000</v>
      </c>
      <c r="E88" s="845"/>
      <c r="F88" s="845"/>
    </row>
    <row r="89" spans="1:9" ht="15" hidden="1" thickTop="1">
      <c r="A89" s="846"/>
      <c r="B89" s="846"/>
      <c r="C89" s="846"/>
      <c r="D89" s="846"/>
      <c r="E89" s="847"/>
      <c r="F89" s="847"/>
      <c r="G89" s="726">
        <v>2015</v>
      </c>
      <c r="H89" s="848"/>
    </row>
    <row r="90" spans="1:9" ht="13.8" hidden="1" thickTop="1">
      <c r="A90" s="849"/>
      <c r="B90" s="849" t="s">
        <v>1931</v>
      </c>
      <c r="C90" s="850" t="s">
        <v>1932</v>
      </c>
      <c r="D90" s="851" t="s">
        <v>1933</v>
      </c>
      <c r="E90" s="852" t="s">
        <v>1934</v>
      </c>
      <c r="F90" s="853" t="s">
        <v>1935</v>
      </c>
      <c r="G90" s="726">
        <v>1980</v>
      </c>
      <c r="H90" s="854"/>
      <c r="I90" s="855"/>
    </row>
    <row r="91" spans="1:9" ht="13.8" hidden="1" thickTop="1">
      <c r="A91" s="856" t="s">
        <v>1936</v>
      </c>
      <c r="B91" s="857">
        <f>B20</f>
        <v>0</v>
      </c>
      <c r="C91" s="857">
        <f>+D82</f>
        <v>238000</v>
      </c>
      <c r="D91" s="858">
        <f>C91*B91</f>
        <v>0</v>
      </c>
      <c r="E91" s="858">
        <f>D91</f>
        <v>0</v>
      </c>
      <c r="F91" s="859">
        <f>+E91*0.7</f>
        <v>0</v>
      </c>
      <c r="G91" s="726">
        <f>+G89-G90</f>
        <v>35</v>
      </c>
      <c r="H91" s="854"/>
      <c r="I91" s="855"/>
    </row>
    <row r="92" spans="1:9" ht="13.8" hidden="1" thickTop="1">
      <c r="A92" s="856" t="s">
        <v>1937</v>
      </c>
      <c r="B92" s="860">
        <f>B28</f>
        <v>0</v>
      </c>
      <c r="C92" s="857">
        <f>+'[20]Kertas Kerja BTB'!E36</f>
        <v>3000000</v>
      </c>
      <c r="D92" s="858">
        <f>C92*B92</f>
        <v>0</v>
      </c>
      <c r="E92" s="858">
        <f>+D92*0.85</f>
        <v>0</v>
      </c>
      <c r="F92" s="859">
        <f>+E92*0.7</f>
        <v>0</v>
      </c>
      <c r="G92" s="726">
        <f>+G91*2.5</f>
        <v>87.5</v>
      </c>
      <c r="H92" s="861"/>
    </row>
    <row r="93" spans="1:9" ht="15" hidden="1" thickTop="1">
      <c r="A93" s="862" t="s">
        <v>1938</v>
      </c>
      <c r="B93" s="857"/>
      <c r="C93" s="857"/>
      <c r="D93" s="863">
        <f>SUM(D91:D92)</f>
        <v>0</v>
      </c>
      <c r="E93" s="863">
        <f>SUM(E91:E92)</f>
        <v>0</v>
      </c>
      <c r="F93" s="864">
        <f>SUM(F91:F92)</f>
        <v>0</v>
      </c>
      <c r="G93" s="865">
        <f>100-G92</f>
        <v>12.5</v>
      </c>
    </row>
    <row r="94" spans="1:9" ht="14.4" hidden="1" thickTop="1" thickBot="1">
      <c r="A94" s="842"/>
      <c r="B94" s="842"/>
      <c r="C94" s="842"/>
      <c r="D94" s="842"/>
      <c r="E94" s="842"/>
      <c r="F94" s="842"/>
      <c r="G94" s="726">
        <v>62.5</v>
      </c>
    </row>
    <row r="95" spans="1:9" ht="13.8" hidden="1" thickTop="1">
      <c r="A95" s="846"/>
      <c r="B95" s="846"/>
      <c r="C95" s="846"/>
      <c r="D95" s="846"/>
      <c r="E95" s="846"/>
      <c r="F95" s="846"/>
      <c r="G95" s="726">
        <f>+G93+G94</f>
        <v>75</v>
      </c>
    </row>
    <row r="96" spans="1:9" ht="13.8" thickTop="1"/>
    <row r="98" spans="3:6" ht="14.4">
      <c r="D98" s="840"/>
    </row>
    <row r="99" spans="3:6" ht="14.4">
      <c r="D99" s="840"/>
    </row>
    <row r="103" spans="3:6">
      <c r="F103" s="835"/>
    </row>
    <row r="104" spans="3:6">
      <c r="D104" s="836" t="s">
        <v>1939</v>
      </c>
      <c r="F104" s="835"/>
    </row>
    <row r="105" spans="3:6">
      <c r="C105" s="726">
        <v>15000000</v>
      </c>
      <c r="D105" s="726">
        <f>+C105/C106*100</f>
        <v>5.3571428571428568</v>
      </c>
    </row>
    <row r="106" spans="3:6">
      <c r="C106" s="726">
        <v>280000000</v>
      </c>
    </row>
  </sheetData>
  <mergeCells count="22">
    <mergeCell ref="F13:F14"/>
    <mergeCell ref="H13:H14"/>
    <mergeCell ref="I13:I14"/>
    <mergeCell ref="J13:J14"/>
    <mergeCell ref="K13:K14"/>
    <mergeCell ref="L13:L14"/>
    <mergeCell ref="G6:G11"/>
    <mergeCell ref="H8:H12"/>
    <mergeCell ref="I8:I12"/>
    <mergeCell ref="K8:K12"/>
    <mergeCell ref="L8:L12"/>
    <mergeCell ref="A13:A14"/>
    <mergeCell ref="B13:B14"/>
    <mergeCell ref="C13:C14"/>
    <mergeCell ref="D13:D14"/>
    <mergeCell ref="E13:E14"/>
    <mergeCell ref="F6:F11"/>
    <mergeCell ref="A6:A11"/>
    <mergeCell ref="B6:B11"/>
    <mergeCell ref="C6:C11"/>
    <mergeCell ref="D6:D11"/>
    <mergeCell ref="E6:E11"/>
  </mergeCells>
  <printOptions horizontalCentered="1"/>
  <pageMargins left="0.39370078740157483" right="0.19685039370078741" top="0.39370078740157483" bottom="0.27559055118110237" header="0" footer="0"/>
  <pageSetup paperSize="9" scale="7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L106"/>
  <sheetViews>
    <sheetView view="pageBreakPreview" topLeftCell="A64" zoomScaleNormal="85" zoomScaleSheetLayoutView="100" workbookViewId="0">
      <selection activeCell="C53" sqref="C53"/>
    </sheetView>
  </sheetViews>
  <sheetFormatPr defaultRowHeight="13.2"/>
  <cols>
    <col min="1" max="1" width="32.6640625" style="726" customWidth="1"/>
    <col min="2" max="2" width="20.33203125" style="726" customWidth="1"/>
    <col min="3" max="3" width="19.5546875" style="726" customWidth="1"/>
    <col min="4" max="4" width="19.88671875" style="726" customWidth="1"/>
    <col min="5" max="5" width="19.33203125" style="726" customWidth="1"/>
    <col min="6" max="6" width="20.6640625" style="726" customWidth="1"/>
    <col min="7" max="7" width="14.33203125" style="726" customWidth="1"/>
    <col min="8" max="8" width="17.44140625" style="726" customWidth="1"/>
    <col min="9" max="9" width="19" style="726" customWidth="1"/>
    <col min="10" max="11" width="18" style="726" customWidth="1"/>
    <col min="12" max="12" width="19.109375" style="726" customWidth="1"/>
    <col min="13" max="13" width="12" style="726" bestFit="1" customWidth="1"/>
    <col min="14" max="16384" width="8.88671875" style="726"/>
  </cols>
  <sheetData>
    <row r="1" spans="1:12">
      <c r="A1" s="724"/>
      <c r="B1" s="725"/>
      <c r="C1" s="725"/>
      <c r="D1" s="725"/>
      <c r="E1" s="725"/>
      <c r="F1" s="725"/>
      <c r="G1" s="725"/>
    </row>
    <row r="2" spans="1:12">
      <c r="A2" s="725"/>
      <c r="B2" s="725"/>
      <c r="C2" s="725"/>
      <c r="D2" s="725"/>
      <c r="E2" s="725"/>
      <c r="F2" s="725"/>
      <c r="G2" s="725"/>
    </row>
    <row r="3" spans="1:12">
      <c r="A3" s="725"/>
      <c r="B3" s="725"/>
      <c r="C3" s="725"/>
      <c r="D3" s="725"/>
      <c r="E3" s="725"/>
      <c r="F3" s="725"/>
    </row>
    <row r="4" spans="1:12">
      <c r="A4" s="725"/>
      <c r="B4" s="725"/>
      <c r="C4" s="725"/>
      <c r="D4" s="725"/>
      <c r="E4" s="725"/>
      <c r="F4" s="725"/>
      <c r="G4" s="725"/>
    </row>
    <row r="5" spans="1:12" ht="13.8" thickBot="1"/>
    <row r="6" spans="1:12" ht="13.8" thickTop="1">
      <c r="A6" s="904" t="s">
        <v>1951</v>
      </c>
      <c r="B6" s="889"/>
      <c r="C6" s="889"/>
      <c r="D6" s="889"/>
      <c r="E6" s="892"/>
      <c r="F6" s="887"/>
      <c r="G6" s="887"/>
      <c r="H6" s="727" t="s">
        <v>1835</v>
      </c>
      <c r="I6" s="727"/>
    </row>
    <row r="7" spans="1:12" ht="13.8" thickBot="1">
      <c r="A7" s="888"/>
      <c r="B7" s="890"/>
      <c r="C7" s="890"/>
      <c r="D7" s="890"/>
      <c r="E7" s="893"/>
      <c r="F7" s="887"/>
      <c r="G7" s="887"/>
      <c r="I7" s="728"/>
    </row>
    <row r="8" spans="1:12">
      <c r="A8" s="888"/>
      <c r="B8" s="890"/>
      <c r="C8" s="890"/>
      <c r="D8" s="890"/>
      <c r="E8" s="893"/>
      <c r="F8" s="887"/>
      <c r="G8" s="887"/>
      <c r="H8" s="897"/>
      <c r="I8" s="900"/>
      <c r="J8" s="729"/>
      <c r="K8" s="897"/>
      <c r="L8" s="897"/>
    </row>
    <row r="9" spans="1:12">
      <c r="A9" s="888"/>
      <c r="B9" s="890"/>
      <c r="C9" s="890"/>
      <c r="D9" s="890"/>
      <c r="E9" s="893"/>
      <c r="F9" s="887"/>
      <c r="G9" s="887"/>
      <c r="H9" s="898"/>
      <c r="I9" s="901"/>
      <c r="J9" s="730"/>
      <c r="K9" s="898"/>
      <c r="L9" s="898"/>
    </row>
    <row r="10" spans="1:12">
      <c r="A10" s="888"/>
      <c r="B10" s="890"/>
      <c r="C10" s="890"/>
      <c r="D10" s="890"/>
      <c r="E10" s="893"/>
      <c r="F10" s="887"/>
      <c r="G10" s="887"/>
      <c r="H10" s="898"/>
      <c r="I10" s="901"/>
      <c r="J10" s="730"/>
      <c r="K10" s="898"/>
      <c r="L10" s="898"/>
    </row>
    <row r="11" spans="1:12" ht="13.8" thickBot="1">
      <c r="A11" s="888"/>
      <c r="B11" s="891"/>
      <c r="C11" s="891"/>
      <c r="D11" s="891"/>
      <c r="E11" s="894"/>
      <c r="F11" s="887"/>
      <c r="G11" s="887"/>
      <c r="H11" s="898"/>
      <c r="I11" s="901"/>
      <c r="J11" s="730"/>
      <c r="K11" s="898"/>
      <c r="L11" s="898"/>
    </row>
    <row r="12" spans="1:12" ht="31.8" customHeight="1" thickTop="1" thickBot="1">
      <c r="H12" s="899"/>
      <c r="I12" s="902"/>
      <c r="J12" s="731"/>
      <c r="K12" s="899"/>
      <c r="L12" s="899"/>
    </row>
    <row r="13" spans="1:12">
      <c r="A13" s="895" t="s">
        <v>1836</v>
      </c>
      <c r="B13" s="895" t="s">
        <v>1837</v>
      </c>
      <c r="C13" s="895" t="s">
        <v>1838</v>
      </c>
      <c r="D13" s="895" t="s">
        <v>1839</v>
      </c>
      <c r="E13" s="895" t="s">
        <v>1840</v>
      </c>
      <c r="F13" s="903" t="s">
        <v>1841</v>
      </c>
      <c r="G13" s="732"/>
      <c r="H13" s="896" t="s">
        <v>1838</v>
      </c>
      <c r="I13" s="896" t="s">
        <v>1839</v>
      </c>
      <c r="J13" s="896" t="s">
        <v>1840</v>
      </c>
      <c r="K13" s="896" t="s">
        <v>1838</v>
      </c>
      <c r="L13" s="896" t="s">
        <v>1838</v>
      </c>
    </row>
    <row r="14" spans="1:12">
      <c r="A14" s="895"/>
      <c r="B14" s="895"/>
      <c r="C14" s="895"/>
      <c r="D14" s="895"/>
      <c r="E14" s="895"/>
      <c r="F14" s="903"/>
      <c r="G14" s="733"/>
      <c r="H14" s="895"/>
      <c r="I14" s="895"/>
      <c r="J14" s="895"/>
      <c r="K14" s="895"/>
      <c r="L14" s="895"/>
    </row>
    <row r="15" spans="1:12">
      <c r="A15" s="734" t="s">
        <v>1842</v>
      </c>
      <c r="B15" s="735"/>
      <c r="C15" s="735"/>
      <c r="D15" s="735"/>
      <c r="E15" s="735"/>
      <c r="F15" s="736"/>
      <c r="H15" s="737"/>
      <c r="I15" s="737"/>
      <c r="J15" s="737"/>
      <c r="K15" s="737"/>
      <c r="L15" s="737"/>
    </row>
    <row r="16" spans="1:12">
      <c r="A16" s="738" t="s">
        <v>1843</v>
      </c>
      <c r="B16" s="739"/>
      <c r="C16" s="742" t="s">
        <v>1952</v>
      </c>
      <c r="D16" s="742" t="s">
        <v>1845</v>
      </c>
      <c r="E16" s="742" t="s">
        <v>1845</v>
      </c>
      <c r="F16" s="737"/>
      <c r="H16" s="743" t="s">
        <v>1844</v>
      </c>
      <c r="I16" s="737" t="s">
        <v>1844</v>
      </c>
      <c r="J16" s="737" t="s">
        <v>1844</v>
      </c>
      <c r="K16" s="744" t="s">
        <v>1845</v>
      </c>
      <c r="L16" s="737" t="s">
        <v>1844</v>
      </c>
    </row>
    <row r="17" spans="1:12">
      <c r="A17" s="734"/>
      <c r="B17" s="739"/>
      <c r="C17" s="739"/>
      <c r="D17" s="739"/>
      <c r="E17" s="739"/>
      <c r="F17" s="739"/>
      <c r="H17" s="739"/>
      <c r="I17" s="739"/>
      <c r="J17" s="739"/>
      <c r="K17" s="739"/>
      <c r="L17" s="739"/>
    </row>
    <row r="18" spans="1:12">
      <c r="A18" s="738" t="s">
        <v>1846</v>
      </c>
      <c r="B18" s="737" t="s">
        <v>1847</v>
      </c>
      <c r="C18" s="749" t="s">
        <v>1953</v>
      </c>
      <c r="D18" s="749" t="s">
        <v>1941</v>
      </c>
      <c r="E18" s="749" t="s">
        <v>1941</v>
      </c>
      <c r="F18" s="737"/>
      <c r="G18" s="750"/>
      <c r="H18" s="737" t="s">
        <v>1851</v>
      </c>
      <c r="I18" s="737" t="s">
        <v>1847</v>
      </c>
      <c r="J18" s="737" t="s">
        <v>1851</v>
      </c>
      <c r="K18" s="737" t="s">
        <v>1851</v>
      </c>
      <c r="L18" s="737" t="s">
        <v>1851</v>
      </c>
    </row>
    <row r="19" spans="1:12">
      <c r="A19" s="734"/>
      <c r="B19" s="739"/>
      <c r="C19" s="739"/>
      <c r="D19" s="739"/>
      <c r="E19" s="739"/>
      <c r="F19" s="739"/>
      <c r="H19" s="739"/>
      <c r="I19" s="739"/>
      <c r="J19" s="739"/>
      <c r="K19" s="739"/>
      <c r="L19" s="739"/>
    </row>
    <row r="20" spans="1:12" ht="14.4">
      <c r="A20" s="735" t="s">
        <v>1852</v>
      </c>
      <c r="B20" s="751">
        <v>0</v>
      </c>
      <c r="C20" s="754">
        <v>5659</v>
      </c>
      <c r="D20" s="869">
        <v>17500</v>
      </c>
      <c r="E20" s="754">
        <f>58*14</f>
        <v>812</v>
      </c>
      <c r="F20" s="751"/>
      <c r="G20" s="755">
        <f>+C20-B20</f>
        <v>5659</v>
      </c>
      <c r="H20" s="751">
        <v>120</v>
      </c>
      <c r="I20" s="756">
        <v>200</v>
      </c>
      <c r="J20" s="751">
        <v>86</v>
      </c>
      <c r="K20" s="756">
        <v>96</v>
      </c>
      <c r="L20" s="751">
        <v>395</v>
      </c>
    </row>
    <row r="21" spans="1:12" ht="14.4">
      <c r="A21" s="735"/>
      <c r="B21" s="751"/>
      <c r="C21" s="757"/>
      <c r="D21" s="870"/>
      <c r="E21" s="757"/>
      <c r="F21" s="751"/>
      <c r="G21" s="733">
        <f>+G20*D82</f>
        <v>1358160000</v>
      </c>
      <c r="H21" s="751"/>
      <c r="I21" s="751"/>
      <c r="J21" s="751"/>
      <c r="K21" s="751"/>
      <c r="L21" s="751"/>
    </row>
    <row r="22" spans="1:12">
      <c r="A22" s="735" t="s">
        <v>1853</v>
      </c>
      <c r="B22" s="739" t="s">
        <v>1854</v>
      </c>
      <c r="C22" s="739" t="s">
        <v>1854</v>
      </c>
      <c r="D22" s="739" t="s">
        <v>1854</v>
      </c>
      <c r="E22" s="739" t="s">
        <v>1854</v>
      </c>
      <c r="F22" s="739"/>
      <c r="G22" s="750"/>
      <c r="H22" s="739" t="s">
        <v>1854</v>
      </c>
      <c r="I22" s="739" t="s">
        <v>1854</v>
      </c>
      <c r="J22" s="739" t="s">
        <v>1854</v>
      </c>
      <c r="K22" s="739" t="s">
        <v>1854</v>
      </c>
      <c r="L22" s="739" t="s">
        <v>1854</v>
      </c>
    </row>
    <row r="23" spans="1:12">
      <c r="A23" s="735"/>
      <c r="B23" s="739"/>
      <c r="C23" s="739"/>
      <c r="D23" s="739"/>
      <c r="E23" s="739"/>
      <c r="F23" s="739"/>
      <c r="G23" s="758"/>
      <c r="H23" s="739"/>
      <c r="I23" s="739"/>
      <c r="J23" s="739"/>
      <c r="K23" s="739"/>
      <c r="L23" s="739"/>
    </row>
    <row r="24" spans="1:12">
      <c r="A24" s="735" t="s">
        <v>1855</v>
      </c>
      <c r="B24" s="737" t="s">
        <v>1856</v>
      </c>
      <c r="C24" s="749" t="s">
        <v>1942</v>
      </c>
      <c r="D24" s="737" t="str">
        <f>D18</f>
        <v>Tanah Karang</v>
      </c>
      <c r="E24" s="737" t="s">
        <v>1942</v>
      </c>
      <c r="F24" s="737"/>
      <c r="G24" s="750"/>
      <c r="H24" s="737" t="s">
        <v>1856</v>
      </c>
      <c r="I24" s="737" t="s">
        <v>1856</v>
      </c>
      <c r="J24" s="737" t="s">
        <v>1856</v>
      </c>
      <c r="K24" s="737" t="s">
        <v>1856</v>
      </c>
      <c r="L24" s="737" t="s">
        <v>1856</v>
      </c>
    </row>
    <row r="25" spans="1:12">
      <c r="A25" s="735"/>
      <c r="B25" s="739"/>
      <c r="C25" s="739"/>
      <c r="D25" s="739"/>
      <c r="E25" s="739"/>
      <c r="F25" s="739"/>
      <c r="H25" s="739"/>
      <c r="I25" s="739"/>
      <c r="J25" s="739"/>
      <c r="K25" s="739"/>
      <c r="L25" s="739"/>
    </row>
    <row r="26" spans="1:12">
      <c r="A26" s="735" t="s">
        <v>531</v>
      </c>
      <c r="B26" s="737" t="s">
        <v>1857</v>
      </c>
      <c r="C26" s="749" t="s">
        <v>1857</v>
      </c>
      <c r="D26" s="749" t="s">
        <v>1026</v>
      </c>
      <c r="E26" s="749" t="s">
        <v>1857</v>
      </c>
      <c r="F26" s="737"/>
      <c r="G26" s="750"/>
      <c r="H26" s="737" t="s">
        <v>1026</v>
      </c>
      <c r="I26" s="737" t="s">
        <v>1026</v>
      </c>
      <c r="J26" s="737" t="s">
        <v>1026</v>
      </c>
      <c r="K26" s="737" t="s">
        <v>1026</v>
      </c>
      <c r="L26" s="737" t="s">
        <v>1026</v>
      </c>
    </row>
    <row r="27" spans="1:12">
      <c r="A27" s="735"/>
      <c r="B27" s="739"/>
      <c r="C27" s="739"/>
      <c r="D27" s="739"/>
      <c r="E27" s="739"/>
      <c r="F27" s="739"/>
      <c r="G27" s="759"/>
      <c r="H27" s="739"/>
      <c r="I27" s="739"/>
      <c r="J27" s="739"/>
      <c r="K27" s="739"/>
      <c r="L27" s="739"/>
    </row>
    <row r="28" spans="1:12" ht="14.4">
      <c r="A28" s="735" t="s">
        <v>1858</v>
      </c>
      <c r="B28" s="760">
        <v>0</v>
      </c>
      <c r="C28" s="757">
        <v>0</v>
      </c>
      <c r="D28" s="871">
        <v>0</v>
      </c>
      <c r="E28" s="757">
        <v>0</v>
      </c>
      <c r="F28" s="751"/>
      <c r="G28" s="755">
        <f>+C28-B28</f>
        <v>0</v>
      </c>
      <c r="H28" s="751">
        <v>110</v>
      </c>
      <c r="I28" s="751">
        <v>0</v>
      </c>
      <c r="J28" s="751">
        <v>96</v>
      </c>
      <c r="K28" s="751">
        <v>80</v>
      </c>
      <c r="L28" s="751">
        <v>60</v>
      </c>
    </row>
    <row r="29" spans="1:12" ht="14.4">
      <c r="A29" s="735"/>
      <c r="B29" s="739"/>
      <c r="C29" s="757"/>
      <c r="D29" s="870"/>
      <c r="E29" s="757"/>
      <c r="F29" s="751"/>
      <c r="G29" s="733">
        <f>+G28*C36*0.95</f>
        <v>0</v>
      </c>
      <c r="H29" s="751"/>
      <c r="I29" s="751"/>
      <c r="J29" s="751"/>
      <c r="K29" s="751"/>
      <c r="L29" s="751"/>
    </row>
    <row r="30" spans="1:12" ht="13.8">
      <c r="A30" s="735" t="s">
        <v>1859</v>
      </c>
      <c r="B30" s="739"/>
      <c r="C30" s="739"/>
      <c r="D30" s="739"/>
      <c r="E30" s="739"/>
      <c r="F30" s="739"/>
      <c r="G30" s="761"/>
      <c r="H30" s="739"/>
      <c r="I30" s="739"/>
      <c r="J30" s="739"/>
      <c r="K30" s="739"/>
      <c r="L30" s="739"/>
    </row>
    <row r="31" spans="1:12">
      <c r="A31" s="735"/>
      <c r="B31" s="739"/>
      <c r="C31" s="739"/>
      <c r="D31" s="739"/>
      <c r="E31" s="739"/>
      <c r="F31" s="739"/>
      <c r="G31" s="762"/>
      <c r="H31" s="739"/>
      <c r="I31" s="739"/>
      <c r="J31" s="739"/>
      <c r="K31" s="739"/>
      <c r="L31" s="739"/>
    </row>
    <row r="32" spans="1:12" ht="14.4">
      <c r="A32" s="735" t="s">
        <v>1845</v>
      </c>
      <c r="B32" s="739"/>
      <c r="C32" s="757">
        <f>2800000*C20/14</f>
        <v>1131800000</v>
      </c>
      <c r="D32" s="872">
        <f>300000*D20</f>
        <v>5250000000</v>
      </c>
      <c r="E32" s="757">
        <f>3000000*E20/14</f>
        <v>174000000</v>
      </c>
      <c r="F32" s="751"/>
      <c r="G32" s="763"/>
      <c r="H32" s="751">
        <v>900000000</v>
      </c>
      <c r="I32" s="751">
        <f>4400000*I20</f>
        <v>880000000</v>
      </c>
      <c r="J32" s="751">
        <v>530000000</v>
      </c>
      <c r="K32" s="751">
        <v>900000000</v>
      </c>
      <c r="L32" s="751">
        <v>1700000000</v>
      </c>
    </row>
    <row r="33" spans="1:12" ht="14.4">
      <c r="A33" s="735"/>
      <c r="B33" s="739"/>
      <c r="C33" s="757"/>
      <c r="D33" s="870"/>
      <c r="E33" s="757"/>
      <c r="F33" s="751"/>
      <c r="G33" s="750"/>
      <c r="H33" s="751"/>
      <c r="I33" s="751"/>
      <c r="J33" s="751"/>
      <c r="K33" s="751"/>
      <c r="L33" s="751"/>
    </row>
    <row r="34" spans="1:12" s="770" customFormat="1">
      <c r="A34" s="764" t="s">
        <v>1860</v>
      </c>
      <c r="B34" s="765"/>
      <c r="C34" s="768">
        <v>0</v>
      </c>
      <c r="D34" s="768">
        <v>0.05</v>
      </c>
      <c r="E34" s="768">
        <v>0.05</v>
      </c>
      <c r="F34" s="768"/>
      <c r="G34" s="769"/>
      <c r="H34" s="768">
        <v>0.05</v>
      </c>
      <c r="I34" s="768">
        <v>0.2</v>
      </c>
      <c r="J34" s="768">
        <v>0.05</v>
      </c>
      <c r="K34" s="768">
        <v>0.15</v>
      </c>
      <c r="L34" s="768">
        <v>0.1</v>
      </c>
    </row>
    <row r="35" spans="1:12">
      <c r="A35" s="735" t="s">
        <v>1861</v>
      </c>
      <c r="B35" s="771"/>
      <c r="C35" s="771">
        <f t="shared" ref="C35" si="0">(100%-C34)*C32</f>
        <v>1131800000</v>
      </c>
      <c r="D35" s="875">
        <f>(100%-D34)*D32</f>
        <v>4987500000</v>
      </c>
      <c r="E35" s="771">
        <f t="shared" ref="E35" si="1">(100%-E34)*E32</f>
        <v>165300000</v>
      </c>
      <c r="F35" s="771"/>
      <c r="G35" s="755">
        <f>+C35-G21-G29</f>
        <v>-226360000</v>
      </c>
      <c r="H35" s="771">
        <f>(100%-H34)*H32</f>
        <v>855000000</v>
      </c>
      <c r="I35" s="771">
        <f>(100%-I34)*I32</f>
        <v>704000000</v>
      </c>
      <c r="J35" s="771">
        <f>(100%-J34)*J32</f>
        <v>503500000</v>
      </c>
      <c r="K35" s="771">
        <f>(100%-K34)*K32</f>
        <v>765000000</v>
      </c>
      <c r="L35" s="771">
        <f>(100%-L34)*L32</f>
        <v>1530000000</v>
      </c>
    </row>
    <row r="36" spans="1:12" s="770" customFormat="1">
      <c r="A36" s="764" t="s">
        <v>1862</v>
      </c>
      <c r="B36" s="765"/>
      <c r="C36" s="776">
        <v>0</v>
      </c>
      <c r="D36" s="877">
        <v>0</v>
      </c>
      <c r="E36" s="776">
        <v>0</v>
      </c>
      <c r="F36" s="776"/>
      <c r="G36" s="777">
        <f>+B28*400000*0.85</f>
        <v>0</v>
      </c>
      <c r="H36" s="776">
        <v>4000000</v>
      </c>
      <c r="I36" s="776">
        <v>0</v>
      </c>
      <c r="J36" s="776">
        <v>3500000</v>
      </c>
      <c r="K36" s="776">
        <v>2500000</v>
      </c>
      <c r="L36" s="776">
        <v>2500000</v>
      </c>
    </row>
    <row r="37" spans="1:12" ht="14.4">
      <c r="A37" s="735" t="s">
        <v>1863</v>
      </c>
      <c r="B37" s="739"/>
      <c r="C37" s="757">
        <f t="shared" ref="C37" si="2">C36*C28</f>
        <v>0</v>
      </c>
      <c r="D37" s="878">
        <f>D36*D28</f>
        <v>0</v>
      </c>
      <c r="E37" s="757">
        <f t="shared" ref="E37" si="3">E36*E28</f>
        <v>0</v>
      </c>
      <c r="F37" s="751"/>
      <c r="G37" s="755">
        <f>+G35-G36</f>
        <v>-226360000</v>
      </c>
      <c r="H37" s="751">
        <f>H36*H28</f>
        <v>440000000</v>
      </c>
      <c r="I37" s="751">
        <f>I36*I28</f>
        <v>0</v>
      </c>
      <c r="J37" s="751">
        <f>J36*J28</f>
        <v>336000000</v>
      </c>
      <c r="K37" s="751">
        <f>K36*K28</f>
        <v>200000000</v>
      </c>
      <c r="L37" s="751">
        <f>L36*L28</f>
        <v>150000000</v>
      </c>
    </row>
    <row r="38" spans="1:12" s="770" customFormat="1" ht="14.4">
      <c r="A38" s="764" t="s">
        <v>1864</v>
      </c>
      <c r="B38" s="765"/>
      <c r="C38" s="780">
        <v>0</v>
      </c>
      <c r="D38" s="879">
        <v>0</v>
      </c>
      <c r="E38" s="780">
        <v>0</v>
      </c>
      <c r="F38" s="781"/>
      <c r="G38" s="782"/>
      <c r="H38" s="781">
        <v>0.05</v>
      </c>
      <c r="I38" s="781">
        <v>0</v>
      </c>
      <c r="J38" s="781">
        <v>0.1</v>
      </c>
      <c r="K38" s="781">
        <v>0.1</v>
      </c>
      <c r="L38" s="781">
        <v>0</v>
      </c>
    </row>
    <row r="39" spans="1:12" ht="14.4">
      <c r="A39" s="735" t="s">
        <v>1865</v>
      </c>
      <c r="B39" s="739"/>
      <c r="C39" s="757">
        <f t="shared" ref="C39" si="4">(100%-C38)*C37</f>
        <v>0</v>
      </c>
      <c r="D39" s="872">
        <f>(100%-D38)*D37</f>
        <v>0</v>
      </c>
      <c r="E39" s="757">
        <f t="shared" ref="E39" si="5">(100%-E38)*E37</f>
        <v>0</v>
      </c>
      <c r="F39" s="751"/>
      <c r="G39" s="755"/>
      <c r="H39" s="751">
        <f>(100%-H38)*H37</f>
        <v>418000000</v>
      </c>
      <c r="I39" s="751">
        <f>(100%-I38)*I37</f>
        <v>0</v>
      </c>
      <c r="J39" s="751">
        <f>(100%-J38)*J37</f>
        <v>302400000</v>
      </c>
      <c r="K39" s="751">
        <f>(100%-K38)*K37</f>
        <v>180000000</v>
      </c>
      <c r="L39" s="751">
        <f>(100%-L38)*L37</f>
        <v>150000000</v>
      </c>
    </row>
    <row r="40" spans="1:12">
      <c r="A40" s="735" t="s">
        <v>1859</v>
      </c>
      <c r="B40" s="739"/>
      <c r="C40" s="771">
        <v>0</v>
      </c>
      <c r="D40" s="771"/>
      <c r="E40" s="771">
        <v>0</v>
      </c>
      <c r="F40" s="771"/>
      <c r="G40" s="750"/>
      <c r="H40" s="771">
        <v>0</v>
      </c>
      <c r="I40" s="771">
        <v>0</v>
      </c>
      <c r="J40" s="771">
        <v>0</v>
      </c>
      <c r="K40" s="771">
        <v>0</v>
      </c>
      <c r="L40" s="771">
        <v>0</v>
      </c>
    </row>
    <row r="41" spans="1:12" s="770" customFormat="1" ht="13.5" customHeight="1">
      <c r="A41" s="764" t="s">
        <v>1866</v>
      </c>
      <c r="B41" s="765"/>
      <c r="C41" s="784">
        <f t="shared" ref="C41" si="6">ROUND((C35-C39-C40)/C20,-3)</f>
        <v>200000</v>
      </c>
      <c r="D41" s="880">
        <f>ROUND((D35-D39-D40)/D20,-3)</f>
        <v>285000</v>
      </c>
      <c r="E41" s="784">
        <f t="shared" ref="E41" si="7">ROUND((E35-E39-E40)/E20,-3)</f>
        <v>204000</v>
      </c>
      <c r="F41" s="785"/>
      <c r="G41" s="786"/>
      <c r="H41" s="785">
        <f>ROUND((H35-H39-H40)/H20,-3)</f>
        <v>3642000</v>
      </c>
      <c r="I41" s="785">
        <f>ROUND((I35-I39-I40)/I20,-3)</f>
        <v>3520000</v>
      </c>
      <c r="J41" s="785">
        <f>ROUND((J35-J39-J40)/J20,-3)</f>
        <v>2338000</v>
      </c>
      <c r="K41" s="785">
        <f>ROUND((K35-K39-K40)/K20,-3)</f>
        <v>6094000</v>
      </c>
      <c r="L41" s="785">
        <f>ROUND((L35-L39-L40)/L20,-3)</f>
        <v>3494000</v>
      </c>
    </row>
    <row r="42" spans="1:12" ht="14.4">
      <c r="A42" s="735"/>
      <c r="B42" s="739"/>
      <c r="C42" s="882">
        <f>+C41*14</f>
        <v>2800000</v>
      </c>
      <c r="D42" s="881"/>
      <c r="E42" s="757"/>
      <c r="F42" s="751"/>
      <c r="G42" s="750"/>
      <c r="H42" s="751"/>
      <c r="I42" s="751"/>
      <c r="J42" s="751"/>
      <c r="K42" s="751"/>
      <c r="L42" s="751"/>
    </row>
    <row r="43" spans="1:12" ht="18" customHeight="1">
      <c r="A43" s="787" t="s">
        <v>1867</v>
      </c>
      <c r="B43" s="739"/>
      <c r="C43" s="883" t="s">
        <v>1954</v>
      </c>
      <c r="D43" s="790" t="s">
        <v>1943</v>
      </c>
      <c r="E43" s="790" t="s">
        <v>1944</v>
      </c>
      <c r="F43" s="791"/>
      <c r="G43" s="792"/>
      <c r="H43" s="793" t="s">
        <v>1871</v>
      </c>
      <c r="I43" s="794" t="s">
        <v>1872</v>
      </c>
      <c r="J43" s="794" t="s">
        <v>1873</v>
      </c>
      <c r="K43" s="793" t="s">
        <v>1874</v>
      </c>
      <c r="L43" s="793" t="s">
        <v>1875</v>
      </c>
    </row>
    <row r="44" spans="1:12" s="802" customFormat="1" ht="27.6" customHeight="1">
      <c r="A44" s="795" t="s">
        <v>504</v>
      </c>
      <c r="B44" s="796"/>
      <c r="C44" s="798" t="s">
        <v>1955</v>
      </c>
      <c r="D44" s="798" t="s">
        <v>1945</v>
      </c>
      <c r="E44" s="798" t="s">
        <v>1946</v>
      </c>
      <c r="F44" s="793"/>
      <c r="G44" s="799"/>
      <c r="H44" s="800" t="s">
        <v>1878</v>
      </c>
      <c r="I44" s="800" t="s">
        <v>1879</v>
      </c>
      <c r="J44" s="800" t="s">
        <v>1880</v>
      </c>
      <c r="K44" s="801" t="s">
        <v>1881</v>
      </c>
      <c r="L44" s="801" t="s">
        <v>1882</v>
      </c>
    </row>
    <row r="45" spans="1:12" ht="13.8">
      <c r="A45" s="787" t="s">
        <v>1883</v>
      </c>
      <c r="B45" s="739"/>
      <c r="C45" s="884" t="s">
        <v>1886</v>
      </c>
      <c r="D45" s="803" t="s">
        <v>1886</v>
      </c>
      <c r="E45" s="803" t="s">
        <v>1886</v>
      </c>
      <c r="F45" s="804"/>
      <c r="G45" s="805"/>
      <c r="H45" s="791" t="s">
        <v>1887</v>
      </c>
      <c r="I45" s="794" t="s">
        <v>1888</v>
      </c>
      <c r="J45" s="794" t="s">
        <v>1889</v>
      </c>
      <c r="K45" s="791" t="s">
        <v>1890</v>
      </c>
      <c r="L45" s="791" t="s">
        <v>1891</v>
      </c>
    </row>
    <row r="46" spans="1:12" ht="13.8">
      <c r="A46" s="787" t="s">
        <v>1892</v>
      </c>
      <c r="B46" s="739"/>
      <c r="C46" s="807" t="s">
        <v>1956</v>
      </c>
      <c r="D46" s="807" t="s">
        <v>1947</v>
      </c>
      <c r="E46" s="807" t="s">
        <v>1947</v>
      </c>
      <c r="F46" s="804"/>
      <c r="G46" s="808"/>
      <c r="H46" s="804" t="s">
        <v>1895</v>
      </c>
      <c r="I46" s="791" t="s">
        <v>1896</v>
      </c>
      <c r="J46" s="791" t="s">
        <v>1897</v>
      </c>
      <c r="K46" s="791" t="s">
        <v>1898</v>
      </c>
      <c r="L46" s="804" t="s">
        <v>1893</v>
      </c>
    </row>
    <row r="47" spans="1:12" ht="14.4">
      <c r="A47" s="787" t="s">
        <v>1899</v>
      </c>
      <c r="B47" s="791" t="s">
        <v>1900</v>
      </c>
      <c r="C47" s="809">
        <v>0</v>
      </c>
      <c r="D47" s="809">
        <v>0</v>
      </c>
      <c r="E47" s="809">
        <v>0</v>
      </c>
      <c r="F47" s="791"/>
      <c r="G47" s="805"/>
      <c r="H47" s="791" t="s">
        <v>1902</v>
      </c>
      <c r="I47" s="791" t="s">
        <v>1903</v>
      </c>
      <c r="J47" s="791" t="s">
        <v>1902</v>
      </c>
      <c r="K47" s="791" t="s">
        <v>1904</v>
      </c>
      <c r="L47" s="791" t="s">
        <v>1905</v>
      </c>
    </row>
    <row r="48" spans="1:12" ht="52.8">
      <c r="A48" s="787" t="s">
        <v>1836</v>
      </c>
      <c r="B48" s="791"/>
      <c r="C48" s="812" t="s">
        <v>1957</v>
      </c>
      <c r="D48" s="811"/>
      <c r="E48" s="812" t="s">
        <v>1948</v>
      </c>
      <c r="F48" s="791"/>
      <c r="G48" s="808"/>
      <c r="H48" s="808"/>
      <c r="J48" s="791"/>
    </row>
    <row r="49" spans="1:8" s="808" customFormat="1" ht="16.5" customHeight="1">
      <c r="C49" s="813"/>
      <c r="D49" s="813"/>
      <c r="E49" s="813"/>
      <c r="F49" s="813"/>
      <c r="G49" s="814"/>
      <c r="H49" s="726"/>
    </row>
    <row r="50" spans="1:8">
      <c r="A50" s="815" t="s">
        <v>1907</v>
      </c>
      <c r="B50" s="808"/>
      <c r="C50" s="816" t="e">
        <f>C20/B20</f>
        <v>#DIV/0!</v>
      </c>
      <c r="D50" s="816" t="e">
        <f>D20/B20</f>
        <v>#DIV/0!</v>
      </c>
      <c r="E50" s="816" t="e">
        <f>E20/B20</f>
        <v>#DIV/0!</v>
      </c>
      <c r="F50" s="816"/>
      <c r="G50" s="808"/>
      <c r="H50" s="770"/>
    </row>
    <row r="51" spans="1:8" s="770" customFormat="1">
      <c r="A51" s="817" t="s">
        <v>1908</v>
      </c>
      <c r="B51" s="817">
        <v>2</v>
      </c>
      <c r="C51" s="817">
        <v>3</v>
      </c>
      <c r="D51" s="817">
        <v>1</v>
      </c>
      <c r="E51" s="817">
        <v>1</v>
      </c>
      <c r="F51" s="817"/>
      <c r="G51" s="818"/>
      <c r="H51" s="819"/>
    </row>
    <row r="52" spans="1:8" s="819" customFormat="1">
      <c r="A52" s="817" t="s">
        <v>1909</v>
      </c>
      <c r="B52" s="820"/>
      <c r="C52" s="820">
        <v>0.15</v>
      </c>
      <c r="D52" s="820">
        <v>-0.05</v>
      </c>
      <c r="E52" s="820">
        <v>-0.05</v>
      </c>
      <c r="F52" s="820"/>
      <c r="G52" s="821"/>
      <c r="H52" s="770"/>
    </row>
    <row r="53" spans="1:8" s="770" customFormat="1">
      <c r="A53" s="764" t="s">
        <v>1910</v>
      </c>
      <c r="B53" s="764">
        <v>1</v>
      </c>
      <c r="C53" s="764">
        <v>1</v>
      </c>
      <c r="D53" s="764">
        <v>1</v>
      </c>
      <c r="E53" s="764">
        <v>1</v>
      </c>
      <c r="F53" s="764"/>
      <c r="G53" s="818"/>
      <c r="H53" s="819"/>
    </row>
    <row r="54" spans="1:8" s="819" customFormat="1">
      <c r="A54" s="817" t="s">
        <v>1909</v>
      </c>
      <c r="B54" s="820"/>
      <c r="C54" s="824">
        <v>9.9999999999999995E-7</v>
      </c>
      <c r="D54" s="824">
        <v>9.9999999999999995E-7</v>
      </c>
      <c r="E54" s="824">
        <v>9.9999999999999995E-7</v>
      </c>
      <c r="F54" s="820"/>
      <c r="G54" s="825"/>
      <c r="H54" s="770"/>
    </row>
    <row r="55" spans="1:8" s="770" customFormat="1">
      <c r="A55" s="817" t="s">
        <v>1911</v>
      </c>
      <c r="B55" s="817">
        <v>1</v>
      </c>
      <c r="C55" s="817">
        <v>1</v>
      </c>
      <c r="D55" s="817">
        <v>1</v>
      </c>
      <c r="E55" s="817">
        <v>1</v>
      </c>
      <c r="F55" s="817"/>
      <c r="G55" s="826"/>
      <c r="H55" s="827"/>
    </row>
    <row r="56" spans="1:8" s="819" customFormat="1">
      <c r="A56" s="817" t="s">
        <v>1909</v>
      </c>
      <c r="B56" s="820"/>
      <c r="C56" s="820">
        <v>0</v>
      </c>
      <c r="D56" s="820">
        <v>0</v>
      </c>
      <c r="E56" s="820">
        <v>0</v>
      </c>
      <c r="F56" s="820"/>
      <c r="G56" s="828"/>
      <c r="H56" s="770"/>
    </row>
    <row r="57" spans="1:8" s="770" customFormat="1">
      <c r="A57" s="829" t="s">
        <v>1949</v>
      </c>
      <c r="B57" s="817">
        <v>1</v>
      </c>
      <c r="C57" s="817">
        <v>1</v>
      </c>
      <c r="D57" s="817">
        <v>1</v>
      </c>
      <c r="E57" s="817">
        <v>2</v>
      </c>
      <c r="F57" s="817"/>
      <c r="G57" s="830"/>
      <c r="H57" s="819"/>
    </row>
    <row r="58" spans="1:8" s="819" customFormat="1">
      <c r="A58" s="817" t="s">
        <v>1909</v>
      </c>
      <c r="B58" s="820"/>
      <c r="C58" s="820">
        <v>0</v>
      </c>
      <c r="D58" s="820">
        <v>0</v>
      </c>
      <c r="E58" s="820">
        <v>0.3</v>
      </c>
      <c r="F58" s="820"/>
      <c r="G58" s="821"/>
      <c r="H58" s="770"/>
    </row>
    <row r="59" spans="1:8" s="770" customFormat="1">
      <c r="A59" s="829" t="s">
        <v>1913</v>
      </c>
      <c r="B59" s="817">
        <v>1</v>
      </c>
      <c r="C59" s="817">
        <v>1</v>
      </c>
      <c r="D59" s="817">
        <v>1</v>
      </c>
      <c r="E59" s="817">
        <v>1</v>
      </c>
      <c r="F59" s="817"/>
      <c r="G59" s="818"/>
      <c r="H59" s="819"/>
    </row>
    <row r="60" spans="1:8" s="819" customFormat="1">
      <c r="A60" s="817" t="s">
        <v>1909</v>
      </c>
      <c r="B60" s="820"/>
      <c r="C60" s="820">
        <v>0</v>
      </c>
      <c r="D60" s="820">
        <v>0</v>
      </c>
      <c r="E60" s="820">
        <v>0</v>
      </c>
      <c r="F60" s="820"/>
      <c r="H60" s="770"/>
    </row>
    <row r="61" spans="1:8" s="831" customFormat="1">
      <c r="A61" s="787" t="s">
        <v>1914</v>
      </c>
      <c r="B61" s="787">
        <v>2</v>
      </c>
      <c r="C61" s="787">
        <v>2</v>
      </c>
      <c r="D61" s="787">
        <v>1</v>
      </c>
      <c r="E61" s="787">
        <v>2</v>
      </c>
      <c r="F61" s="787"/>
    </row>
    <row r="62" spans="1:8" s="819" customFormat="1">
      <c r="A62" s="817" t="s">
        <v>1909</v>
      </c>
      <c r="B62" s="820"/>
      <c r="C62" s="820">
        <v>0</v>
      </c>
      <c r="D62" s="820">
        <v>-0.1</v>
      </c>
      <c r="E62" s="820">
        <v>0</v>
      </c>
      <c r="F62" s="820"/>
      <c r="H62" s="770"/>
    </row>
    <row r="63" spans="1:8" s="770" customFormat="1">
      <c r="A63" s="829" t="s">
        <v>1950</v>
      </c>
      <c r="B63" s="817">
        <v>1</v>
      </c>
      <c r="C63" s="817">
        <v>1</v>
      </c>
      <c r="D63" s="817">
        <v>1</v>
      </c>
      <c r="E63" s="817">
        <v>1</v>
      </c>
      <c r="F63" s="817"/>
      <c r="H63" s="819"/>
    </row>
    <row r="64" spans="1:8" s="819" customFormat="1">
      <c r="A64" s="817" t="s">
        <v>1909</v>
      </c>
      <c r="B64" s="820"/>
      <c r="C64" s="820">
        <v>0</v>
      </c>
      <c r="D64" s="820">
        <v>0</v>
      </c>
      <c r="E64" s="820">
        <v>0</v>
      </c>
      <c r="F64" s="820"/>
      <c r="H64" s="770"/>
    </row>
    <row r="65" spans="1:8" s="770" customFormat="1">
      <c r="A65" s="817" t="s">
        <v>1916</v>
      </c>
      <c r="B65" s="817"/>
      <c r="C65" s="820">
        <f>C52+C54+C56+C58+C64+C60+C62</f>
        <v>0.150001</v>
      </c>
      <c r="D65" s="820">
        <f>D52+D54+D56+D58+D64+D60+D62</f>
        <v>-0.14999899999999999</v>
      </c>
      <c r="E65" s="820">
        <f>E52+E54+E56+E58+E64+E60+E62</f>
        <v>0.25000099999999997</v>
      </c>
      <c r="F65" s="820"/>
      <c r="H65" s="819"/>
    </row>
    <row r="66" spans="1:8" s="819" customFormat="1">
      <c r="A66" s="817" t="s">
        <v>1917</v>
      </c>
      <c r="B66" s="817"/>
      <c r="C66" s="832">
        <f>+ABS(C52)+ABS(C54)+ABS(C56)+ABS(C58)+ABS(C60)+ABS(C62)+ABS(C64)</f>
        <v>0.150001</v>
      </c>
      <c r="D66" s="832">
        <f>+ABS(D52)+ABS(D54)+ABS(D56)+ABS(D58)+ABS(D60)+ABS(D62)+ABS(D64)</f>
        <v>0.150001</v>
      </c>
      <c r="E66" s="832">
        <f>+ABS(E52)+ABS(E54)+ABS(E56)+ABS(E58)+ABS(E60)+ABS(E62)+ABS(E64)</f>
        <v>0.35000100000000001</v>
      </c>
      <c r="F66" s="832"/>
      <c r="H66" s="726"/>
    </row>
    <row r="67" spans="1:8">
      <c r="A67" s="726" t="s">
        <v>1918</v>
      </c>
      <c r="B67" s="726">
        <f>SUM(C69:E69)</f>
        <v>2</v>
      </c>
      <c r="C67" s="726">
        <f>C69/$B$67</f>
        <v>0.3846151479300865</v>
      </c>
      <c r="D67" s="726">
        <f>D69/$B$67</f>
        <v>0.3846151479300865</v>
      </c>
      <c r="E67" s="726">
        <f>E69/$B$67</f>
        <v>0.23076970413982706</v>
      </c>
      <c r="F67" s="726">
        <f>F69/$B$67</f>
        <v>0</v>
      </c>
    </row>
    <row r="68" spans="1:8">
      <c r="A68" s="726" t="s">
        <v>1907</v>
      </c>
      <c r="B68" s="833">
        <f>SUM(C66:E66)</f>
        <v>0.650003</v>
      </c>
      <c r="C68" s="834">
        <f>C66/$B$68</f>
        <v>0.23076970413982703</v>
      </c>
      <c r="D68" s="726">
        <f>D66/$B$68</f>
        <v>0.23076970413982703</v>
      </c>
      <c r="E68" s="726">
        <f>E66/$B$68</f>
        <v>0.53846059172034588</v>
      </c>
      <c r="F68" s="726">
        <f>F66/$B$68</f>
        <v>0</v>
      </c>
    </row>
    <row r="69" spans="1:8">
      <c r="A69" s="726" t="s">
        <v>1919</v>
      </c>
      <c r="C69" s="726">
        <f>IF(C68&lt;&gt;0,1-C68,0)</f>
        <v>0.769230295860173</v>
      </c>
      <c r="D69" s="726">
        <f>IF(D68&lt;&gt;0,1-D68,0)</f>
        <v>0.769230295860173</v>
      </c>
      <c r="E69" s="726">
        <f>IF(E68&lt;&gt;0,1-E68,0)</f>
        <v>0.46153940827965412</v>
      </c>
      <c r="F69" s="726">
        <f>IF(F68&lt;&gt;0,1-F68,0)</f>
        <v>0</v>
      </c>
    </row>
    <row r="70" spans="1:8" ht="17.25" customHeight="1"/>
    <row r="71" spans="1:8">
      <c r="A71" s="727" t="s">
        <v>1920</v>
      </c>
      <c r="C71" s="835">
        <f>(1+C65)*C41</f>
        <v>230000.2</v>
      </c>
      <c r="D71" s="835">
        <f>(1+D65)*D41</f>
        <v>242250.285</v>
      </c>
      <c r="E71" s="835">
        <f>(1+E65)*E41</f>
        <v>255000.20399999997</v>
      </c>
      <c r="F71" s="835">
        <f>(1+F65)*F41</f>
        <v>0</v>
      </c>
      <c r="G71" s="835"/>
    </row>
    <row r="72" spans="1:8" ht="12" customHeight="1">
      <c r="C72" s="835">
        <f>14*C71</f>
        <v>3220002.8000000003</v>
      </c>
    </row>
    <row r="73" spans="1:8" ht="12.75" hidden="1" customHeight="1">
      <c r="A73" s="726" t="s">
        <v>1921</v>
      </c>
      <c r="C73" s="726">
        <f>$C$80/C71</f>
        <v>0.78971535741416776</v>
      </c>
      <c r="D73" s="726">
        <f>$C$80/D71</f>
        <v>0.74978112058084923</v>
      </c>
    </row>
    <row r="74" spans="1:8">
      <c r="A74" s="726" t="s">
        <v>1922</v>
      </c>
      <c r="C74" s="726">
        <f>$C$82/C71</f>
        <v>1.0455687072489745</v>
      </c>
      <c r="D74" s="726">
        <f>$C$82/D71</f>
        <v>0.99269650717234703</v>
      </c>
      <c r="E74" s="726">
        <f>$C$82/E71</f>
        <v>0.94306203684843193</v>
      </c>
      <c r="F74" s="726" t="e">
        <f>$C$82/F71</f>
        <v>#DIV/0!</v>
      </c>
    </row>
    <row r="75" spans="1:8" ht="12.75" hidden="1" customHeight="1">
      <c r="A75" s="726" t="s">
        <v>1923</v>
      </c>
      <c r="C75" s="726">
        <f>$C$84/C71</f>
        <v>1.0455687072489745</v>
      </c>
      <c r="D75" s="726">
        <f>$C$84/D71</f>
        <v>0.99269650717234703</v>
      </c>
      <c r="E75" s="726">
        <f>$C$84/E71</f>
        <v>0.94306203684843193</v>
      </c>
      <c r="F75" s="726" t="e">
        <f>$C$84/F71</f>
        <v>#DIV/0!</v>
      </c>
    </row>
    <row r="76" spans="1:8" ht="12.75" hidden="1" customHeight="1">
      <c r="A76" s="726" t="s">
        <v>1924</v>
      </c>
      <c r="C76" s="726">
        <f>$C$86/C71</f>
        <v>1.0455687072489745</v>
      </c>
      <c r="D76" s="726">
        <f>$C$86/D71</f>
        <v>0.99269650717234703</v>
      </c>
      <c r="E76" s="726">
        <f>$C$86/E71</f>
        <v>0.94306203684843193</v>
      </c>
      <c r="F76" s="726" t="e">
        <f>$C$86/F71</f>
        <v>#DIV/0!</v>
      </c>
    </row>
    <row r="77" spans="1:8" ht="12.75" customHeight="1"/>
    <row r="78" spans="1:8">
      <c r="A78" s="836" t="s">
        <v>1925</v>
      </c>
      <c r="C78" s="837">
        <f>1-C74</f>
        <v>-4.5568707248974549E-2</v>
      </c>
      <c r="D78" s="837">
        <f>1-D74</f>
        <v>7.3034928276529687E-3</v>
      </c>
      <c r="E78" s="837">
        <f>1-E74</f>
        <v>5.6937963151568072E-2</v>
      </c>
      <c r="F78" s="837" t="e">
        <f>1-F74</f>
        <v>#DIV/0!</v>
      </c>
    </row>
    <row r="79" spans="1:8" hidden="1"/>
    <row r="80" spans="1:8" ht="12.75" hidden="1" customHeight="1">
      <c r="A80" s="727" t="s">
        <v>1926</v>
      </c>
      <c r="C80" s="835">
        <f>C71*C67+D71*D67</f>
        <v>181634.69014833009</v>
      </c>
      <c r="D80" s="838">
        <f>ROUND((C80),-3)</f>
        <v>182000</v>
      </c>
    </row>
    <row r="81" spans="1:9" hidden="1">
      <c r="A81" s="727"/>
      <c r="C81" s="835"/>
    </row>
    <row r="82" spans="1:9" ht="14.4">
      <c r="A82" s="727" t="s">
        <v>1927</v>
      </c>
      <c r="C82" s="838">
        <f>C71*C67+D71*D67+E71*E67</f>
        <v>240481.01178100563</v>
      </c>
      <c r="D82" s="839">
        <f>ROUND((C82),-3)</f>
        <v>240000</v>
      </c>
      <c r="E82" s="840"/>
      <c r="F82" s="840"/>
      <c r="I82" s="836"/>
    </row>
    <row r="83" spans="1:9" ht="14.4" hidden="1">
      <c r="A83" s="727"/>
      <c r="C83" s="838"/>
      <c r="E83" s="841"/>
    </row>
    <row r="84" spans="1:9" ht="12.75" hidden="1" customHeight="1">
      <c r="A84" s="727" t="s">
        <v>1928</v>
      </c>
      <c r="C84" s="838">
        <f>C71*C67+D71*D67+E71*E67+F71*F67</f>
        <v>240481.01178100563</v>
      </c>
      <c r="D84" s="839">
        <f>ROUND((C84),-3)</f>
        <v>240000</v>
      </c>
    </row>
    <row r="85" spans="1:9" ht="12.75" hidden="1" customHeight="1">
      <c r="A85" s="727"/>
      <c r="C85" s="838"/>
    </row>
    <row r="86" spans="1:9" ht="12.75" hidden="1" customHeight="1">
      <c r="A86" s="727" t="s">
        <v>1929</v>
      </c>
      <c r="C86" s="838">
        <f>C71*C67+D71*D67+E71*E67+F71*F67+G36*G32</f>
        <v>240481.01178100563</v>
      </c>
      <c r="D86" s="839">
        <f>ROUND((C86),-3)</f>
        <v>240000</v>
      </c>
    </row>
    <row r="87" spans="1:9" ht="12.75" customHeight="1">
      <c r="A87" s="727"/>
      <c r="C87" s="838"/>
      <c r="D87" s="839"/>
    </row>
    <row r="88" spans="1:9" ht="12.75" customHeight="1" thickBot="1">
      <c r="A88" s="727" t="s">
        <v>1930</v>
      </c>
      <c r="B88" s="842"/>
      <c r="C88" s="843"/>
      <c r="D88" s="844">
        <f>D82*14</f>
        <v>3360000</v>
      </c>
      <c r="E88" s="845"/>
      <c r="F88" s="845"/>
    </row>
    <row r="89" spans="1:9" ht="15" hidden="1" thickTop="1">
      <c r="A89" s="846"/>
      <c r="B89" s="846"/>
      <c r="C89" s="846"/>
      <c r="D89" s="846"/>
      <c r="E89" s="847"/>
      <c r="F89" s="847"/>
      <c r="G89" s="726">
        <v>2015</v>
      </c>
      <c r="H89" s="848"/>
    </row>
    <row r="90" spans="1:9" ht="13.8" hidden="1" thickTop="1">
      <c r="A90" s="849"/>
      <c r="B90" s="849" t="s">
        <v>1931</v>
      </c>
      <c r="C90" s="850" t="s">
        <v>1932</v>
      </c>
      <c r="D90" s="851" t="s">
        <v>1933</v>
      </c>
      <c r="E90" s="852" t="s">
        <v>1934</v>
      </c>
      <c r="F90" s="853" t="s">
        <v>1935</v>
      </c>
      <c r="G90" s="726">
        <v>1980</v>
      </c>
      <c r="H90" s="854"/>
      <c r="I90" s="855"/>
    </row>
    <row r="91" spans="1:9" ht="13.8" hidden="1" thickTop="1">
      <c r="A91" s="856" t="s">
        <v>1936</v>
      </c>
      <c r="B91" s="857">
        <f>B20</f>
        <v>0</v>
      </c>
      <c r="C91" s="857">
        <f>+D82</f>
        <v>240000</v>
      </c>
      <c r="D91" s="858">
        <f>C91*B91</f>
        <v>0</v>
      </c>
      <c r="E91" s="858">
        <f>D91</f>
        <v>0</v>
      </c>
      <c r="F91" s="859">
        <f>+E91*0.7</f>
        <v>0</v>
      </c>
      <c r="G91" s="726">
        <f>+G89-G90</f>
        <v>35</v>
      </c>
      <c r="H91" s="854"/>
      <c r="I91" s="855"/>
    </row>
    <row r="92" spans="1:9" ht="13.8" hidden="1" thickTop="1">
      <c r="A92" s="856" t="s">
        <v>1937</v>
      </c>
      <c r="B92" s="860">
        <f>B28</f>
        <v>0</v>
      </c>
      <c r="C92" s="857">
        <f>+'[20]Kertas Kerja BTB'!E36</f>
        <v>3000000</v>
      </c>
      <c r="D92" s="858">
        <f>C92*B92</f>
        <v>0</v>
      </c>
      <c r="E92" s="858">
        <f>+D92*0.85</f>
        <v>0</v>
      </c>
      <c r="F92" s="859">
        <f>+E92*0.7</f>
        <v>0</v>
      </c>
      <c r="G92" s="726">
        <f>+G91*2.5</f>
        <v>87.5</v>
      </c>
      <c r="H92" s="861"/>
    </row>
    <row r="93" spans="1:9" ht="15" hidden="1" thickTop="1">
      <c r="A93" s="862" t="s">
        <v>1938</v>
      </c>
      <c r="B93" s="857"/>
      <c r="C93" s="857"/>
      <c r="D93" s="863">
        <f>SUM(D91:D92)</f>
        <v>0</v>
      </c>
      <c r="E93" s="863">
        <f>SUM(E91:E92)</f>
        <v>0</v>
      </c>
      <c r="F93" s="864">
        <f>SUM(F91:F92)</f>
        <v>0</v>
      </c>
      <c r="G93" s="865">
        <f>100-G92</f>
        <v>12.5</v>
      </c>
    </row>
    <row r="94" spans="1:9" ht="14.4" hidden="1" thickTop="1" thickBot="1">
      <c r="A94" s="842"/>
      <c r="B94" s="842"/>
      <c r="C94" s="842"/>
      <c r="D94" s="842"/>
      <c r="E94" s="842"/>
      <c r="F94" s="842"/>
      <c r="G94" s="726">
        <v>62.5</v>
      </c>
    </row>
    <row r="95" spans="1:9" ht="13.8" hidden="1" thickTop="1">
      <c r="A95" s="846"/>
      <c r="B95" s="846"/>
      <c r="C95" s="846"/>
      <c r="D95" s="846"/>
      <c r="E95" s="846"/>
      <c r="F95" s="846"/>
      <c r="G95" s="726">
        <f>+G93+G94</f>
        <v>75</v>
      </c>
    </row>
    <row r="96" spans="1:9" ht="13.8" thickTop="1"/>
    <row r="98" spans="3:6" ht="14.4">
      <c r="D98" s="840"/>
    </row>
    <row r="99" spans="3:6" ht="14.4">
      <c r="D99" s="840"/>
    </row>
    <row r="103" spans="3:6">
      <c r="F103" s="835"/>
    </row>
    <row r="104" spans="3:6">
      <c r="D104" s="836" t="s">
        <v>1939</v>
      </c>
      <c r="F104" s="835"/>
    </row>
    <row r="105" spans="3:6">
      <c r="C105" s="726">
        <v>15000000</v>
      </c>
      <c r="D105" s="726">
        <f>+C105/C106*100</f>
        <v>5.3571428571428568</v>
      </c>
    </row>
    <row r="106" spans="3:6">
      <c r="C106" s="726">
        <v>280000000</v>
      </c>
    </row>
  </sheetData>
  <mergeCells count="22">
    <mergeCell ref="F13:F14"/>
    <mergeCell ref="H13:H14"/>
    <mergeCell ref="I13:I14"/>
    <mergeCell ref="J13:J14"/>
    <mergeCell ref="K13:K14"/>
    <mergeCell ref="L13:L14"/>
    <mergeCell ref="G6:G11"/>
    <mergeCell ref="H8:H12"/>
    <mergeCell ref="I8:I12"/>
    <mergeCell ref="K8:K12"/>
    <mergeCell ref="L8:L12"/>
    <mergeCell ref="A13:A14"/>
    <mergeCell ref="B13:B14"/>
    <mergeCell ref="C13:C14"/>
    <mergeCell ref="D13:D14"/>
    <mergeCell ref="E13:E14"/>
    <mergeCell ref="F6:F11"/>
    <mergeCell ref="A6:A11"/>
    <mergeCell ref="B6:B11"/>
    <mergeCell ref="C6:C11"/>
    <mergeCell ref="D6:D11"/>
    <mergeCell ref="E6:E11"/>
  </mergeCells>
  <printOptions horizontalCentered="1"/>
  <pageMargins left="0.39370078740157483" right="0.19685039370078741" top="0.39370078740157483" bottom="0.27559055118110237" header="0" footer="0"/>
  <pageSetup paperSize="9" scale="7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L106"/>
  <sheetViews>
    <sheetView view="pageBreakPreview" topLeftCell="A68" zoomScaleNormal="85" zoomScaleSheetLayoutView="100" workbookViewId="0">
      <selection activeCell="C53" sqref="C53"/>
    </sheetView>
  </sheetViews>
  <sheetFormatPr defaultRowHeight="13.2"/>
  <cols>
    <col min="1" max="1" width="32.6640625" style="726" customWidth="1"/>
    <col min="2" max="2" width="20.33203125" style="726" customWidth="1"/>
    <col min="3" max="3" width="19.5546875" style="726" customWidth="1"/>
    <col min="4" max="4" width="19.88671875" style="726" customWidth="1"/>
    <col min="5" max="5" width="19.33203125" style="726" customWidth="1"/>
    <col min="6" max="6" width="20.6640625" style="726" customWidth="1"/>
    <col min="7" max="7" width="14.33203125" style="726" customWidth="1"/>
    <col min="8" max="8" width="17.44140625" style="726" customWidth="1"/>
    <col min="9" max="9" width="19" style="726" customWidth="1"/>
    <col min="10" max="11" width="18" style="726" customWidth="1"/>
    <col min="12" max="12" width="19.109375" style="726" customWidth="1"/>
    <col min="13" max="13" width="12" style="726" bestFit="1" customWidth="1"/>
    <col min="14" max="16384" width="8.88671875" style="726"/>
  </cols>
  <sheetData>
    <row r="1" spans="1:12">
      <c r="A1" s="724"/>
      <c r="B1" s="725"/>
      <c r="C1" s="725"/>
      <c r="D1" s="725"/>
      <c r="E1" s="725"/>
      <c r="F1" s="725"/>
      <c r="G1" s="725"/>
    </row>
    <row r="2" spans="1:12">
      <c r="A2" s="725"/>
      <c r="B2" s="725"/>
      <c r="C2" s="725"/>
      <c r="D2" s="725"/>
      <c r="E2" s="725"/>
      <c r="F2" s="725"/>
      <c r="G2" s="725"/>
    </row>
    <row r="3" spans="1:12">
      <c r="A3" s="725"/>
      <c r="B3" s="725"/>
      <c r="C3" s="725"/>
      <c r="D3" s="725"/>
      <c r="E3" s="725"/>
      <c r="F3" s="725"/>
    </row>
    <row r="4" spans="1:12">
      <c r="A4" s="725"/>
      <c r="B4" s="725"/>
      <c r="C4" s="725"/>
      <c r="D4" s="725"/>
      <c r="E4" s="725"/>
      <c r="F4" s="725"/>
      <c r="G4" s="725"/>
    </row>
    <row r="5" spans="1:12" ht="13.8" thickBot="1"/>
    <row r="6" spans="1:12" ht="13.8" thickTop="1">
      <c r="A6" s="904" t="s">
        <v>1951</v>
      </c>
      <c r="B6" s="889"/>
      <c r="C6" s="889"/>
      <c r="D6" s="889"/>
      <c r="E6" s="892"/>
      <c r="F6" s="887"/>
      <c r="G6" s="887"/>
      <c r="H6" s="727" t="s">
        <v>1835</v>
      </c>
      <c r="I6" s="727"/>
    </row>
    <row r="7" spans="1:12" ht="13.8" thickBot="1">
      <c r="A7" s="888"/>
      <c r="B7" s="890"/>
      <c r="C7" s="890"/>
      <c r="D7" s="890"/>
      <c r="E7" s="893"/>
      <c r="F7" s="887"/>
      <c r="G7" s="887"/>
      <c r="I7" s="728"/>
    </row>
    <row r="8" spans="1:12">
      <c r="A8" s="888"/>
      <c r="B8" s="890"/>
      <c r="C8" s="890"/>
      <c r="D8" s="890"/>
      <c r="E8" s="893"/>
      <c r="F8" s="887"/>
      <c r="G8" s="887"/>
      <c r="H8" s="897"/>
      <c r="I8" s="900"/>
      <c r="J8" s="729"/>
      <c r="K8" s="897"/>
      <c r="L8" s="897"/>
    </row>
    <row r="9" spans="1:12">
      <c r="A9" s="888"/>
      <c r="B9" s="890"/>
      <c r="C9" s="890"/>
      <c r="D9" s="890"/>
      <c r="E9" s="893"/>
      <c r="F9" s="887"/>
      <c r="G9" s="887"/>
      <c r="H9" s="898"/>
      <c r="I9" s="901"/>
      <c r="J9" s="730"/>
      <c r="K9" s="898"/>
      <c r="L9" s="898"/>
    </row>
    <row r="10" spans="1:12">
      <c r="A10" s="888"/>
      <c r="B10" s="890"/>
      <c r="C10" s="890"/>
      <c r="D10" s="890"/>
      <c r="E10" s="893"/>
      <c r="F10" s="887"/>
      <c r="G10" s="887"/>
      <c r="H10" s="898"/>
      <c r="I10" s="901"/>
      <c r="J10" s="730"/>
      <c r="K10" s="898"/>
      <c r="L10" s="898"/>
    </row>
    <row r="11" spans="1:12" ht="13.8" thickBot="1">
      <c r="A11" s="888"/>
      <c r="B11" s="891"/>
      <c r="C11" s="891"/>
      <c r="D11" s="891"/>
      <c r="E11" s="894"/>
      <c r="F11" s="887"/>
      <c r="G11" s="887"/>
      <c r="H11" s="898"/>
      <c r="I11" s="901"/>
      <c r="J11" s="730"/>
      <c r="K11" s="898"/>
      <c r="L11" s="898"/>
    </row>
    <row r="12" spans="1:12" ht="31.8" customHeight="1" thickTop="1" thickBot="1">
      <c r="H12" s="899"/>
      <c r="I12" s="902"/>
      <c r="J12" s="731"/>
      <c r="K12" s="899"/>
      <c r="L12" s="899"/>
    </row>
    <row r="13" spans="1:12">
      <c r="A13" s="895" t="s">
        <v>1836</v>
      </c>
      <c r="B13" s="895" t="s">
        <v>1837</v>
      </c>
      <c r="C13" s="895" t="s">
        <v>1838</v>
      </c>
      <c r="D13" s="895" t="s">
        <v>1839</v>
      </c>
      <c r="E13" s="895" t="s">
        <v>1840</v>
      </c>
      <c r="F13" s="903" t="s">
        <v>1841</v>
      </c>
      <c r="G13" s="732"/>
      <c r="H13" s="896" t="s">
        <v>1838</v>
      </c>
      <c r="I13" s="896" t="s">
        <v>1839</v>
      </c>
      <c r="J13" s="896" t="s">
        <v>1840</v>
      </c>
      <c r="K13" s="896" t="s">
        <v>1838</v>
      </c>
      <c r="L13" s="896" t="s">
        <v>1838</v>
      </c>
    </row>
    <row r="14" spans="1:12">
      <c r="A14" s="895"/>
      <c r="B14" s="895"/>
      <c r="C14" s="895"/>
      <c r="D14" s="895"/>
      <c r="E14" s="895"/>
      <c r="F14" s="903"/>
      <c r="G14" s="733"/>
      <c r="H14" s="895"/>
      <c r="I14" s="895"/>
      <c r="J14" s="895"/>
      <c r="K14" s="895"/>
      <c r="L14" s="895"/>
    </row>
    <row r="15" spans="1:12">
      <c r="A15" s="734" t="s">
        <v>1842</v>
      </c>
      <c r="B15" s="735"/>
      <c r="C15" s="735"/>
      <c r="D15" s="735"/>
      <c r="E15" s="735"/>
      <c r="F15" s="736"/>
      <c r="H15" s="737"/>
      <c r="I15" s="737"/>
      <c r="J15" s="737"/>
      <c r="K15" s="737"/>
      <c r="L15" s="737"/>
    </row>
    <row r="16" spans="1:12">
      <c r="A16" s="738" t="s">
        <v>1843</v>
      </c>
      <c r="B16" s="739"/>
      <c r="C16" s="742" t="s">
        <v>1952</v>
      </c>
      <c r="D16" s="742" t="s">
        <v>1845</v>
      </c>
      <c r="E16" s="742" t="s">
        <v>1845</v>
      </c>
      <c r="F16" s="737"/>
      <c r="H16" s="743" t="s">
        <v>1844</v>
      </c>
      <c r="I16" s="737" t="s">
        <v>1844</v>
      </c>
      <c r="J16" s="737" t="s">
        <v>1844</v>
      </c>
      <c r="K16" s="744" t="s">
        <v>1845</v>
      </c>
      <c r="L16" s="737" t="s">
        <v>1844</v>
      </c>
    </row>
    <row r="17" spans="1:12">
      <c r="A17" s="734"/>
      <c r="B17" s="739"/>
      <c r="C17" s="739"/>
      <c r="D17" s="739"/>
      <c r="E17" s="739"/>
      <c r="F17" s="739"/>
      <c r="H17" s="739"/>
      <c r="I17" s="739"/>
      <c r="J17" s="739"/>
      <c r="K17" s="739"/>
      <c r="L17" s="739"/>
    </row>
    <row r="18" spans="1:12">
      <c r="A18" s="738" t="s">
        <v>1846</v>
      </c>
      <c r="B18" s="737" t="s">
        <v>1847</v>
      </c>
      <c r="C18" s="749" t="s">
        <v>1953</v>
      </c>
      <c r="D18" s="749" t="s">
        <v>1941</v>
      </c>
      <c r="E18" s="749" t="s">
        <v>1941</v>
      </c>
      <c r="F18" s="737"/>
      <c r="G18" s="750"/>
      <c r="H18" s="737" t="s">
        <v>1851</v>
      </c>
      <c r="I18" s="737" t="s">
        <v>1847</v>
      </c>
      <c r="J18" s="737" t="s">
        <v>1851</v>
      </c>
      <c r="K18" s="737" t="s">
        <v>1851</v>
      </c>
      <c r="L18" s="737" t="s">
        <v>1851</v>
      </c>
    </row>
    <row r="19" spans="1:12">
      <c r="A19" s="734"/>
      <c r="B19" s="739"/>
      <c r="C19" s="739"/>
      <c r="D19" s="739"/>
      <c r="E19" s="739"/>
      <c r="F19" s="739"/>
      <c r="H19" s="739"/>
      <c r="I19" s="739"/>
      <c r="J19" s="739"/>
      <c r="K19" s="739"/>
      <c r="L19" s="739"/>
    </row>
    <row r="20" spans="1:12" ht="14.4">
      <c r="A20" s="735" t="s">
        <v>1852</v>
      </c>
      <c r="B20" s="751">
        <v>0</v>
      </c>
      <c r="C20" s="754">
        <v>5659</v>
      </c>
      <c r="D20" s="869">
        <v>17500</v>
      </c>
      <c r="E20" s="754">
        <f>58*14</f>
        <v>812</v>
      </c>
      <c r="F20" s="751"/>
      <c r="G20" s="755">
        <f>+C20-B20</f>
        <v>5659</v>
      </c>
      <c r="H20" s="751">
        <v>120</v>
      </c>
      <c r="I20" s="756">
        <v>200</v>
      </c>
      <c r="J20" s="751">
        <v>86</v>
      </c>
      <c r="K20" s="756">
        <v>96</v>
      </c>
      <c r="L20" s="751">
        <v>395</v>
      </c>
    </row>
    <row r="21" spans="1:12" ht="14.4">
      <c r="A21" s="735"/>
      <c r="B21" s="751"/>
      <c r="C21" s="757"/>
      <c r="D21" s="870"/>
      <c r="E21" s="757"/>
      <c r="F21" s="751"/>
      <c r="G21" s="733">
        <f>+G20*D82</f>
        <v>1154436000</v>
      </c>
      <c r="H21" s="751"/>
      <c r="I21" s="751"/>
      <c r="J21" s="751"/>
      <c r="K21" s="751"/>
      <c r="L21" s="751"/>
    </row>
    <row r="22" spans="1:12">
      <c r="A22" s="735" t="s">
        <v>1853</v>
      </c>
      <c r="B22" s="739" t="s">
        <v>1854</v>
      </c>
      <c r="C22" s="739" t="s">
        <v>1854</v>
      </c>
      <c r="D22" s="739" t="s">
        <v>1854</v>
      </c>
      <c r="E22" s="739" t="s">
        <v>1854</v>
      </c>
      <c r="F22" s="739"/>
      <c r="G22" s="750"/>
      <c r="H22" s="739" t="s">
        <v>1854</v>
      </c>
      <c r="I22" s="739" t="s">
        <v>1854</v>
      </c>
      <c r="J22" s="739" t="s">
        <v>1854</v>
      </c>
      <c r="K22" s="739" t="s">
        <v>1854</v>
      </c>
      <c r="L22" s="739" t="s">
        <v>1854</v>
      </c>
    </row>
    <row r="23" spans="1:12">
      <c r="A23" s="735"/>
      <c r="B23" s="739"/>
      <c r="C23" s="739"/>
      <c r="D23" s="739"/>
      <c r="E23" s="739"/>
      <c r="F23" s="739"/>
      <c r="G23" s="758"/>
      <c r="H23" s="739"/>
      <c r="I23" s="739"/>
      <c r="J23" s="739"/>
      <c r="K23" s="739"/>
      <c r="L23" s="739"/>
    </row>
    <row r="24" spans="1:12">
      <c r="A24" s="735" t="s">
        <v>1855</v>
      </c>
      <c r="B24" s="737" t="s">
        <v>1856</v>
      </c>
      <c r="C24" s="749" t="s">
        <v>1942</v>
      </c>
      <c r="D24" s="737" t="str">
        <f>D18</f>
        <v>Tanah Karang</v>
      </c>
      <c r="E24" s="737" t="s">
        <v>1942</v>
      </c>
      <c r="F24" s="737"/>
      <c r="G24" s="750"/>
      <c r="H24" s="737" t="s">
        <v>1856</v>
      </c>
      <c r="I24" s="737" t="s">
        <v>1856</v>
      </c>
      <c r="J24" s="737" t="s">
        <v>1856</v>
      </c>
      <c r="K24" s="737" t="s">
        <v>1856</v>
      </c>
      <c r="L24" s="737" t="s">
        <v>1856</v>
      </c>
    </row>
    <row r="25" spans="1:12">
      <c r="A25" s="735"/>
      <c r="B25" s="739"/>
      <c r="C25" s="739"/>
      <c r="D25" s="739"/>
      <c r="E25" s="739"/>
      <c r="F25" s="739"/>
      <c r="H25" s="739"/>
      <c r="I25" s="739"/>
      <c r="J25" s="739"/>
      <c r="K25" s="739"/>
      <c r="L25" s="739"/>
    </row>
    <row r="26" spans="1:12">
      <c r="A26" s="735" t="s">
        <v>531</v>
      </c>
      <c r="B26" s="737" t="s">
        <v>1857</v>
      </c>
      <c r="C26" s="749" t="s">
        <v>1857</v>
      </c>
      <c r="D26" s="749" t="s">
        <v>1026</v>
      </c>
      <c r="E26" s="749" t="s">
        <v>1857</v>
      </c>
      <c r="F26" s="737"/>
      <c r="G26" s="750"/>
      <c r="H26" s="737" t="s">
        <v>1026</v>
      </c>
      <c r="I26" s="737" t="s">
        <v>1026</v>
      </c>
      <c r="J26" s="737" t="s">
        <v>1026</v>
      </c>
      <c r="K26" s="737" t="s">
        <v>1026</v>
      </c>
      <c r="L26" s="737" t="s">
        <v>1026</v>
      </c>
    </row>
    <row r="27" spans="1:12">
      <c r="A27" s="735"/>
      <c r="B27" s="739"/>
      <c r="C27" s="739"/>
      <c r="D27" s="739"/>
      <c r="E27" s="739"/>
      <c r="F27" s="739"/>
      <c r="G27" s="759"/>
      <c r="H27" s="739"/>
      <c r="I27" s="739"/>
      <c r="J27" s="739"/>
      <c r="K27" s="739"/>
      <c r="L27" s="739"/>
    </row>
    <row r="28" spans="1:12" ht="14.4">
      <c r="A28" s="735" t="s">
        <v>1858</v>
      </c>
      <c r="B28" s="760">
        <v>0</v>
      </c>
      <c r="C28" s="757">
        <v>0</v>
      </c>
      <c r="D28" s="871">
        <v>0</v>
      </c>
      <c r="E28" s="757">
        <v>0</v>
      </c>
      <c r="F28" s="751"/>
      <c r="G28" s="755">
        <f>+C28-B28</f>
        <v>0</v>
      </c>
      <c r="H28" s="751">
        <v>110</v>
      </c>
      <c r="I28" s="751">
        <v>0</v>
      </c>
      <c r="J28" s="751">
        <v>96</v>
      </c>
      <c r="K28" s="751">
        <v>80</v>
      </c>
      <c r="L28" s="751">
        <v>60</v>
      </c>
    </row>
    <row r="29" spans="1:12" ht="14.4">
      <c r="A29" s="735"/>
      <c r="B29" s="739"/>
      <c r="C29" s="757"/>
      <c r="D29" s="870"/>
      <c r="E29" s="757"/>
      <c r="F29" s="751"/>
      <c r="G29" s="733">
        <f>+G28*C36*0.95</f>
        <v>0</v>
      </c>
      <c r="H29" s="751"/>
      <c r="I29" s="751"/>
      <c r="J29" s="751"/>
      <c r="K29" s="751"/>
      <c r="L29" s="751"/>
    </row>
    <row r="30" spans="1:12" ht="13.8">
      <c r="A30" s="735" t="s">
        <v>1859</v>
      </c>
      <c r="B30" s="739"/>
      <c r="C30" s="739"/>
      <c r="D30" s="739"/>
      <c r="E30" s="739"/>
      <c r="F30" s="739"/>
      <c r="G30" s="761"/>
      <c r="H30" s="739"/>
      <c r="I30" s="739"/>
      <c r="J30" s="739"/>
      <c r="K30" s="739"/>
      <c r="L30" s="739"/>
    </row>
    <row r="31" spans="1:12">
      <c r="A31" s="735"/>
      <c r="B31" s="739"/>
      <c r="C31" s="739"/>
      <c r="D31" s="739"/>
      <c r="E31" s="739"/>
      <c r="F31" s="739"/>
      <c r="G31" s="762"/>
      <c r="H31" s="739"/>
      <c r="I31" s="739"/>
      <c r="J31" s="739"/>
      <c r="K31" s="739"/>
      <c r="L31" s="739"/>
    </row>
    <row r="32" spans="1:12" ht="14.4">
      <c r="A32" s="735" t="s">
        <v>1845</v>
      </c>
      <c r="B32" s="739"/>
      <c r="C32" s="757">
        <f>2800000*C20/14</f>
        <v>1131800000</v>
      </c>
      <c r="D32" s="872">
        <f>300000*D20</f>
        <v>5250000000</v>
      </c>
      <c r="E32" s="757">
        <f>3000000*E20/14</f>
        <v>174000000</v>
      </c>
      <c r="F32" s="751"/>
      <c r="G32" s="763"/>
      <c r="H32" s="751">
        <v>900000000</v>
      </c>
      <c r="I32" s="751">
        <f>4400000*I20</f>
        <v>880000000</v>
      </c>
      <c r="J32" s="751">
        <v>530000000</v>
      </c>
      <c r="K32" s="751">
        <v>900000000</v>
      </c>
      <c r="L32" s="751">
        <v>1700000000</v>
      </c>
    </row>
    <row r="33" spans="1:12" ht="14.4">
      <c r="A33" s="735"/>
      <c r="B33" s="739"/>
      <c r="C33" s="757"/>
      <c r="D33" s="870"/>
      <c r="E33" s="757"/>
      <c r="F33" s="751"/>
      <c r="G33" s="750"/>
      <c r="H33" s="751"/>
      <c r="I33" s="751"/>
      <c r="J33" s="751"/>
      <c r="K33" s="751"/>
      <c r="L33" s="751"/>
    </row>
    <row r="34" spans="1:12" s="770" customFormat="1">
      <c r="A34" s="764" t="s">
        <v>1860</v>
      </c>
      <c r="B34" s="765"/>
      <c r="C34" s="768">
        <v>0</v>
      </c>
      <c r="D34" s="768">
        <v>0.05</v>
      </c>
      <c r="E34" s="768">
        <v>0.05</v>
      </c>
      <c r="F34" s="768"/>
      <c r="G34" s="769"/>
      <c r="H34" s="768">
        <v>0.05</v>
      </c>
      <c r="I34" s="768">
        <v>0.2</v>
      </c>
      <c r="J34" s="768">
        <v>0.05</v>
      </c>
      <c r="K34" s="768">
        <v>0.15</v>
      </c>
      <c r="L34" s="768">
        <v>0.1</v>
      </c>
    </row>
    <row r="35" spans="1:12">
      <c r="A35" s="735" t="s">
        <v>1861</v>
      </c>
      <c r="B35" s="771"/>
      <c r="C35" s="771">
        <f t="shared" ref="C35" si="0">(100%-C34)*C32</f>
        <v>1131800000</v>
      </c>
      <c r="D35" s="875">
        <f>(100%-D34)*D32</f>
        <v>4987500000</v>
      </c>
      <c r="E35" s="771">
        <f t="shared" ref="E35" si="1">(100%-E34)*E32</f>
        <v>165300000</v>
      </c>
      <c r="F35" s="771"/>
      <c r="G35" s="755">
        <f>+C35-G21-G29</f>
        <v>-22636000</v>
      </c>
      <c r="H35" s="771">
        <f>(100%-H34)*H32</f>
        <v>855000000</v>
      </c>
      <c r="I35" s="771">
        <f>(100%-I34)*I32</f>
        <v>704000000</v>
      </c>
      <c r="J35" s="771">
        <f>(100%-J34)*J32</f>
        <v>503500000</v>
      </c>
      <c r="K35" s="771">
        <f>(100%-K34)*K32</f>
        <v>765000000</v>
      </c>
      <c r="L35" s="771">
        <f>(100%-L34)*L32</f>
        <v>1530000000</v>
      </c>
    </row>
    <row r="36" spans="1:12" s="770" customFormat="1">
      <c r="A36" s="764" t="s">
        <v>1862</v>
      </c>
      <c r="B36" s="765"/>
      <c r="C36" s="776">
        <v>0</v>
      </c>
      <c r="D36" s="877">
        <v>0</v>
      </c>
      <c r="E36" s="776">
        <v>0</v>
      </c>
      <c r="F36" s="776"/>
      <c r="G36" s="777">
        <f>+B28*400000*0.85</f>
        <v>0</v>
      </c>
      <c r="H36" s="776">
        <v>4000000</v>
      </c>
      <c r="I36" s="776">
        <v>0</v>
      </c>
      <c r="J36" s="776">
        <v>3500000</v>
      </c>
      <c r="K36" s="776">
        <v>2500000</v>
      </c>
      <c r="L36" s="776">
        <v>2500000</v>
      </c>
    </row>
    <row r="37" spans="1:12" ht="14.4">
      <c r="A37" s="735" t="s">
        <v>1863</v>
      </c>
      <c r="B37" s="739"/>
      <c r="C37" s="757">
        <f t="shared" ref="C37" si="2">C36*C28</f>
        <v>0</v>
      </c>
      <c r="D37" s="878">
        <f>D36*D28</f>
        <v>0</v>
      </c>
      <c r="E37" s="757">
        <f t="shared" ref="E37" si="3">E36*E28</f>
        <v>0</v>
      </c>
      <c r="F37" s="751"/>
      <c r="G37" s="755">
        <f>+G35-G36</f>
        <v>-22636000</v>
      </c>
      <c r="H37" s="751">
        <f>H36*H28</f>
        <v>440000000</v>
      </c>
      <c r="I37" s="751">
        <f>I36*I28</f>
        <v>0</v>
      </c>
      <c r="J37" s="751">
        <f>J36*J28</f>
        <v>336000000</v>
      </c>
      <c r="K37" s="751">
        <f>K36*K28</f>
        <v>200000000</v>
      </c>
      <c r="L37" s="751">
        <f>L36*L28</f>
        <v>150000000</v>
      </c>
    </row>
    <row r="38" spans="1:12" s="770" customFormat="1" ht="14.4">
      <c r="A38" s="764" t="s">
        <v>1864</v>
      </c>
      <c r="B38" s="765"/>
      <c r="C38" s="780">
        <v>0</v>
      </c>
      <c r="D38" s="879">
        <v>0</v>
      </c>
      <c r="E38" s="780">
        <v>0</v>
      </c>
      <c r="F38" s="781"/>
      <c r="G38" s="782"/>
      <c r="H38" s="781">
        <v>0.05</v>
      </c>
      <c r="I38" s="781">
        <v>0</v>
      </c>
      <c r="J38" s="781">
        <v>0.1</v>
      </c>
      <c r="K38" s="781">
        <v>0.1</v>
      </c>
      <c r="L38" s="781">
        <v>0</v>
      </c>
    </row>
    <row r="39" spans="1:12" ht="14.4">
      <c r="A39" s="735" t="s">
        <v>1865</v>
      </c>
      <c r="B39" s="739"/>
      <c r="C39" s="757">
        <f t="shared" ref="C39" si="4">(100%-C38)*C37</f>
        <v>0</v>
      </c>
      <c r="D39" s="872">
        <f>(100%-D38)*D37</f>
        <v>0</v>
      </c>
      <c r="E39" s="757">
        <f t="shared" ref="E39" si="5">(100%-E38)*E37</f>
        <v>0</v>
      </c>
      <c r="F39" s="751"/>
      <c r="G39" s="755"/>
      <c r="H39" s="751">
        <f>(100%-H38)*H37</f>
        <v>418000000</v>
      </c>
      <c r="I39" s="751">
        <f>(100%-I38)*I37</f>
        <v>0</v>
      </c>
      <c r="J39" s="751">
        <f>(100%-J38)*J37</f>
        <v>302400000</v>
      </c>
      <c r="K39" s="751">
        <f>(100%-K38)*K37</f>
        <v>180000000</v>
      </c>
      <c r="L39" s="751">
        <f>(100%-L38)*L37</f>
        <v>150000000</v>
      </c>
    </row>
    <row r="40" spans="1:12">
      <c r="A40" s="735" t="s">
        <v>1859</v>
      </c>
      <c r="B40" s="739"/>
      <c r="C40" s="771">
        <v>0</v>
      </c>
      <c r="D40" s="771"/>
      <c r="E40" s="771">
        <v>0</v>
      </c>
      <c r="F40" s="771"/>
      <c r="G40" s="750"/>
      <c r="H40" s="771">
        <v>0</v>
      </c>
      <c r="I40" s="771">
        <v>0</v>
      </c>
      <c r="J40" s="771">
        <v>0</v>
      </c>
      <c r="K40" s="771">
        <v>0</v>
      </c>
      <c r="L40" s="771">
        <v>0</v>
      </c>
    </row>
    <row r="41" spans="1:12" s="770" customFormat="1" ht="13.5" customHeight="1">
      <c r="A41" s="764" t="s">
        <v>1866</v>
      </c>
      <c r="B41" s="765"/>
      <c r="C41" s="784">
        <f t="shared" ref="C41" si="6">ROUND((C35-C39-C40)/C20,-3)</f>
        <v>200000</v>
      </c>
      <c r="D41" s="880">
        <f>ROUND((D35-D39-D40)/D20,-3)</f>
        <v>285000</v>
      </c>
      <c r="E41" s="784">
        <f t="shared" ref="E41" si="7">ROUND((E35-E39-E40)/E20,-3)</f>
        <v>204000</v>
      </c>
      <c r="F41" s="785"/>
      <c r="G41" s="786"/>
      <c r="H41" s="785">
        <f>ROUND((H35-H39-H40)/H20,-3)</f>
        <v>3642000</v>
      </c>
      <c r="I41" s="785">
        <f>ROUND((I35-I39-I40)/I20,-3)</f>
        <v>3520000</v>
      </c>
      <c r="J41" s="785">
        <f>ROUND((J35-J39-J40)/J20,-3)</f>
        <v>2338000</v>
      </c>
      <c r="K41" s="785">
        <f>ROUND((K35-K39-K40)/K20,-3)</f>
        <v>6094000</v>
      </c>
      <c r="L41" s="785">
        <f>ROUND((L35-L39-L40)/L20,-3)</f>
        <v>3494000</v>
      </c>
    </row>
    <row r="42" spans="1:12" ht="14.4">
      <c r="A42" s="735"/>
      <c r="B42" s="739"/>
      <c r="C42" s="882">
        <f>+C41*14</f>
        <v>2800000</v>
      </c>
      <c r="D42" s="881"/>
      <c r="E42" s="757"/>
      <c r="F42" s="751"/>
      <c r="G42" s="750"/>
      <c r="H42" s="751"/>
      <c r="I42" s="751"/>
      <c r="J42" s="751"/>
      <c r="K42" s="751"/>
      <c r="L42" s="751"/>
    </row>
    <row r="43" spans="1:12" ht="18" customHeight="1">
      <c r="A43" s="787" t="s">
        <v>1867</v>
      </c>
      <c r="B43" s="739"/>
      <c r="C43" s="883" t="s">
        <v>1954</v>
      </c>
      <c r="D43" s="790" t="s">
        <v>1943</v>
      </c>
      <c r="E43" s="790" t="s">
        <v>1944</v>
      </c>
      <c r="F43" s="791"/>
      <c r="G43" s="792"/>
      <c r="H43" s="793" t="s">
        <v>1871</v>
      </c>
      <c r="I43" s="794" t="s">
        <v>1872</v>
      </c>
      <c r="J43" s="794" t="s">
        <v>1873</v>
      </c>
      <c r="K43" s="793" t="s">
        <v>1874</v>
      </c>
      <c r="L43" s="793" t="s">
        <v>1875</v>
      </c>
    </row>
    <row r="44" spans="1:12" s="802" customFormat="1" ht="27.6" customHeight="1">
      <c r="A44" s="795" t="s">
        <v>504</v>
      </c>
      <c r="B44" s="796"/>
      <c r="C44" s="798" t="s">
        <v>1955</v>
      </c>
      <c r="D44" s="798" t="s">
        <v>1945</v>
      </c>
      <c r="E44" s="798" t="s">
        <v>1946</v>
      </c>
      <c r="F44" s="793"/>
      <c r="G44" s="799"/>
      <c r="H44" s="800" t="s">
        <v>1878</v>
      </c>
      <c r="I44" s="800" t="s">
        <v>1879</v>
      </c>
      <c r="J44" s="800" t="s">
        <v>1880</v>
      </c>
      <c r="K44" s="801" t="s">
        <v>1881</v>
      </c>
      <c r="L44" s="801" t="s">
        <v>1882</v>
      </c>
    </row>
    <row r="45" spans="1:12" ht="13.8">
      <c r="A45" s="787" t="s">
        <v>1883</v>
      </c>
      <c r="B45" s="739"/>
      <c r="C45" s="884" t="s">
        <v>1886</v>
      </c>
      <c r="D45" s="803" t="s">
        <v>1886</v>
      </c>
      <c r="E45" s="803" t="s">
        <v>1886</v>
      </c>
      <c r="F45" s="804"/>
      <c r="G45" s="805"/>
      <c r="H45" s="791" t="s">
        <v>1887</v>
      </c>
      <c r="I45" s="794" t="s">
        <v>1888</v>
      </c>
      <c r="J45" s="794" t="s">
        <v>1889</v>
      </c>
      <c r="K45" s="791" t="s">
        <v>1890</v>
      </c>
      <c r="L45" s="791" t="s">
        <v>1891</v>
      </c>
    </row>
    <row r="46" spans="1:12" ht="13.8">
      <c r="A46" s="787" t="s">
        <v>1892</v>
      </c>
      <c r="B46" s="739"/>
      <c r="C46" s="807" t="s">
        <v>1956</v>
      </c>
      <c r="D46" s="807" t="s">
        <v>1947</v>
      </c>
      <c r="E46" s="807" t="s">
        <v>1947</v>
      </c>
      <c r="F46" s="804"/>
      <c r="G46" s="808"/>
      <c r="H46" s="804" t="s">
        <v>1895</v>
      </c>
      <c r="I46" s="791" t="s">
        <v>1896</v>
      </c>
      <c r="J46" s="791" t="s">
        <v>1897</v>
      </c>
      <c r="K46" s="791" t="s">
        <v>1898</v>
      </c>
      <c r="L46" s="804" t="s">
        <v>1893</v>
      </c>
    </row>
    <row r="47" spans="1:12" ht="14.4">
      <c r="A47" s="787" t="s">
        <v>1899</v>
      </c>
      <c r="B47" s="791" t="s">
        <v>1900</v>
      </c>
      <c r="C47" s="809">
        <v>0</v>
      </c>
      <c r="D47" s="809">
        <v>0</v>
      </c>
      <c r="E47" s="809">
        <v>0</v>
      </c>
      <c r="F47" s="791"/>
      <c r="G47" s="805"/>
      <c r="H47" s="791" t="s">
        <v>1902</v>
      </c>
      <c r="I47" s="791" t="s">
        <v>1903</v>
      </c>
      <c r="J47" s="791" t="s">
        <v>1902</v>
      </c>
      <c r="K47" s="791" t="s">
        <v>1904</v>
      </c>
      <c r="L47" s="791" t="s">
        <v>1905</v>
      </c>
    </row>
    <row r="48" spans="1:12" ht="52.8">
      <c r="A48" s="787" t="s">
        <v>1836</v>
      </c>
      <c r="B48" s="791"/>
      <c r="C48" s="812" t="s">
        <v>1957</v>
      </c>
      <c r="D48" s="811"/>
      <c r="E48" s="812" t="s">
        <v>1948</v>
      </c>
      <c r="F48" s="791"/>
      <c r="G48" s="808"/>
      <c r="H48" s="808"/>
      <c r="J48" s="791"/>
    </row>
    <row r="49" spans="1:8" s="808" customFormat="1" ht="16.5" customHeight="1">
      <c r="C49" s="813"/>
      <c r="D49" s="813"/>
      <c r="E49" s="813"/>
      <c r="F49" s="813"/>
      <c r="G49" s="814"/>
      <c r="H49" s="726"/>
    </row>
    <row r="50" spans="1:8">
      <c r="A50" s="815" t="s">
        <v>1907</v>
      </c>
      <c r="B50" s="808"/>
      <c r="C50" s="816" t="e">
        <f>C20/B20</f>
        <v>#DIV/0!</v>
      </c>
      <c r="D50" s="816" t="e">
        <f>D20/B20</f>
        <v>#DIV/0!</v>
      </c>
      <c r="E50" s="816" t="e">
        <f>E20/B20</f>
        <v>#DIV/0!</v>
      </c>
      <c r="F50" s="816"/>
      <c r="G50" s="808"/>
      <c r="H50" s="770"/>
    </row>
    <row r="51" spans="1:8" s="770" customFormat="1">
      <c r="A51" s="817" t="s">
        <v>1908</v>
      </c>
      <c r="B51" s="817">
        <v>2</v>
      </c>
      <c r="C51" s="817">
        <v>2</v>
      </c>
      <c r="D51" s="817">
        <v>1</v>
      </c>
      <c r="E51" s="817">
        <v>1</v>
      </c>
      <c r="F51" s="817"/>
      <c r="G51" s="818"/>
      <c r="H51" s="819"/>
    </row>
    <row r="52" spans="1:8" s="819" customFormat="1">
      <c r="A52" s="817" t="s">
        <v>1909</v>
      </c>
      <c r="B52" s="820"/>
      <c r="C52" s="820">
        <v>0</v>
      </c>
      <c r="D52" s="820">
        <v>-0.2</v>
      </c>
      <c r="E52" s="820">
        <v>-0.2</v>
      </c>
      <c r="F52" s="820"/>
      <c r="G52" s="821"/>
      <c r="H52" s="770"/>
    </row>
    <row r="53" spans="1:8" s="770" customFormat="1">
      <c r="A53" s="764" t="s">
        <v>1910</v>
      </c>
      <c r="B53" s="764">
        <v>1</v>
      </c>
      <c r="C53" s="764">
        <v>1</v>
      </c>
      <c r="D53" s="764">
        <v>1</v>
      </c>
      <c r="E53" s="764">
        <v>1</v>
      </c>
      <c r="F53" s="764"/>
      <c r="G53" s="818"/>
      <c r="H53" s="819"/>
    </row>
    <row r="54" spans="1:8" s="819" customFormat="1">
      <c r="A54" s="817" t="s">
        <v>1909</v>
      </c>
      <c r="B54" s="820"/>
      <c r="C54" s="824">
        <v>9.9999999999999995E-7</v>
      </c>
      <c r="D54" s="824">
        <v>9.9999999999999995E-7</v>
      </c>
      <c r="E54" s="824">
        <v>9.9999999999999995E-7</v>
      </c>
      <c r="F54" s="820"/>
      <c r="G54" s="825"/>
      <c r="H54" s="770"/>
    </row>
    <row r="55" spans="1:8" s="770" customFormat="1">
      <c r="A55" s="817" t="s">
        <v>1911</v>
      </c>
      <c r="B55" s="817">
        <v>1</v>
      </c>
      <c r="C55" s="817">
        <v>1</v>
      </c>
      <c r="D55" s="817">
        <v>1</v>
      </c>
      <c r="E55" s="817">
        <v>1</v>
      </c>
      <c r="F55" s="817"/>
      <c r="G55" s="826"/>
      <c r="H55" s="827"/>
    </row>
    <row r="56" spans="1:8" s="819" customFormat="1">
      <c r="A56" s="817" t="s">
        <v>1909</v>
      </c>
      <c r="B56" s="820"/>
      <c r="C56" s="820">
        <v>0</v>
      </c>
      <c r="D56" s="820">
        <v>0</v>
      </c>
      <c r="E56" s="820">
        <v>0</v>
      </c>
      <c r="F56" s="820"/>
      <c r="G56" s="828"/>
      <c r="H56" s="770"/>
    </row>
    <row r="57" spans="1:8" s="770" customFormat="1">
      <c r="A57" s="829" t="s">
        <v>1949</v>
      </c>
      <c r="B57" s="817">
        <v>1</v>
      </c>
      <c r="C57" s="817">
        <v>1</v>
      </c>
      <c r="D57" s="817">
        <v>1</v>
      </c>
      <c r="E57" s="817">
        <v>2</v>
      </c>
      <c r="F57" s="817"/>
      <c r="G57" s="830"/>
      <c r="H57" s="819"/>
    </row>
    <row r="58" spans="1:8" s="819" customFormat="1">
      <c r="A58" s="817" t="s">
        <v>1909</v>
      </c>
      <c r="B58" s="820"/>
      <c r="C58" s="820">
        <v>0</v>
      </c>
      <c r="D58" s="820">
        <v>0</v>
      </c>
      <c r="E58" s="820">
        <v>0.3</v>
      </c>
      <c r="F58" s="820"/>
      <c r="G58" s="821"/>
      <c r="H58" s="770"/>
    </row>
    <row r="59" spans="1:8" s="770" customFormat="1">
      <c r="A59" s="829" t="s">
        <v>1913</v>
      </c>
      <c r="B59" s="817">
        <v>1</v>
      </c>
      <c r="C59" s="817">
        <v>1</v>
      </c>
      <c r="D59" s="817">
        <v>1</v>
      </c>
      <c r="E59" s="817">
        <v>1</v>
      </c>
      <c r="F59" s="817"/>
      <c r="G59" s="818"/>
      <c r="H59" s="819"/>
    </row>
    <row r="60" spans="1:8" s="819" customFormat="1">
      <c r="A60" s="817" t="s">
        <v>1909</v>
      </c>
      <c r="B60" s="820"/>
      <c r="C60" s="820">
        <v>0</v>
      </c>
      <c r="D60" s="820">
        <v>0</v>
      </c>
      <c r="E60" s="820">
        <v>0</v>
      </c>
      <c r="F60" s="820"/>
      <c r="H60" s="770"/>
    </row>
    <row r="61" spans="1:8" s="831" customFormat="1">
      <c r="A61" s="787" t="s">
        <v>1914</v>
      </c>
      <c r="B61" s="787">
        <v>2</v>
      </c>
      <c r="C61" s="787">
        <v>2</v>
      </c>
      <c r="D61" s="787">
        <v>1</v>
      </c>
      <c r="E61" s="787">
        <v>2</v>
      </c>
      <c r="F61" s="787"/>
    </row>
    <row r="62" spans="1:8" s="819" customFormat="1">
      <c r="A62" s="817" t="s">
        <v>1909</v>
      </c>
      <c r="B62" s="820"/>
      <c r="C62" s="820">
        <v>0</v>
      </c>
      <c r="D62" s="820">
        <v>-0.1</v>
      </c>
      <c r="E62" s="820">
        <v>0</v>
      </c>
      <c r="F62" s="820"/>
      <c r="H62" s="770"/>
    </row>
    <row r="63" spans="1:8" s="770" customFormat="1">
      <c r="A63" s="829" t="s">
        <v>1950</v>
      </c>
      <c r="B63" s="817">
        <v>1</v>
      </c>
      <c r="C63" s="817">
        <v>1</v>
      </c>
      <c r="D63" s="817">
        <v>1</v>
      </c>
      <c r="E63" s="817">
        <v>1</v>
      </c>
      <c r="F63" s="817"/>
      <c r="H63" s="819"/>
    </row>
    <row r="64" spans="1:8" s="819" customFormat="1">
      <c r="A64" s="817" t="s">
        <v>1909</v>
      </c>
      <c r="B64" s="820"/>
      <c r="C64" s="820">
        <v>0</v>
      </c>
      <c r="D64" s="820">
        <v>0</v>
      </c>
      <c r="E64" s="820">
        <v>0</v>
      </c>
      <c r="F64" s="820"/>
      <c r="H64" s="770"/>
    </row>
    <row r="65" spans="1:8" s="770" customFormat="1">
      <c r="A65" s="817" t="s">
        <v>1916</v>
      </c>
      <c r="B65" s="817"/>
      <c r="C65" s="820">
        <f>C52+C54+C56+C58+C64+C60+C62</f>
        <v>9.9999999999999995E-7</v>
      </c>
      <c r="D65" s="820">
        <f>D52+D54+D56+D58+D64+D60+D62</f>
        <v>-0.29999900000000002</v>
      </c>
      <c r="E65" s="820">
        <f>E52+E54+E56+E58+E64+E60+E62</f>
        <v>0.10000099999999998</v>
      </c>
      <c r="F65" s="820"/>
      <c r="H65" s="819"/>
    </row>
    <row r="66" spans="1:8" s="819" customFormat="1">
      <c r="A66" s="817" t="s">
        <v>1917</v>
      </c>
      <c r="B66" s="817"/>
      <c r="C66" s="832">
        <f>+ABS(C52)+ABS(C54)+ABS(C56)+ABS(C58)+ABS(C60)+ABS(C62)+ABS(C64)</f>
        <v>9.9999999999999995E-7</v>
      </c>
      <c r="D66" s="832">
        <f>+ABS(D52)+ABS(D54)+ABS(D56)+ABS(D58)+ABS(D60)+ABS(D62)+ABS(D64)</f>
        <v>0.30000100000000002</v>
      </c>
      <c r="E66" s="832">
        <f>+ABS(E52)+ABS(E54)+ABS(E56)+ABS(E58)+ABS(E60)+ABS(E62)+ABS(E64)</f>
        <v>0.50000100000000003</v>
      </c>
      <c r="F66" s="832"/>
      <c r="H66" s="726"/>
    </row>
    <row r="67" spans="1:8">
      <c r="A67" s="726" t="s">
        <v>1918</v>
      </c>
      <c r="B67" s="726">
        <f>SUM(C69:E69)</f>
        <v>2</v>
      </c>
      <c r="C67" s="726">
        <f>C69/$B$67</f>
        <v>0.49999937500234376</v>
      </c>
      <c r="D67" s="726">
        <f>D69/$B$67</f>
        <v>0.31250007812470704</v>
      </c>
      <c r="E67" s="726">
        <f>E69/$B$67</f>
        <v>0.1875005468729492</v>
      </c>
      <c r="F67" s="726">
        <f>F69/$B$67</f>
        <v>0</v>
      </c>
    </row>
    <row r="68" spans="1:8">
      <c r="A68" s="726" t="s">
        <v>1907</v>
      </c>
      <c r="B68" s="833">
        <f>SUM(C66:E66)</f>
        <v>0.80000300000000002</v>
      </c>
      <c r="C68" s="834">
        <f>C66/$B$68</f>
        <v>1.249995312517578E-6</v>
      </c>
      <c r="D68" s="726">
        <f>D66/$B$68</f>
        <v>0.37499984375058593</v>
      </c>
      <c r="E68" s="726">
        <f>E66/$B$68</f>
        <v>0.62499890625410159</v>
      </c>
      <c r="F68" s="726">
        <f>F66/$B$68</f>
        <v>0</v>
      </c>
    </row>
    <row r="69" spans="1:8">
      <c r="A69" s="726" t="s">
        <v>1919</v>
      </c>
      <c r="C69" s="726">
        <f>IF(C68&lt;&gt;0,1-C68,0)</f>
        <v>0.99999875000468752</v>
      </c>
      <c r="D69" s="726">
        <f>IF(D68&lt;&gt;0,1-D68,0)</f>
        <v>0.62500015624941407</v>
      </c>
      <c r="E69" s="726">
        <f>IF(E68&lt;&gt;0,1-E68,0)</f>
        <v>0.37500109374589841</v>
      </c>
      <c r="F69" s="726">
        <f>IF(F68&lt;&gt;0,1-F68,0)</f>
        <v>0</v>
      </c>
    </row>
    <row r="70" spans="1:8" ht="17.25" customHeight="1"/>
    <row r="71" spans="1:8">
      <c r="A71" s="727" t="s">
        <v>1920</v>
      </c>
      <c r="C71" s="835">
        <f>(1+C65)*C41</f>
        <v>200000.19999999998</v>
      </c>
      <c r="D71" s="835">
        <f>(1+D65)*D41</f>
        <v>199500.285</v>
      </c>
      <c r="E71" s="835">
        <f>(1+E65)*E41</f>
        <v>224400.204</v>
      </c>
      <c r="F71" s="835">
        <f>(1+F65)*F41</f>
        <v>0</v>
      </c>
      <c r="G71" s="835"/>
    </row>
    <row r="72" spans="1:8" ht="12" customHeight="1">
      <c r="C72" s="835">
        <f>14*C71</f>
        <v>2800002.8</v>
      </c>
    </row>
    <row r="73" spans="1:8" ht="12.75" hidden="1" customHeight="1">
      <c r="A73" s="726" t="s">
        <v>1921</v>
      </c>
      <c r="C73" s="726">
        <f>$C$80/C71</f>
        <v>0.81171833652538894</v>
      </c>
      <c r="D73" s="726">
        <f>$C$80/D71</f>
        <v>0.81375236957052499</v>
      </c>
    </row>
    <row r="74" spans="1:8">
      <c r="A74" s="726" t="s">
        <v>1922</v>
      </c>
      <c r="C74" s="726">
        <f>$C$82/C71</f>
        <v>1.0220939309918011</v>
      </c>
      <c r="D74" s="726">
        <f>$C$82/D71</f>
        <v>1.0246551307791185</v>
      </c>
      <c r="E74" s="726">
        <f>$C$82/E71</f>
        <v>0.91095724056091509</v>
      </c>
      <c r="F74" s="726" t="e">
        <f>$C$82/F71</f>
        <v>#DIV/0!</v>
      </c>
    </row>
    <row r="75" spans="1:8" ht="12.75" hidden="1" customHeight="1">
      <c r="A75" s="726" t="s">
        <v>1923</v>
      </c>
      <c r="C75" s="726">
        <f>$C$84/C71</f>
        <v>1.0220939309918011</v>
      </c>
      <c r="D75" s="726">
        <f>$C$84/D71</f>
        <v>1.0246551307791185</v>
      </c>
      <c r="E75" s="726">
        <f>$C$84/E71</f>
        <v>0.91095724056091509</v>
      </c>
      <c r="F75" s="726" t="e">
        <f>$C$84/F71</f>
        <v>#DIV/0!</v>
      </c>
    </row>
    <row r="76" spans="1:8" ht="12.75" hidden="1" customHeight="1">
      <c r="A76" s="726" t="s">
        <v>1924</v>
      </c>
      <c r="C76" s="726">
        <f>$C$86/C71</f>
        <v>1.0220939309918011</v>
      </c>
      <c r="D76" s="726">
        <f>$C$86/D71</f>
        <v>1.0246551307791185</v>
      </c>
      <c r="E76" s="726">
        <f>$C$86/E71</f>
        <v>0.91095724056091509</v>
      </c>
      <c r="F76" s="726" t="e">
        <f>$C$86/F71</f>
        <v>#DIV/0!</v>
      </c>
    </row>
    <row r="77" spans="1:8" ht="12.75" customHeight="1"/>
    <row r="78" spans="1:8">
      <c r="A78" s="836" t="s">
        <v>1925</v>
      </c>
      <c r="C78" s="837">
        <f>1-C74</f>
        <v>-2.2093930991801125E-2</v>
      </c>
      <c r="D78" s="837">
        <f>1-D74</f>
        <v>-2.4655130779118517E-2</v>
      </c>
      <c r="E78" s="837">
        <f>1-E74</f>
        <v>8.9042759439084906E-2</v>
      </c>
      <c r="F78" s="837" t="e">
        <f>1-F74</f>
        <v>#DIV/0!</v>
      </c>
    </row>
    <row r="79" spans="1:8" hidden="1"/>
    <row r="80" spans="1:8" ht="12.75" hidden="1" customHeight="1">
      <c r="A80" s="727" t="s">
        <v>1926</v>
      </c>
      <c r="C80" s="835">
        <f>C71*C67+D71*D67</f>
        <v>162343.82964874507</v>
      </c>
      <c r="D80" s="838">
        <f>ROUND((C80),-3)</f>
        <v>162000</v>
      </c>
    </row>
    <row r="81" spans="1:9" hidden="1">
      <c r="A81" s="727"/>
      <c r="C81" s="835"/>
    </row>
    <row r="82" spans="1:9" ht="14.4">
      <c r="A82" s="727" t="s">
        <v>1927</v>
      </c>
      <c r="C82" s="838">
        <f>C71*C67+D71*D67+E71*E67</f>
        <v>204418.99061714642</v>
      </c>
      <c r="D82" s="839">
        <f>ROUND((C82),-3)</f>
        <v>204000</v>
      </c>
      <c r="E82" s="840"/>
      <c r="F82" s="840"/>
      <c r="I82" s="836"/>
    </row>
    <row r="83" spans="1:9" ht="14.4" hidden="1">
      <c r="A83" s="727"/>
      <c r="C83" s="838"/>
      <c r="E83" s="841"/>
    </row>
    <row r="84" spans="1:9" ht="12.75" hidden="1" customHeight="1">
      <c r="A84" s="727" t="s">
        <v>1928</v>
      </c>
      <c r="C84" s="838">
        <f>C71*C67+D71*D67+E71*E67+F71*F67</f>
        <v>204418.99061714642</v>
      </c>
      <c r="D84" s="839">
        <f>ROUND((C84),-3)</f>
        <v>204000</v>
      </c>
    </row>
    <row r="85" spans="1:9" ht="12.75" hidden="1" customHeight="1">
      <c r="A85" s="727"/>
      <c r="C85" s="838"/>
    </row>
    <row r="86" spans="1:9" ht="12.75" hidden="1" customHeight="1">
      <c r="A86" s="727" t="s">
        <v>1929</v>
      </c>
      <c r="C86" s="838">
        <f>C71*C67+D71*D67+E71*E67+F71*F67+G36*G32</f>
        <v>204418.99061714642</v>
      </c>
      <c r="D86" s="839">
        <f>ROUND((C86),-3)</f>
        <v>204000</v>
      </c>
    </row>
    <row r="87" spans="1:9" ht="12.75" customHeight="1">
      <c r="A87" s="727"/>
      <c r="C87" s="838"/>
      <c r="D87" s="839"/>
    </row>
    <row r="88" spans="1:9" ht="12.75" customHeight="1" thickBot="1">
      <c r="A88" s="727" t="s">
        <v>1930</v>
      </c>
      <c r="B88" s="842"/>
      <c r="C88" s="843"/>
      <c r="D88" s="844">
        <f>D82*14</f>
        <v>2856000</v>
      </c>
      <c r="E88" s="845"/>
      <c r="F88" s="845"/>
    </row>
    <row r="89" spans="1:9" ht="15" hidden="1" thickTop="1">
      <c r="A89" s="846"/>
      <c r="B89" s="846"/>
      <c r="C89" s="846"/>
      <c r="D89" s="846"/>
      <c r="E89" s="847"/>
      <c r="F89" s="847"/>
      <c r="G89" s="726">
        <v>2015</v>
      </c>
      <c r="H89" s="848"/>
    </row>
    <row r="90" spans="1:9" ht="13.8" hidden="1" thickTop="1">
      <c r="A90" s="849"/>
      <c r="B90" s="849" t="s">
        <v>1931</v>
      </c>
      <c r="C90" s="850" t="s">
        <v>1932</v>
      </c>
      <c r="D90" s="851" t="s">
        <v>1933</v>
      </c>
      <c r="E90" s="852" t="s">
        <v>1934</v>
      </c>
      <c r="F90" s="853" t="s">
        <v>1935</v>
      </c>
      <c r="G90" s="726">
        <v>1980</v>
      </c>
      <c r="H90" s="854"/>
      <c r="I90" s="855"/>
    </row>
    <row r="91" spans="1:9" ht="13.8" hidden="1" thickTop="1">
      <c r="A91" s="856" t="s">
        <v>1936</v>
      </c>
      <c r="B91" s="857">
        <f>B20</f>
        <v>0</v>
      </c>
      <c r="C91" s="857">
        <f>+D82</f>
        <v>204000</v>
      </c>
      <c r="D91" s="858">
        <f>C91*B91</f>
        <v>0</v>
      </c>
      <c r="E91" s="858">
        <f>D91</f>
        <v>0</v>
      </c>
      <c r="F91" s="859">
        <f>+E91*0.7</f>
        <v>0</v>
      </c>
      <c r="G91" s="726">
        <f>+G89-G90</f>
        <v>35</v>
      </c>
      <c r="H91" s="854"/>
      <c r="I91" s="855"/>
    </row>
    <row r="92" spans="1:9" ht="13.8" hidden="1" thickTop="1">
      <c r="A92" s="856" t="s">
        <v>1937</v>
      </c>
      <c r="B92" s="860">
        <f>B28</f>
        <v>0</v>
      </c>
      <c r="C92" s="857">
        <f>+'[20]Kertas Kerja BTB'!E36</f>
        <v>3000000</v>
      </c>
      <c r="D92" s="858">
        <f>C92*B92</f>
        <v>0</v>
      </c>
      <c r="E92" s="858">
        <f>+D92*0.85</f>
        <v>0</v>
      </c>
      <c r="F92" s="859">
        <f>+E92*0.7</f>
        <v>0</v>
      </c>
      <c r="G92" s="726">
        <f>+G91*2.5</f>
        <v>87.5</v>
      </c>
      <c r="H92" s="861"/>
    </row>
    <row r="93" spans="1:9" ht="15" hidden="1" thickTop="1">
      <c r="A93" s="862" t="s">
        <v>1938</v>
      </c>
      <c r="B93" s="857"/>
      <c r="C93" s="857"/>
      <c r="D93" s="863">
        <f>SUM(D91:D92)</f>
        <v>0</v>
      </c>
      <c r="E93" s="863">
        <f>SUM(E91:E92)</f>
        <v>0</v>
      </c>
      <c r="F93" s="864">
        <f>SUM(F91:F92)</f>
        <v>0</v>
      </c>
      <c r="G93" s="865">
        <f>100-G92</f>
        <v>12.5</v>
      </c>
    </row>
    <row r="94" spans="1:9" ht="14.4" hidden="1" thickTop="1" thickBot="1">
      <c r="A94" s="842"/>
      <c r="B94" s="842"/>
      <c r="C94" s="842"/>
      <c r="D94" s="842"/>
      <c r="E94" s="842"/>
      <c r="F94" s="842"/>
      <c r="G94" s="726">
        <v>62.5</v>
      </c>
    </row>
    <row r="95" spans="1:9" ht="13.8" hidden="1" thickTop="1">
      <c r="A95" s="846"/>
      <c r="B95" s="846"/>
      <c r="C95" s="846"/>
      <c r="D95" s="846"/>
      <c r="E95" s="846"/>
      <c r="F95" s="846"/>
      <c r="G95" s="726">
        <f>+G93+G94</f>
        <v>75</v>
      </c>
    </row>
    <row r="96" spans="1:9" ht="13.8" thickTop="1"/>
    <row r="98" spans="3:6" ht="14.4">
      <c r="D98" s="840"/>
    </row>
    <row r="99" spans="3:6" ht="14.4">
      <c r="D99" s="840"/>
    </row>
    <row r="103" spans="3:6">
      <c r="F103" s="835"/>
    </row>
    <row r="104" spans="3:6">
      <c r="D104" s="836" t="s">
        <v>1939</v>
      </c>
      <c r="F104" s="835"/>
    </row>
    <row r="105" spans="3:6">
      <c r="C105" s="726">
        <v>15000000</v>
      </c>
      <c r="D105" s="726">
        <f>+C105/C106*100</f>
        <v>5.3571428571428568</v>
      </c>
    </row>
    <row r="106" spans="3:6">
      <c r="C106" s="726">
        <v>280000000</v>
      </c>
    </row>
  </sheetData>
  <mergeCells count="22">
    <mergeCell ref="F6:F11"/>
    <mergeCell ref="A6:A11"/>
    <mergeCell ref="B6:B11"/>
    <mergeCell ref="C6:C11"/>
    <mergeCell ref="D6:D11"/>
    <mergeCell ref="E6:E11"/>
    <mergeCell ref="A13:A14"/>
    <mergeCell ref="B13:B14"/>
    <mergeCell ref="C13:C14"/>
    <mergeCell ref="D13:D14"/>
    <mergeCell ref="E13:E14"/>
    <mergeCell ref="L13:L14"/>
    <mergeCell ref="G6:G11"/>
    <mergeCell ref="H8:H12"/>
    <mergeCell ref="I8:I12"/>
    <mergeCell ref="K8:K12"/>
    <mergeCell ref="L8:L12"/>
    <mergeCell ref="F13:F14"/>
    <mergeCell ref="H13:H14"/>
    <mergeCell ref="I13:I14"/>
    <mergeCell ref="J13:J14"/>
    <mergeCell ref="K13:K14"/>
  </mergeCells>
  <printOptions horizontalCentered="1"/>
  <pageMargins left="0.39370078740157483" right="0.19685039370078741" top="0.39370078740157483" bottom="0.27559055118110237" header="0" footer="0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L106"/>
  <sheetViews>
    <sheetView view="pageBreakPreview" topLeftCell="A61" zoomScaleNormal="85" zoomScaleSheetLayoutView="100" workbookViewId="0">
      <selection activeCell="D88" sqref="D88"/>
    </sheetView>
  </sheetViews>
  <sheetFormatPr defaultRowHeight="13.2"/>
  <cols>
    <col min="1" max="1" width="32.6640625" style="726" customWidth="1"/>
    <col min="2" max="2" width="20.33203125" style="726" customWidth="1"/>
    <col min="3" max="3" width="19.5546875" style="726" customWidth="1"/>
    <col min="4" max="4" width="19.88671875" style="726" customWidth="1"/>
    <col min="5" max="5" width="19.33203125" style="726" customWidth="1"/>
    <col min="6" max="6" width="20.6640625" style="726" customWidth="1"/>
    <col min="7" max="7" width="14.33203125" style="726" customWidth="1"/>
    <col min="8" max="8" width="17.44140625" style="726" customWidth="1"/>
    <col min="9" max="9" width="19" style="726" customWidth="1"/>
    <col min="10" max="11" width="18" style="726" customWidth="1"/>
    <col min="12" max="12" width="19.109375" style="726" customWidth="1"/>
    <col min="13" max="13" width="12" style="726" bestFit="1" customWidth="1"/>
    <col min="14" max="16384" width="8.88671875" style="726"/>
  </cols>
  <sheetData>
    <row r="1" spans="1:12">
      <c r="A1" s="724"/>
      <c r="B1" s="725"/>
      <c r="C1" s="725"/>
      <c r="D1" s="725"/>
      <c r="E1" s="725"/>
      <c r="F1" s="725"/>
      <c r="G1" s="725"/>
    </row>
    <row r="2" spans="1:12">
      <c r="A2" s="725"/>
      <c r="B2" s="725"/>
      <c r="C2" s="725"/>
      <c r="D2" s="725"/>
      <c r="E2" s="725"/>
      <c r="F2" s="725"/>
      <c r="G2" s="725"/>
    </row>
    <row r="3" spans="1:12">
      <c r="A3" s="725"/>
      <c r="B3" s="725"/>
      <c r="C3" s="725"/>
      <c r="D3" s="725"/>
      <c r="E3" s="725"/>
      <c r="F3" s="725"/>
    </row>
    <row r="4" spans="1:12">
      <c r="A4" s="725"/>
      <c r="B4" s="725"/>
      <c r="C4" s="725"/>
      <c r="D4" s="725"/>
      <c r="E4" s="725"/>
      <c r="F4" s="725"/>
      <c r="G4" s="725"/>
    </row>
    <row r="5" spans="1:12" ht="13.8" thickBot="1"/>
    <row r="6" spans="1:12" ht="13.8" thickTop="1">
      <c r="A6" s="904" t="s">
        <v>1958</v>
      </c>
      <c r="B6" s="889"/>
      <c r="C6" s="889"/>
      <c r="D6" s="889"/>
      <c r="E6" s="892"/>
      <c r="F6" s="887"/>
      <c r="G6" s="887"/>
      <c r="H6" s="727" t="s">
        <v>1835</v>
      </c>
      <c r="I6" s="727"/>
    </row>
    <row r="7" spans="1:12" ht="13.8" thickBot="1">
      <c r="A7" s="888"/>
      <c r="B7" s="890"/>
      <c r="C7" s="890"/>
      <c r="D7" s="890"/>
      <c r="E7" s="893"/>
      <c r="F7" s="887"/>
      <c r="G7" s="887"/>
      <c r="I7" s="728"/>
    </row>
    <row r="8" spans="1:12">
      <c r="A8" s="888"/>
      <c r="B8" s="890"/>
      <c r="C8" s="890"/>
      <c r="D8" s="890"/>
      <c r="E8" s="893"/>
      <c r="F8" s="887"/>
      <c r="G8" s="887"/>
      <c r="H8" s="897"/>
      <c r="I8" s="900"/>
      <c r="J8" s="729"/>
      <c r="K8" s="897"/>
      <c r="L8" s="897"/>
    </row>
    <row r="9" spans="1:12">
      <c r="A9" s="888"/>
      <c r="B9" s="890"/>
      <c r="C9" s="890"/>
      <c r="D9" s="890"/>
      <c r="E9" s="893"/>
      <c r="F9" s="887"/>
      <c r="G9" s="887"/>
      <c r="H9" s="898"/>
      <c r="I9" s="901"/>
      <c r="J9" s="730"/>
      <c r="K9" s="898"/>
      <c r="L9" s="898"/>
    </row>
    <row r="10" spans="1:12">
      <c r="A10" s="888"/>
      <c r="B10" s="890"/>
      <c r="C10" s="890"/>
      <c r="D10" s="890"/>
      <c r="E10" s="893"/>
      <c r="F10" s="887"/>
      <c r="G10" s="887"/>
      <c r="H10" s="898"/>
      <c r="I10" s="901"/>
      <c r="J10" s="730"/>
      <c r="K10" s="898"/>
      <c r="L10" s="898"/>
    </row>
    <row r="11" spans="1:12" ht="13.8" thickBot="1">
      <c r="A11" s="888"/>
      <c r="B11" s="891"/>
      <c r="C11" s="891"/>
      <c r="D11" s="891"/>
      <c r="E11" s="894"/>
      <c r="F11" s="887"/>
      <c r="G11" s="887"/>
      <c r="H11" s="898"/>
      <c r="I11" s="901"/>
      <c r="J11" s="730"/>
      <c r="K11" s="898"/>
      <c r="L11" s="898"/>
    </row>
    <row r="12" spans="1:12" ht="31.8" customHeight="1" thickTop="1" thickBot="1">
      <c r="H12" s="899"/>
      <c r="I12" s="902"/>
      <c r="J12" s="731"/>
      <c r="K12" s="899"/>
      <c r="L12" s="899"/>
    </row>
    <row r="13" spans="1:12">
      <c r="A13" s="895" t="s">
        <v>1836</v>
      </c>
      <c r="B13" s="895" t="s">
        <v>1837</v>
      </c>
      <c r="C13" s="895" t="s">
        <v>1838</v>
      </c>
      <c r="D13" s="895" t="s">
        <v>1839</v>
      </c>
      <c r="E13" s="895" t="s">
        <v>1840</v>
      </c>
      <c r="F13" s="903" t="s">
        <v>1841</v>
      </c>
      <c r="G13" s="732"/>
      <c r="H13" s="896" t="s">
        <v>1838</v>
      </c>
      <c r="I13" s="896" t="s">
        <v>1839</v>
      </c>
      <c r="J13" s="896" t="s">
        <v>1840</v>
      </c>
      <c r="K13" s="896" t="s">
        <v>1838</v>
      </c>
      <c r="L13" s="896" t="s">
        <v>1838</v>
      </c>
    </row>
    <row r="14" spans="1:12">
      <c r="A14" s="895"/>
      <c r="B14" s="895"/>
      <c r="C14" s="895"/>
      <c r="D14" s="895"/>
      <c r="E14" s="895"/>
      <c r="F14" s="903"/>
      <c r="G14" s="733"/>
      <c r="H14" s="895"/>
      <c r="I14" s="895"/>
      <c r="J14" s="895"/>
      <c r="K14" s="895"/>
      <c r="L14" s="895"/>
    </row>
    <row r="15" spans="1:12">
      <c r="A15" s="734" t="s">
        <v>1842</v>
      </c>
      <c r="B15" s="735"/>
      <c r="C15" s="735"/>
      <c r="D15" s="735"/>
      <c r="E15" s="735"/>
      <c r="F15" s="736"/>
      <c r="H15" s="737"/>
      <c r="I15" s="737"/>
      <c r="J15" s="737"/>
      <c r="K15" s="737"/>
      <c r="L15" s="737"/>
    </row>
    <row r="16" spans="1:12">
      <c r="A16" s="738" t="s">
        <v>1843</v>
      </c>
      <c r="B16" s="739"/>
      <c r="C16" s="742" t="s">
        <v>1845</v>
      </c>
      <c r="D16" s="742" t="s">
        <v>1959</v>
      </c>
      <c r="E16" s="742" t="s">
        <v>1845</v>
      </c>
      <c r="F16" s="737"/>
      <c r="H16" s="743" t="s">
        <v>1844</v>
      </c>
      <c r="I16" s="737" t="s">
        <v>1844</v>
      </c>
      <c r="J16" s="737" t="s">
        <v>1844</v>
      </c>
      <c r="K16" s="744" t="s">
        <v>1845</v>
      </c>
      <c r="L16" s="737" t="s">
        <v>1844</v>
      </c>
    </row>
    <row r="17" spans="1:12">
      <c r="A17" s="734"/>
      <c r="B17" s="739"/>
      <c r="C17" s="739"/>
      <c r="D17" s="739"/>
      <c r="E17" s="739"/>
      <c r="F17" s="739"/>
      <c r="H17" s="739"/>
      <c r="I17" s="739"/>
      <c r="J17" s="739"/>
      <c r="K17" s="739"/>
      <c r="L17" s="739"/>
    </row>
    <row r="18" spans="1:12">
      <c r="A18" s="738" t="s">
        <v>1846</v>
      </c>
      <c r="B18" s="737" t="s">
        <v>1847</v>
      </c>
      <c r="C18" s="749" t="s">
        <v>1850</v>
      </c>
      <c r="D18" s="749" t="s">
        <v>1850</v>
      </c>
      <c r="E18" s="749" t="s">
        <v>1850</v>
      </c>
      <c r="F18" s="737"/>
      <c r="G18" s="750"/>
      <c r="H18" s="737" t="s">
        <v>1851</v>
      </c>
      <c r="I18" s="737" t="s">
        <v>1847</v>
      </c>
      <c r="J18" s="737" t="s">
        <v>1851</v>
      </c>
      <c r="K18" s="737" t="s">
        <v>1851</v>
      </c>
      <c r="L18" s="737" t="s">
        <v>1851</v>
      </c>
    </row>
    <row r="19" spans="1:12">
      <c r="A19" s="734"/>
      <c r="B19" s="739"/>
      <c r="C19" s="739"/>
      <c r="D19" s="739"/>
      <c r="E19" s="739"/>
      <c r="F19" s="739"/>
      <c r="H19" s="739"/>
      <c r="I19" s="739"/>
      <c r="J19" s="739"/>
      <c r="K19" s="739"/>
      <c r="L19" s="739"/>
    </row>
    <row r="20" spans="1:12" ht="14.4">
      <c r="A20" s="735" t="s">
        <v>1852</v>
      </c>
      <c r="B20" s="751">
        <v>0</v>
      </c>
      <c r="C20" s="869">
        <f>160*14</f>
        <v>2240</v>
      </c>
      <c r="D20" s="754">
        <f>100*14</f>
        <v>1400</v>
      </c>
      <c r="E20" s="754">
        <v>20000</v>
      </c>
      <c r="F20" s="751"/>
      <c r="G20" s="755">
        <f>+C20-B20</f>
        <v>2240</v>
      </c>
      <c r="H20" s="751">
        <v>120</v>
      </c>
      <c r="I20" s="756">
        <v>200</v>
      </c>
      <c r="J20" s="751">
        <v>86</v>
      </c>
      <c r="K20" s="756">
        <v>96</v>
      </c>
      <c r="L20" s="751">
        <v>395</v>
      </c>
    </row>
    <row r="21" spans="1:12" ht="14.4">
      <c r="A21" s="735"/>
      <c r="B21" s="751"/>
      <c r="C21" s="870"/>
      <c r="D21" s="757"/>
      <c r="E21" s="757"/>
      <c r="F21" s="751"/>
      <c r="G21" s="733">
        <f>+G20*D82</f>
        <v>380800000</v>
      </c>
      <c r="H21" s="751"/>
      <c r="I21" s="751"/>
      <c r="J21" s="751"/>
      <c r="K21" s="751"/>
      <c r="L21" s="751"/>
    </row>
    <row r="22" spans="1:12">
      <c r="A22" s="735" t="s">
        <v>1853</v>
      </c>
      <c r="B22" s="739" t="s">
        <v>1854</v>
      </c>
      <c r="C22" s="737" t="s">
        <v>1854</v>
      </c>
      <c r="D22" s="739" t="s">
        <v>1854</v>
      </c>
      <c r="E22" s="739" t="s">
        <v>1854</v>
      </c>
      <c r="F22" s="739"/>
      <c r="G22" s="750"/>
      <c r="H22" s="739" t="s">
        <v>1854</v>
      </c>
      <c r="I22" s="739" t="s">
        <v>1854</v>
      </c>
      <c r="J22" s="739" t="s">
        <v>1854</v>
      </c>
      <c r="K22" s="739" t="s">
        <v>1854</v>
      </c>
      <c r="L22" s="739" t="s">
        <v>1854</v>
      </c>
    </row>
    <row r="23" spans="1:12">
      <c r="A23" s="735"/>
      <c r="B23" s="739"/>
      <c r="C23" s="739"/>
      <c r="D23" s="739"/>
      <c r="E23" s="739"/>
      <c r="F23" s="739"/>
      <c r="G23" s="758"/>
      <c r="H23" s="739"/>
      <c r="I23" s="739"/>
      <c r="J23" s="739"/>
      <c r="K23" s="739"/>
      <c r="L23" s="739"/>
    </row>
    <row r="24" spans="1:12">
      <c r="A24" s="735" t="s">
        <v>1855</v>
      </c>
      <c r="B24" s="737" t="s">
        <v>1856</v>
      </c>
      <c r="C24" s="749" t="s">
        <v>1850</v>
      </c>
      <c r="D24" s="737" t="s">
        <v>1850</v>
      </c>
      <c r="E24" s="737" t="s">
        <v>1850</v>
      </c>
      <c r="F24" s="737"/>
      <c r="G24" s="750"/>
      <c r="H24" s="737" t="s">
        <v>1856</v>
      </c>
      <c r="I24" s="737" t="s">
        <v>1856</v>
      </c>
      <c r="J24" s="737" t="s">
        <v>1856</v>
      </c>
      <c r="K24" s="737" t="s">
        <v>1856</v>
      </c>
      <c r="L24" s="737" t="s">
        <v>1856</v>
      </c>
    </row>
    <row r="25" spans="1:12">
      <c r="A25" s="735"/>
      <c r="B25" s="739"/>
      <c r="C25" s="739"/>
      <c r="D25" s="739"/>
      <c r="E25" s="739"/>
      <c r="F25" s="739"/>
      <c r="H25" s="739"/>
      <c r="I25" s="739"/>
      <c r="J25" s="739"/>
      <c r="K25" s="739"/>
      <c r="L25" s="739"/>
    </row>
    <row r="26" spans="1:12">
      <c r="A26" s="735" t="s">
        <v>531</v>
      </c>
      <c r="B26" s="737" t="s">
        <v>1857</v>
      </c>
      <c r="C26" s="749" t="s">
        <v>649</v>
      </c>
      <c r="D26" s="749" t="s">
        <v>1026</v>
      </c>
      <c r="E26" s="749" t="s">
        <v>1857</v>
      </c>
      <c r="F26" s="737"/>
      <c r="G26" s="750"/>
      <c r="H26" s="737" t="s">
        <v>1026</v>
      </c>
      <c r="I26" s="737" t="s">
        <v>1026</v>
      </c>
      <c r="J26" s="737" t="s">
        <v>1026</v>
      </c>
      <c r="K26" s="737" t="s">
        <v>1026</v>
      </c>
      <c r="L26" s="737" t="s">
        <v>1026</v>
      </c>
    </row>
    <row r="27" spans="1:12">
      <c r="A27" s="735"/>
      <c r="B27" s="739"/>
      <c r="C27" s="739"/>
      <c r="D27" s="739"/>
      <c r="E27" s="739"/>
      <c r="F27" s="739"/>
      <c r="G27" s="759"/>
      <c r="H27" s="739"/>
      <c r="I27" s="739"/>
      <c r="J27" s="739"/>
      <c r="K27" s="739"/>
      <c r="L27" s="739"/>
    </row>
    <row r="28" spans="1:12" ht="14.4">
      <c r="A28" s="735" t="s">
        <v>1858</v>
      </c>
      <c r="B28" s="760">
        <v>0</v>
      </c>
      <c r="C28" s="871">
        <v>0</v>
      </c>
      <c r="D28" s="757">
        <v>0</v>
      </c>
      <c r="E28" s="757">
        <v>0</v>
      </c>
      <c r="F28" s="751"/>
      <c r="G28" s="755">
        <f>+C28-B28</f>
        <v>0</v>
      </c>
      <c r="H28" s="751">
        <v>110</v>
      </c>
      <c r="I28" s="751">
        <v>0</v>
      </c>
      <c r="J28" s="751">
        <v>96</v>
      </c>
      <c r="K28" s="751">
        <v>80</v>
      </c>
      <c r="L28" s="751">
        <v>60</v>
      </c>
    </row>
    <row r="29" spans="1:12" ht="14.4">
      <c r="A29" s="735"/>
      <c r="B29" s="739"/>
      <c r="C29" s="870"/>
      <c r="D29" s="757"/>
      <c r="E29" s="757"/>
      <c r="F29" s="751"/>
      <c r="G29" s="733">
        <f>+G28*C36*0.95</f>
        <v>0</v>
      </c>
      <c r="H29" s="751"/>
      <c r="I29" s="751"/>
      <c r="J29" s="751"/>
      <c r="K29" s="751"/>
      <c r="L29" s="751"/>
    </row>
    <row r="30" spans="1:12" ht="13.8">
      <c r="A30" s="735" t="s">
        <v>1859</v>
      </c>
      <c r="B30" s="739"/>
      <c r="C30" s="739"/>
      <c r="D30" s="739"/>
      <c r="E30" s="739"/>
      <c r="F30" s="739"/>
      <c r="G30" s="761"/>
      <c r="H30" s="739"/>
      <c r="I30" s="739"/>
      <c r="J30" s="739"/>
      <c r="K30" s="739"/>
      <c r="L30" s="739"/>
    </row>
    <row r="31" spans="1:12">
      <c r="A31" s="735"/>
      <c r="B31" s="739"/>
      <c r="C31" s="739"/>
      <c r="D31" s="739"/>
      <c r="E31" s="739"/>
      <c r="F31" s="739"/>
      <c r="G31" s="762"/>
      <c r="H31" s="739"/>
      <c r="I31" s="739"/>
      <c r="J31" s="739"/>
      <c r="K31" s="739"/>
      <c r="L31" s="739"/>
    </row>
    <row r="32" spans="1:12" ht="14.4">
      <c r="A32" s="735" t="s">
        <v>1845</v>
      </c>
      <c r="B32" s="739"/>
      <c r="C32" s="872">
        <f>3000000*160</f>
        <v>480000000</v>
      </c>
      <c r="D32" s="757">
        <f>100*2500000</f>
        <v>250000000</v>
      </c>
      <c r="E32" s="757">
        <f>E20/14*2000000</f>
        <v>2857142857.1428576</v>
      </c>
      <c r="F32" s="751"/>
      <c r="G32" s="763"/>
      <c r="H32" s="751">
        <v>900000000</v>
      </c>
      <c r="I32" s="751">
        <f>4400000*I20</f>
        <v>880000000</v>
      </c>
      <c r="J32" s="751">
        <v>530000000</v>
      </c>
      <c r="K32" s="751">
        <v>900000000</v>
      </c>
      <c r="L32" s="751">
        <v>1700000000</v>
      </c>
    </row>
    <row r="33" spans="1:12" ht="14.4">
      <c r="A33" s="735"/>
      <c r="B33" s="739"/>
      <c r="C33" s="870"/>
      <c r="D33" s="757"/>
      <c r="E33" s="757"/>
      <c r="F33" s="751"/>
      <c r="G33" s="750"/>
      <c r="H33" s="751"/>
      <c r="I33" s="751"/>
      <c r="J33" s="751"/>
      <c r="K33" s="751"/>
      <c r="L33" s="751"/>
    </row>
    <row r="34" spans="1:12" s="770" customFormat="1">
      <c r="A34" s="764" t="s">
        <v>1860</v>
      </c>
      <c r="B34" s="765"/>
      <c r="C34" s="768">
        <v>0.2</v>
      </c>
      <c r="D34" s="768">
        <v>0</v>
      </c>
      <c r="E34" s="768">
        <v>0.15</v>
      </c>
      <c r="F34" s="768"/>
      <c r="G34" s="769"/>
      <c r="H34" s="768">
        <v>0.05</v>
      </c>
      <c r="I34" s="768">
        <v>0.2</v>
      </c>
      <c r="J34" s="768">
        <v>0.05</v>
      </c>
      <c r="K34" s="768">
        <v>0.15</v>
      </c>
      <c r="L34" s="768">
        <v>0.1</v>
      </c>
    </row>
    <row r="35" spans="1:12">
      <c r="A35" s="735" t="s">
        <v>1861</v>
      </c>
      <c r="B35" s="771"/>
      <c r="C35" s="875">
        <f>(100%-C34)*C32</f>
        <v>384000000</v>
      </c>
      <c r="D35" s="771">
        <f t="shared" ref="D35:E35" si="0">(100%-D34)*D32</f>
        <v>250000000</v>
      </c>
      <c r="E35" s="771">
        <f t="shared" si="0"/>
        <v>2428571428.5714288</v>
      </c>
      <c r="F35" s="771"/>
      <c r="G35" s="755">
        <f>+C35-G21-G29</f>
        <v>3200000</v>
      </c>
      <c r="H35" s="771">
        <f>(100%-H34)*H32</f>
        <v>855000000</v>
      </c>
      <c r="I35" s="771">
        <f>(100%-I34)*I32</f>
        <v>704000000</v>
      </c>
      <c r="J35" s="771">
        <f>(100%-J34)*J32</f>
        <v>503500000</v>
      </c>
      <c r="K35" s="771">
        <f>(100%-K34)*K32</f>
        <v>765000000</v>
      </c>
      <c r="L35" s="771">
        <f>(100%-L34)*L32</f>
        <v>1530000000</v>
      </c>
    </row>
    <row r="36" spans="1:12" s="770" customFormat="1">
      <c r="A36" s="764" t="s">
        <v>1862</v>
      </c>
      <c r="B36" s="765"/>
      <c r="C36" s="877">
        <v>0</v>
      </c>
      <c r="D36" s="776">
        <v>0</v>
      </c>
      <c r="E36" s="776">
        <v>0</v>
      </c>
      <c r="F36" s="776"/>
      <c r="G36" s="777">
        <f>+B28*400000*0.85</f>
        <v>0</v>
      </c>
      <c r="H36" s="776">
        <v>4000000</v>
      </c>
      <c r="I36" s="776">
        <v>0</v>
      </c>
      <c r="J36" s="776">
        <v>3500000</v>
      </c>
      <c r="K36" s="776">
        <v>2500000</v>
      </c>
      <c r="L36" s="776">
        <v>2500000</v>
      </c>
    </row>
    <row r="37" spans="1:12" ht="14.4">
      <c r="A37" s="735" t="s">
        <v>1863</v>
      </c>
      <c r="B37" s="739"/>
      <c r="C37" s="878">
        <f>C36*C28</f>
        <v>0</v>
      </c>
      <c r="D37" s="757">
        <f t="shared" ref="D37:E37" si="1">D36*D28</f>
        <v>0</v>
      </c>
      <c r="E37" s="757">
        <f t="shared" si="1"/>
        <v>0</v>
      </c>
      <c r="F37" s="751"/>
      <c r="G37" s="755">
        <f>+G35-G36</f>
        <v>3200000</v>
      </c>
      <c r="H37" s="751">
        <f>H36*H28</f>
        <v>440000000</v>
      </c>
      <c r="I37" s="751">
        <f>I36*I28</f>
        <v>0</v>
      </c>
      <c r="J37" s="751">
        <f>J36*J28</f>
        <v>336000000</v>
      </c>
      <c r="K37" s="751">
        <f>K36*K28</f>
        <v>200000000</v>
      </c>
      <c r="L37" s="751">
        <f>L36*L28</f>
        <v>150000000</v>
      </c>
    </row>
    <row r="38" spans="1:12" s="770" customFormat="1" ht="14.4">
      <c r="A38" s="764" t="s">
        <v>1864</v>
      </c>
      <c r="B38" s="765"/>
      <c r="C38" s="879">
        <v>0</v>
      </c>
      <c r="D38" s="780">
        <v>0</v>
      </c>
      <c r="E38" s="780">
        <v>0</v>
      </c>
      <c r="F38" s="781"/>
      <c r="G38" s="782"/>
      <c r="H38" s="781">
        <v>0.05</v>
      </c>
      <c r="I38" s="781">
        <v>0</v>
      </c>
      <c r="J38" s="781">
        <v>0.1</v>
      </c>
      <c r="K38" s="781">
        <v>0.1</v>
      </c>
      <c r="L38" s="781">
        <v>0</v>
      </c>
    </row>
    <row r="39" spans="1:12" ht="14.4">
      <c r="A39" s="735" t="s">
        <v>1865</v>
      </c>
      <c r="B39" s="739"/>
      <c r="C39" s="872">
        <f>(100%-C38)*C37</f>
        <v>0</v>
      </c>
      <c r="D39" s="757">
        <f t="shared" ref="D39:E39" si="2">(100%-D38)*D37</f>
        <v>0</v>
      </c>
      <c r="E39" s="757">
        <f t="shared" si="2"/>
        <v>0</v>
      </c>
      <c r="F39" s="751"/>
      <c r="G39" s="755"/>
      <c r="H39" s="751">
        <f>(100%-H38)*H37</f>
        <v>418000000</v>
      </c>
      <c r="I39" s="751">
        <f>(100%-I38)*I37</f>
        <v>0</v>
      </c>
      <c r="J39" s="751">
        <f>(100%-J38)*J37</f>
        <v>302400000</v>
      </c>
      <c r="K39" s="751">
        <f>(100%-K38)*K37</f>
        <v>180000000</v>
      </c>
      <c r="L39" s="751">
        <f>(100%-L38)*L37</f>
        <v>150000000</v>
      </c>
    </row>
    <row r="40" spans="1:12">
      <c r="A40" s="735" t="s">
        <v>1859</v>
      </c>
      <c r="B40" s="739"/>
      <c r="C40" s="771"/>
      <c r="D40" s="771">
        <v>0</v>
      </c>
      <c r="E40" s="771">
        <v>0</v>
      </c>
      <c r="F40" s="771"/>
      <c r="G40" s="750"/>
      <c r="H40" s="771">
        <v>0</v>
      </c>
      <c r="I40" s="771">
        <v>0</v>
      </c>
      <c r="J40" s="771">
        <v>0</v>
      </c>
      <c r="K40" s="771">
        <v>0</v>
      </c>
      <c r="L40" s="771">
        <v>0</v>
      </c>
    </row>
    <row r="41" spans="1:12" s="770" customFormat="1" ht="13.5" customHeight="1">
      <c r="A41" s="764" t="s">
        <v>1866</v>
      </c>
      <c r="B41" s="765"/>
      <c r="C41" s="880">
        <f>ROUND((C35-C39-C40)/C20,-3)</f>
        <v>171000</v>
      </c>
      <c r="D41" s="784">
        <f t="shared" ref="D41:E41" si="3">ROUND((D35-D39-D40)/D20,-3)</f>
        <v>179000</v>
      </c>
      <c r="E41" s="784">
        <f t="shared" si="3"/>
        <v>121000</v>
      </c>
      <c r="F41" s="785"/>
      <c r="G41" s="786"/>
      <c r="H41" s="785">
        <f>ROUND((H35-H39-H40)/H20,-3)</f>
        <v>3642000</v>
      </c>
      <c r="I41" s="785">
        <f>ROUND((I35-I39-I40)/I20,-3)</f>
        <v>3520000</v>
      </c>
      <c r="J41" s="785">
        <f>ROUND((J35-J39-J40)/J20,-3)</f>
        <v>2338000</v>
      </c>
      <c r="K41" s="785">
        <f>ROUND((K35-K39-K40)/K20,-3)</f>
        <v>6094000</v>
      </c>
      <c r="L41" s="785">
        <f>ROUND((L35-L39-L40)/L20,-3)</f>
        <v>3494000</v>
      </c>
    </row>
    <row r="42" spans="1:12" ht="14.4">
      <c r="A42" s="735"/>
      <c r="B42" s="739"/>
      <c r="C42" s="881"/>
      <c r="D42" s="757"/>
      <c r="E42" s="757"/>
      <c r="F42" s="751"/>
      <c r="G42" s="750"/>
      <c r="H42" s="751"/>
      <c r="I42" s="751"/>
      <c r="J42" s="751"/>
      <c r="K42" s="751"/>
      <c r="L42" s="751"/>
    </row>
    <row r="43" spans="1:12" ht="18" customHeight="1">
      <c r="A43" s="787" t="s">
        <v>1867</v>
      </c>
      <c r="B43" s="739"/>
      <c r="C43" s="809" t="s">
        <v>1960</v>
      </c>
      <c r="D43" s="790" t="s">
        <v>1961</v>
      </c>
      <c r="E43" s="790" t="s">
        <v>1870</v>
      </c>
      <c r="F43" s="791"/>
      <c r="G43" s="792"/>
      <c r="H43" s="793" t="s">
        <v>1871</v>
      </c>
      <c r="I43" s="794" t="s">
        <v>1872</v>
      </c>
      <c r="J43" s="794" t="s">
        <v>1873</v>
      </c>
      <c r="K43" s="793" t="s">
        <v>1874</v>
      </c>
      <c r="L43" s="793" t="s">
        <v>1875</v>
      </c>
    </row>
    <row r="44" spans="1:12" s="802" customFormat="1" ht="24" customHeight="1">
      <c r="A44" s="795" t="s">
        <v>504</v>
      </c>
      <c r="B44" s="796"/>
      <c r="C44" s="798" t="s">
        <v>1955</v>
      </c>
      <c r="D44" s="798" t="s">
        <v>1962</v>
      </c>
      <c r="E44" s="798" t="s">
        <v>1877</v>
      </c>
      <c r="F44" s="793"/>
      <c r="G44" s="799"/>
      <c r="H44" s="800" t="s">
        <v>1878</v>
      </c>
      <c r="I44" s="800" t="s">
        <v>1879</v>
      </c>
      <c r="J44" s="800" t="s">
        <v>1880</v>
      </c>
      <c r="K44" s="801" t="s">
        <v>1881</v>
      </c>
      <c r="L44" s="801" t="s">
        <v>1882</v>
      </c>
    </row>
    <row r="45" spans="1:12" ht="13.8">
      <c r="A45" s="787" t="s">
        <v>1883</v>
      </c>
      <c r="B45" s="739"/>
      <c r="C45" s="884" t="s">
        <v>1886</v>
      </c>
      <c r="D45" s="803" t="s">
        <v>1963</v>
      </c>
      <c r="E45" s="803" t="s">
        <v>1886</v>
      </c>
      <c r="F45" s="804"/>
      <c r="G45" s="805"/>
      <c r="H45" s="791" t="s">
        <v>1887</v>
      </c>
      <c r="I45" s="794" t="s">
        <v>1888</v>
      </c>
      <c r="J45" s="794" t="s">
        <v>1889</v>
      </c>
      <c r="K45" s="791" t="s">
        <v>1890</v>
      </c>
      <c r="L45" s="791" t="s">
        <v>1891</v>
      </c>
    </row>
    <row r="46" spans="1:12" ht="13.8">
      <c r="A46" s="787" t="s">
        <v>1892</v>
      </c>
      <c r="B46" s="739"/>
      <c r="C46" s="807" t="s">
        <v>1964</v>
      </c>
      <c r="D46" s="807" t="s">
        <v>1947</v>
      </c>
      <c r="E46" s="807" t="s">
        <v>1894</v>
      </c>
      <c r="F46" s="804"/>
      <c r="G46" s="808"/>
      <c r="H46" s="804" t="s">
        <v>1895</v>
      </c>
      <c r="I46" s="791" t="s">
        <v>1896</v>
      </c>
      <c r="J46" s="791" t="s">
        <v>1897</v>
      </c>
      <c r="K46" s="791" t="s">
        <v>1898</v>
      </c>
      <c r="L46" s="804" t="s">
        <v>1893</v>
      </c>
    </row>
    <row r="47" spans="1:12" ht="14.4">
      <c r="A47" s="787" t="s">
        <v>1899</v>
      </c>
      <c r="B47" s="791" t="s">
        <v>1900</v>
      </c>
      <c r="C47" s="809">
        <v>0</v>
      </c>
      <c r="D47" s="809">
        <v>0</v>
      </c>
      <c r="E47" s="809">
        <v>0</v>
      </c>
      <c r="F47" s="791"/>
      <c r="G47" s="805"/>
      <c r="H47" s="791" t="s">
        <v>1902</v>
      </c>
      <c r="I47" s="791" t="s">
        <v>1903</v>
      </c>
      <c r="J47" s="791" t="s">
        <v>1902</v>
      </c>
      <c r="K47" s="791" t="s">
        <v>1904</v>
      </c>
      <c r="L47" s="791" t="s">
        <v>1905</v>
      </c>
    </row>
    <row r="48" spans="1:12" ht="105.6">
      <c r="A48" s="787" t="s">
        <v>1836</v>
      </c>
      <c r="B48" s="791"/>
      <c r="C48" s="812" t="s">
        <v>1965</v>
      </c>
      <c r="D48" s="812" t="s">
        <v>1906</v>
      </c>
      <c r="E48" s="812" t="s">
        <v>1966</v>
      </c>
      <c r="F48" s="791"/>
      <c r="G48" s="808"/>
      <c r="H48" s="808"/>
      <c r="J48" s="791"/>
    </row>
    <row r="49" spans="1:8" s="808" customFormat="1" ht="16.5" customHeight="1">
      <c r="C49" s="813"/>
      <c r="D49" s="813"/>
      <c r="E49" s="813"/>
      <c r="F49" s="813"/>
      <c r="G49" s="814"/>
      <c r="H49" s="726"/>
    </row>
    <row r="50" spans="1:8">
      <c r="A50" s="815" t="s">
        <v>1907</v>
      </c>
      <c r="B50" s="808"/>
      <c r="C50" s="816" t="e">
        <f>C20/B20</f>
        <v>#DIV/0!</v>
      </c>
      <c r="D50" s="816" t="e">
        <f>D20/B20</f>
        <v>#DIV/0!</v>
      </c>
      <c r="E50" s="816" t="e">
        <f>E20/B20</f>
        <v>#DIV/0!</v>
      </c>
      <c r="F50" s="816"/>
      <c r="G50" s="808"/>
      <c r="H50" s="770"/>
    </row>
    <row r="51" spans="1:8" s="770" customFormat="1">
      <c r="A51" s="817" t="s">
        <v>1908</v>
      </c>
      <c r="B51" s="817">
        <v>1</v>
      </c>
      <c r="C51" s="817">
        <v>1</v>
      </c>
      <c r="D51" s="817">
        <v>1</v>
      </c>
      <c r="E51" s="817">
        <v>2</v>
      </c>
      <c r="F51" s="817"/>
      <c r="G51" s="818"/>
      <c r="H51" s="819"/>
    </row>
    <row r="52" spans="1:8" s="819" customFormat="1">
      <c r="A52" s="817" t="s">
        <v>1909</v>
      </c>
      <c r="B52" s="820"/>
      <c r="C52" s="820">
        <v>0</v>
      </c>
      <c r="D52" s="820">
        <v>0</v>
      </c>
      <c r="E52" s="820">
        <v>0.3</v>
      </c>
      <c r="F52" s="820"/>
      <c r="G52" s="821"/>
      <c r="H52" s="770"/>
    </row>
    <row r="53" spans="1:8" s="770" customFormat="1">
      <c r="A53" s="764" t="s">
        <v>1910</v>
      </c>
      <c r="B53" s="764">
        <v>1</v>
      </c>
      <c r="C53" s="764">
        <v>1</v>
      </c>
      <c r="D53" s="764">
        <v>1</v>
      </c>
      <c r="E53" s="764">
        <v>1</v>
      </c>
      <c r="F53" s="764"/>
      <c r="G53" s="818"/>
      <c r="H53" s="819"/>
    </row>
    <row r="54" spans="1:8" s="819" customFormat="1">
      <c r="A54" s="817" t="s">
        <v>1909</v>
      </c>
      <c r="B54" s="820"/>
      <c r="C54" s="824">
        <v>9.9999999999999995E-7</v>
      </c>
      <c r="D54" s="824">
        <v>9.9999999999999995E-7</v>
      </c>
      <c r="E54" s="824">
        <v>9.9999999999999995E-7</v>
      </c>
      <c r="F54" s="820"/>
      <c r="G54" s="825"/>
      <c r="H54" s="770"/>
    </row>
    <row r="55" spans="1:8" s="770" customFormat="1">
      <c r="A55" s="817" t="s">
        <v>1911</v>
      </c>
      <c r="B55" s="817">
        <v>1</v>
      </c>
      <c r="C55" s="817">
        <v>1</v>
      </c>
      <c r="D55" s="817">
        <v>1</v>
      </c>
      <c r="E55" s="817">
        <v>1</v>
      </c>
      <c r="F55" s="817"/>
      <c r="G55" s="826"/>
      <c r="H55" s="827"/>
    </row>
    <row r="56" spans="1:8" s="819" customFormat="1">
      <c r="A56" s="817" t="s">
        <v>1909</v>
      </c>
      <c r="B56" s="820"/>
      <c r="C56" s="820">
        <v>0</v>
      </c>
      <c r="D56" s="820">
        <v>0</v>
      </c>
      <c r="E56" s="820">
        <v>0</v>
      </c>
      <c r="F56" s="820"/>
      <c r="G56" s="828"/>
      <c r="H56" s="770"/>
    </row>
    <row r="57" spans="1:8" s="770" customFormat="1">
      <c r="A57" s="829" t="s">
        <v>1967</v>
      </c>
      <c r="B57" s="817">
        <v>1</v>
      </c>
      <c r="C57" s="817">
        <v>1</v>
      </c>
      <c r="D57" s="817">
        <v>1</v>
      </c>
      <c r="E57" s="817">
        <v>1</v>
      </c>
      <c r="F57" s="817"/>
      <c r="G57" s="830"/>
      <c r="H57" s="819"/>
    </row>
    <row r="58" spans="1:8" s="819" customFormat="1">
      <c r="A58" s="817" t="s">
        <v>1909</v>
      </c>
      <c r="B58" s="820"/>
      <c r="C58" s="820">
        <v>0</v>
      </c>
      <c r="D58" s="820">
        <v>0</v>
      </c>
      <c r="E58" s="820">
        <v>0</v>
      </c>
      <c r="F58" s="820"/>
      <c r="G58" s="821"/>
      <c r="H58" s="770"/>
    </row>
    <row r="59" spans="1:8" s="770" customFormat="1">
      <c r="A59" s="829" t="s">
        <v>1968</v>
      </c>
      <c r="B59" s="817">
        <v>1</v>
      </c>
      <c r="C59" s="817">
        <v>1</v>
      </c>
      <c r="D59" s="817">
        <v>1</v>
      </c>
      <c r="E59" s="817">
        <v>1</v>
      </c>
      <c r="F59" s="817"/>
      <c r="G59" s="818"/>
      <c r="H59" s="819"/>
    </row>
    <row r="60" spans="1:8" s="819" customFormat="1">
      <c r="A60" s="817" t="s">
        <v>1909</v>
      </c>
      <c r="B60" s="820"/>
      <c r="C60" s="820">
        <v>0</v>
      </c>
      <c r="D60" s="820">
        <v>0</v>
      </c>
      <c r="E60" s="820">
        <v>0</v>
      </c>
      <c r="F60" s="820"/>
      <c r="H60" s="770"/>
    </row>
    <row r="61" spans="1:8" s="831" customFormat="1">
      <c r="A61" s="787" t="s">
        <v>1914</v>
      </c>
      <c r="B61" s="787">
        <v>1</v>
      </c>
      <c r="C61" s="787">
        <v>2</v>
      </c>
      <c r="D61" s="787">
        <v>1</v>
      </c>
      <c r="E61" s="787">
        <v>1</v>
      </c>
      <c r="F61" s="787"/>
    </row>
    <row r="62" spans="1:8" s="819" customFormat="1">
      <c r="A62" s="817" t="s">
        <v>1909</v>
      </c>
      <c r="B62" s="820"/>
      <c r="C62" s="820">
        <v>0</v>
      </c>
      <c r="D62" s="820">
        <v>-0.1</v>
      </c>
      <c r="E62" s="820">
        <v>0</v>
      </c>
      <c r="F62" s="820"/>
      <c r="H62" s="770"/>
    </row>
    <row r="63" spans="1:8" s="770" customFormat="1">
      <c r="A63" s="829" t="s">
        <v>1969</v>
      </c>
      <c r="B63" s="817">
        <v>1</v>
      </c>
      <c r="C63" s="817">
        <v>1</v>
      </c>
      <c r="D63" s="817">
        <v>1</v>
      </c>
      <c r="E63" s="817">
        <v>1</v>
      </c>
      <c r="F63" s="817"/>
      <c r="H63" s="819"/>
    </row>
    <row r="64" spans="1:8" s="819" customFormat="1">
      <c r="A64" s="817" t="s">
        <v>1909</v>
      </c>
      <c r="B64" s="820"/>
      <c r="C64" s="820">
        <v>0</v>
      </c>
      <c r="D64" s="820">
        <v>0.1</v>
      </c>
      <c r="E64" s="820">
        <v>0</v>
      </c>
      <c r="F64" s="820"/>
      <c r="H64" s="770"/>
    </row>
    <row r="65" spans="1:8" s="770" customFormat="1">
      <c r="A65" s="817" t="s">
        <v>1916</v>
      </c>
      <c r="B65" s="817"/>
      <c r="C65" s="820">
        <f>C52+C54+C56+C58+C64+C60+C62</f>
        <v>9.9999999999999995E-7</v>
      </c>
      <c r="D65" s="820">
        <f>D52+D54+D56+D58+D64+D60+D62</f>
        <v>1.0000000000010001E-6</v>
      </c>
      <c r="E65" s="820">
        <f>E52+E54+E56+E58+E64+E60+E62</f>
        <v>0.30000099999999996</v>
      </c>
      <c r="F65" s="820"/>
      <c r="H65" s="819"/>
    </row>
    <row r="66" spans="1:8" s="819" customFormat="1">
      <c r="A66" s="817" t="s">
        <v>1917</v>
      </c>
      <c r="B66" s="817"/>
      <c r="C66" s="832">
        <f>+ABS(C52)+ABS(C54)+ABS(C56)+ABS(C58)+ABS(C60)+ABS(C62)+ABS(C64)</f>
        <v>9.9999999999999995E-7</v>
      </c>
      <c r="D66" s="832">
        <f>+ABS(D52)+ABS(D54)+ABS(D56)+ABS(D58)+ABS(D60)+ABS(D62)+ABS(D64)</f>
        <v>0.20000100000000001</v>
      </c>
      <c r="E66" s="832">
        <f>+ABS(E52)+ABS(E54)+ABS(E56)+ABS(E58)+ABS(E60)+ABS(E62)+ABS(E64)</f>
        <v>0.30000099999999996</v>
      </c>
      <c r="F66" s="832"/>
      <c r="H66" s="726"/>
    </row>
    <row r="67" spans="1:8">
      <c r="A67" s="726" t="s">
        <v>1918</v>
      </c>
      <c r="B67" s="726">
        <f>SUM(C69:E69)</f>
        <v>2</v>
      </c>
      <c r="C67" s="726">
        <f>C69/$B$67</f>
        <v>0.49999900000599995</v>
      </c>
      <c r="D67" s="726">
        <f>D69/$B$67</f>
        <v>0.30000019999880001</v>
      </c>
      <c r="E67" s="726">
        <f>E69/$B$67</f>
        <v>0.20000079999520004</v>
      </c>
      <c r="F67" s="726">
        <f>F69/$B$67</f>
        <v>0</v>
      </c>
    </row>
    <row r="68" spans="1:8">
      <c r="A68" s="726" t="s">
        <v>1907</v>
      </c>
      <c r="B68" s="833">
        <f>SUM(C66:E66)</f>
        <v>0.50000299999999998</v>
      </c>
      <c r="C68" s="834">
        <f>C66/$B$68</f>
        <v>1.9999880000719995E-6</v>
      </c>
      <c r="D68" s="726">
        <f>D66/$B$68</f>
        <v>0.39999960000240004</v>
      </c>
      <c r="E68" s="726">
        <f>E66/$B$68</f>
        <v>0.59999840000959992</v>
      </c>
      <c r="F68" s="726">
        <f>F66/$B$68</f>
        <v>0</v>
      </c>
    </row>
    <row r="69" spans="1:8">
      <c r="A69" s="726" t="s">
        <v>1919</v>
      </c>
      <c r="C69" s="726">
        <f>IF(C68&lt;&gt;0,1-C68,0)</f>
        <v>0.9999980000119999</v>
      </c>
      <c r="D69" s="726">
        <f>IF(D68&lt;&gt;0,1-D68,0)</f>
        <v>0.60000039999760002</v>
      </c>
      <c r="E69" s="726">
        <f>IF(E68&lt;&gt;0,1-E68,0)</f>
        <v>0.40000159999040008</v>
      </c>
      <c r="F69" s="726">
        <f>IF(F68&lt;&gt;0,1-F68,0)</f>
        <v>0</v>
      </c>
    </row>
    <row r="70" spans="1:8" ht="17.25" customHeight="1"/>
    <row r="71" spans="1:8">
      <c r="A71" s="727" t="s">
        <v>1920</v>
      </c>
      <c r="C71" s="835">
        <f>(1+C65)*C41</f>
        <v>171000.17099999997</v>
      </c>
      <c r="D71" s="835">
        <f>(1+D65)*D41</f>
        <v>179000.17899999997</v>
      </c>
      <c r="E71" s="835">
        <f>(1+E65)*E41</f>
        <v>157300.12099999998</v>
      </c>
      <c r="F71" s="835">
        <f>(1+F65)*F41</f>
        <v>0</v>
      </c>
      <c r="G71" s="835"/>
    </row>
    <row r="72" spans="1:8" ht="12" customHeight="1"/>
    <row r="73" spans="1:8" ht="12.75" hidden="1" customHeight="1">
      <c r="A73" s="726" t="s">
        <v>1921</v>
      </c>
      <c r="C73" s="726">
        <f>$C$80/C71</f>
        <v>0.81403429708076724</v>
      </c>
      <c r="D73" s="726">
        <f>$C$80/D71</f>
        <v>0.77765287598218547</v>
      </c>
    </row>
    <row r="74" spans="1:8">
      <c r="A74" s="726" t="s">
        <v>1922</v>
      </c>
      <c r="C74" s="726">
        <f>$C$82/C71</f>
        <v>0.99801159871365142</v>
      </c>
      <c r="D74" s="726">
        <f>$C$82/D71</f>
        <v>0.95340772838008037</v>
      </c>
      <c r="E74" s="726">
        <f>$C$82/E71</f>
        <v>1.0849333932808467</v>
      </c>
      <c r="F74" s="726" t="e">
        <f>$C$82/F71</f>
        <v>#DIV/0!</v>
      </c>
    </row>
    <row r="75" spans="1:8" ht="12.75" hidden="1" customHeight="1">
      <c r="A75" s="726" t="s">
        <v>1923</v>
      </c>
      <c r="C75" s="726">
        <f>$C$84/C71</f>
        <v>0.99801159871365142</v>
      </c>
      <c r="D75" s="726">
        <f>$C$84/D71</f>
        <v>0.95340772838008037</v>
      </c>
      <c r="E75" s="726">
        <f>$C$84/E71</f>
        <v>1.0849333932808467</v>
      </c>
      <c r="F75" s="726" t="e">
        <f>$C$84/F71</f>
        <v>#DIV/0!</v>
      </c>
    </row>
    <row r="76" spans="1:8" ht="12.75" hidden="1" customHeight="1">
      <c r="A76" s="726" t="s">
        <v>1924</v>
      </c>
      <c r="C76" s="726">
        <f>$C$86/C71</f>
        <v>0.99801159871365142</v>
      </c>
      <c r="D76" s="726">
        <f>$C$86/D71</f>
        <v>0.95340772838008037</v>
      </c>
      <c r="E76" s="726">
        <f>$C$86/E71</f>
        <v>1.0849333932808467</v>
      </c>
      <c r="F76" s="726" t="e">
        <f>$C$86/F71</f>
        <v>#DIV/0!</v>
      </c>
    </row>
    <row r="77" spans="1:8" ht="12.75" customHeight="1"/>
    <row r="78" spans="1:8">
      <c r="A78" s="836" t="s">
        <v>1925</v>
      </c>
      <c r="C78" s="837">
        <f>1-C74</f>
        <v>1.9884012863485845E-3</v>
      </c>
      <c r="D78" s="837">
        <f>1-D74</f>
        <v>4.6592271619919634E-2</v>
      </c>
      <c r="E78" s="837">
        <f>1-E74</f>
        <v>-8.4933393280846703E-2</v>
      </c>
      <c r="F78" s="837" t="e">
        <f>1-F74</f>
        <v>#DIV/0!</v>
      </c>
    </row>
    <row r="79" spans="1:8" hidden="1"/>
    <row r="80" spans="1:8" ht="12.75" hidden="1" customHeight="1">
      <c r="A80" s="727" t="s">
        <v>1926</v>
      </c>
      <c r="C80" s="835">
        <f>C71*C67+D71*D67</f>
        <v>139200.00400067598</v>
      </c>
      <c r="D80" s="838">
        <f>ROUND((C80),-3)</f>
        <v>139000</v>
      </c>
    </row>
    <row r="81" spans="1:9" hidden="1">
      <c r="A81" s="727"/>
      <c r="C81" s="835"/>
    </row>
    <row r="82" spans="1:9" ht="14.4">
      <c r="A82" s="727" t="s">
        <v>1927</v>
      </c>
      <c r="C82" s="838">
        <f>C71*C67+D71*D67+E71*E67</f>
        <v>170660.15404001775</v>
      </c>
      <c r="D82" s="839">
        <f>ROUND((C82),-4)</f>
        <v>170000</v>
      </c>
      <c r="E82" s="840"/>
      <c r="F82" s="840"/>
      <c r="I82" s="836"/>
    </row>
    <row r="83" spans="1:9" ht="14.4" hidden="1">
      <c r="A83" s="727"/>
      <c r="C83" s="838"/>
      <c r="E83" s="841"/>
    </row>
    <row r="84" spans="1:9" ht="12.75" hidden="1" customHeight="1">
      <c r="A84" s="727" t="s">
        <v>1928</v>
      </c>
      <c r="C84" s="838">
        <f>C71*C67+D71*D67+E71*E67+F71*F67</f>
        <v>170660.15404001775</v>
      </c>
      <c r="D84" s="839">
        <f>ROUND((C84),-3)</f>
        <v>171000</v>
      </c>
    </row>
    <row r="85" spans="1:9" ht="12.75" hidden="1" customHeight="1">
      <c r="A85" s="727"/>
      <c r="C85" s="838"/>
    </row>
    <row r="86" spans="1:9" ht="12.75" hidden="1" customHeight="1">
      <c r="A86" s="727" t="s">
        <v>1929</v>
      </c>
      <c r="C86" s="838">
        <f>C71*C67+D71*D67+E71*E67+F71*F67+G36*G32</f>
        <v>170660.15404001775</v>
      </c>
      <c r="D86" s="839">
        <f>ROUND((C86),-3)</f>
        <v>171000</v>
      </c>
    </row>
    <row r="87" spans="1:9" ht="12.75" customHeight="1">
      <c r="A87" s="727"/>
      <c r="C87" s="838"/>
      <c r="D87" s="839"/>
    </row>
    <row r="88" spans="1:9" ht="12.75" customHeight="1" thickBot="1">
      <c r="A88" s="727" t="s">
        <v>1930</v>
      </c>
      <c r="B88" s="842"/>
      <c r="C88" s="843"/>
      <c r="D88" s="844">
        <f>D82*14</f>
        <v>2380000</v>
      </c>
      <c r="E88" s="845"/>
      <c r="F88" s="845"/>
    </row>
    <row r="89" spans="1:9" ht="15" hidden="1" thickTop="1">
      <c r="A89" s="846"/>
      <c r="B89" s="846"/>
      <c r="C89" s="846"/>
      <c r="D89" s="846"/>
      <c r="E89" s="847"/>
      <c r="F89" s="847"/>
      <c r="G89" s="726">
        <v>2015</v>
      </c>
      <c r="H89" s="848"/>
    </row>
    <row r="90" spans="1:9" ht="13.8" hidden="1" thickTop="1">
      <c r="A90" s="849"/>
      <c r="B90" s="849" t="s">
        <v>1931</v>
      </c>
      <c r="C90" s="850" t="s">
        <v>1932</v>
      </c>
      <c r="D90" s="851" t="s">
        <v>1933</v>
      </c>
      <c r="E90" s="852" t="s">
        <v>1934</v>
      </c>
      <c r="F90" s="853" t="s">
        <v>1935</v>
      </c>
      <c r="G90" s="726">
        <v>1980</v>
      </c>
      <c r="H90" s="854"/>
      <c r="I90" s="855"/>
    </row>
    <row r="91" spans="1:9" ht="13.8" hidden="1" thickTop="1">
      <c r="A91" s="856" t="s">
        <v>1936</v>
      </c>
      <c r="B91" s="857">
        <f>B20</f>
        <v>0</v>
      </c>
      <c r="C91" s="857">
        <f>+D82</f>
        <v>170000</v>
      </c>
      <c r="D91" s="858">
        <f>C91*B91</f>
        <v>0</v>
      </c>
      <c r="E91" s="858">
        <f>D91</f>
        <v>0</v>
      </c>
      <c r="F91" s="859">
        <f>+E91*0.7</f>
        <v>0</v>
      </c>
      <c r="G91" s="726">
        <f>+G89-G90</f>
        <v>35</v>
      </c>
      <c r="H91" s="854"/>
      <c r="I91" s="855"/>
    </row>
    <row r="92" spans="1:9" ht="13.8" hidden="1" thickTop="1">
      <c r="A92" s="856" t="s">
        <v>1937</v>
      </c>
      <c r="B92" s="860">
        <f>B28</f>
        <v>0</v>
      </c>
      <c r="C92" s="857">
        <f>+'[20]Kertas Kerja BTB'!E36</f>
        <v>3000000</v>
      </c>
      <c r="D92" s="858">
        <f>C92*B92</f>
        <v>0</v>
      </c>
      <c r="E92" s="858">
        <f>+D92*0.85</f>
        <v>0</v>
      </c>
      <c r="F92" s="859">
        <f>+E92*0.7</f>
        <v>0</v>
      </c>
      <c r="G92" s="726">
        <f>+G91*2.5</f>
        <v>87.5</v>
      </c>
      <c r="H92" s="861"/>
    </row>
    <row r="93" spans="1:9" ht="15" hidden="1" thickTop="1">
      <c r="A93" s="862" t="s">
        <v>1938</v>
      </c>
      <c r="B93" s="857"/>
      <c r="C93" s="857"/>
      <c r="D93" s="863">
        <f>SUM(D91:D92)</f>
        <v>0</v>
      </c>
      <c r="E93" s="863">
        <f>SUM(E91:E92)</f>
        <v>0</v>
      </c>
      <c r="F93" s="864">
        <f>SUM(F91:F92)</f>
        <v>0</v>
      </c>
      <c r="G93" s="865">
        <f>100-G92</f>
        <v>12.5</v>
      </c>
    </row>
    <row r="94" spans="1:9" ht="14.4" hidden="1" thickTop="1" thickBot="1">
      <c r="A94" s="842"/>
      <c r="B94" s="842"/>
      <c r="C94" s="842"/>
      <c r="D94" s="842"/>
      <c r="E94" s="842"/>
      <c r="F94" s="842"/>
      <c r="G94" s="726">
        <v>62.5</v>
      </c>
    </row>
    <row r="95" spans="1:9" ht="13.8" hidden="1" thickTop="1">
      <c r="A95" s="846"/>
      <c r="B95" s="846"/>
      <c r="C95" s="846"/>
      <c r="D95" s="846"/>
      <c r="E95" s="846"/>
      <c r="F95" s="846"/>
      <c r="G95" s="726">
        <f>+G93+G94</f>
        <v>75</v>
      </c>
    </row>
    <row r="96" spans="1:9" ht="13.8" thickTop="1"/>
    <row r="98" spans="3:6" ht="14.4">
      <c r="D98" s="840"/>
    </row>
    <row r="99" spans="3:6" ht="14.4">
      <c r="D99" s="840"/>
    </row>
    <row r="103" spans="3:6">
      <c r="F103" s="835"/>
    </row>
    <row r="104" spans="3:6">
      <c r="D104" s="836" t="s">
        <v>1939</v>
      </c>
      <c r="F104" s="835"/>
    </row>
    <row r="105" spans="3:6">
      <c r="C105" s="726">
        <v>15000000</v>
      </c>
      <c r="D105" s="726">
        <f>+C105/C106*100</f>
        <v>5.3571428571428568</v>
      </c>
    </row>
    <row r="106" spans="3:6">
      <c r="C106" s="726">
        <v>280000000</v>
      </c>
    </row>
  </sheetData>
  <mergeCells count="22">
    <mergeCell ref="F13:F14"/>
    <mergeCell ref="H13:H14"/>
    <mergeCell ref="I13:I14"/>
    <mergeCell ref="J13:J14"/>
    <mergeCell ref="K13:K14"/>
    <mergeCell ref="L13:L14"/>
    <mergeCell ref="G6:G11"/>
    <mergeCell ref="H8:H12"/>
    <mergeCell ref="I8:I12"/>
    <mergeCell ref="K8:K12"/>
    <mergeCell ref="L8:L12"/>
    <mergeCell ref="A13:A14"/>
    <mergeCell ref="B13:B14"/>
    <mergeCell ref="C13:C14"/>
    <mergeCell ref="D13:D14"/>
    <mergeCell ref="E13:E14"/>
    <mergeCell ref="F6:F11"/>
    <mergeCell ref="A6:A11"/>
    <mergeCell ref="B6:B11"/>
    <mergeCell ref="C6:C11"/>
    <mergeCell ref="D6:D11"/>
    <mergeCell ref="E6:E11"/>
  </mergeCells>
  <dataValidations count="1">
    <dataValidation type="list" allowBlank="1" showInputMessage="1" showErrorMessage="1" sqref="C22">
      <formula1>$N$21:$N$29</formula1>
    </dataValidation>
  </dataValidations>
  <printOptions horizontalCentered="1"/>
  <pageMargins left="0.39370078740157483" right="0.19685039370078741" top="0.39370078740157483" bottom="0.27559055118110237" header="0" footer="0"/>
  <pageSetup paperSize="9" scale="69" orientation="portrait" r:id="rId1"/>
  <headerFooter alignWithMargins="0"/>
  <rowBreaks count="1" manualBreakCount="1">
    <brk id="88" max="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L106"/>
  <sheetViews>
    <sheetView view="pageBreakPreview" topLeftCell="A63" zoomScaleNormal="85" zoomScaleSheetLayoutView="100" workbookViewId="0">
      <selection activeCell="B62" sqref="B62"/>
    </sheetView>
  </sheetViews>
  <sheetFormatPr defaultRowHeight="13.2"/>
  <cols>
    <col min="1" max="1" width="32.6640625" style="726" customWidth="1"/>
    <col min="2" max="2" width="20.33203125" style="726" customWidth="1"/>
    <col min="3" max="3" width="19.5546875" style="726" customWidth="1"/>
    <col min="4" max="4" width="19.88671875" style="726" customWidth="1"/>
    <col min="5" max="5" width="19.33203125" style="726" customWidth="1"/>
    <col min="6" max="6" width="20.6640625" style="726" customWidth="1"/>
    <col min="7" max="7" width="14.33203125" style="726" customWidth="1"/>
    <col min="8" max="8" width="17.44140625" style="726" customWidth="1"/>
    <col min="9" max="9" width="19" style="726" customWidth="1"/>
    <col min="10" max="11" width="18" style="726" customWidth="1"/>
    <col min="12" max="12" width="19.109375" style="726" customWidth="1"/>
    <col min="13" max="13" width="12" style="726" bestFit="1" customWidth="1"/>
    <col min="14" max="16384" width="8.88671875" style="726"/>
  </cols>
  <sheetData>
    <row r="1" spans="1:12">
      <c r="A1" s="724"/>
      <c r="B1" s="725"/>
      <c r="C1" s="725"/>
      <c r="D1" s="725"/>
      <c r="E1" s="725"/>
      <c r="F1" s="725"/>
      <c r="G1" s="725"/>
    </row>
    <row r="2" spans="1:12">
      <c r="A2" s="725"/>
      <c r="B2" s="725"/>
      <c r="C2" s="725"/>
      <c r="D2" s="725"/>
      <c r="E2" s="725"/>
      <c r="F2" s="725"/>
      <c r="G2" s="725"/>
    </row>
    <row r="3" spans="1:12">
      <c r="A3" s="725"/>
      <c r="B3" s="725"/>
      <c r="C3" s="725"/>
      <c r="D3" s="725"/>
      <c r="E3" s="725"/>
      <c r="F3" s="725"/>
    </row>
    <row r="4" spans="1:12">
      <c r="A4" s="725"/>
      <c r="B4" s="725"/>
      <c r="C4" s="725"/>
      <c r="D4" s="725"/>
      <c r="E4" s="725"/>
      <c r="F4" s="725"/>
      <c r="G4" s="725"/>
    </row>
    <row r="5" spans="1:12" ht="13.8" thickBot="1"/>
    <row r="6" spans="1:12" ht="13.8" thickTop="1">
      <c r="A6" s="888" t="s">
        <v>1970</v>
      </c>
      <c r="B6" s="889"/>
      <c r="C6" s="889"/>
      <c r="D6" s="889"/>
      <c r="E6" s="892"/>
      <c r="F6" s="887"/>
      <c r="G6" s="887"/>
      <c r="H6" s="727" t="s">
        <v>1835</v>
      </c>
      <c r="I6" s="727"/>
    </row>
    <row r="7" spans="1:12" ht="13.8" thickBot="1">
      <c r="A7" s="888"/>
      <c r="B7" s="890"/>
      <c r="C7" s="890"/>
      <c r="D7" s="890"/>
      <c r="E7" s="893"/>
      <c r="F7" s="887"/>
      <c r="G7" s="887"/>
      <c r="I7" s="728"/>
    </row>
    <row r="8" spans="1:12">
      <c r="A8" s="888"/>
      <c r="B8" s="890"/>
      <c r="C8" s="890"/>
      <c r="D8" s="890"/>
      <c r="E8" s="893"/>
      <c r="F8" s="887"/>
      <c r="G8" s="887"/>
      <c r="H8" s="897"/>
      <c r="I8" s="900"/>
      <c r="J8" s="729"/>
      <c r="K8" s="897"/>
      <c r="L8" s="897"/>
    </row>
    <row r="9" spans="1:12">
      <c r="A9" s="888"/>
      <c r="B9" s="890"/>
      <c r="C9" s="890"/>
      <c r="D9" s="890"/>
      <c r="E9" s="893"/>
      <c r="F9" s="887"/>
      <c r="G9" s="887"/>
      <c r="H9" s="898"/>
      <c r="I9" s="901"/>
      <c r="J9" s="730"/>
      <c r="K9" s="898"/>
      <c r="L9" s="898"/>
    </row>
    <row r="10" spans="1:12">
      <c r="A10" s="888"/>
      <c r="B10" s="890"/>
      <c r="C10" s="890"/>
      <c r="D10" s="890"/>
      <c r="E10" s="893"/>
      <c r="F10" s="887"/>
      <c r="G10" s="887"/>
      <c r="H10" s="898"/>
      <c r="I10" s="901"/>
      <c r="J10" s="730"/>
      <c r="K10" s="898"/>
      <c r="L10" s="898"/>
    </row>
    <row r="11" spans="1:12" ht="13.8" thickBot="1">
      <c r="A11" s="888"/>
      <c r="B11" s="891"/>
      <c r="C11" s="891"/>
      <c r="D11" s="891"/>
      <c r="E11" s="894"/>
      <c r="F11" s="887"/>
      <c r="G11" s="887"/>
      <c r="H11" s="898"/>
      <c r="I11" s="901"/>
      <c r="J11" s="730"/>
      <c r="K11" s="898"/>
      <c r="L11" s="898"/>
    </row>
    <row r="12" spans="1:12" ht="31.8" customHeight="1" thickTop="1" thickBot="1">
      <c r="H12" s="899"/>
      <c r="I12" s="902"/>
      <c r="J12" s="731"/>
      <c r="K12" s="899"/>
      <c r="L12" s="899"/>
    </row>
    <row r="13" spans="1:12">
      <c r="A13" s="895" t="s">
        <v>1836</v>
      </c>
      <c r="B13" s="895" t="s">
        <v>1837</v>
      </c>
      <c r="C13" s="895" t="s">
        <v>1838</v>
      </c>
      <c r="D13" s="895" t="s">
        <v>1839</v>
      </c>
      <c r="E13" s="895" t="s">
        <v>1840</v>
      </c>
      <c r="F13" s="903" t="s">
        <v>1841</v>
      </c>
      <c r="G13" s="732"/>
      <c r="H13" s="896" t="s">
        <v>1838</v>
      </c>
      <c r="I13" s="896" t="s">
        <v>1839</v>
      </c>
      <c r="J13" s="896" t="s">
        <v>1840</v>
      </c>
      <c r="K13" s="896" t="s">
        <v>1838</v>
      </c>
      <c r="L13" s="896" t="s">
        <v>1838</v>
      </c>
    </row>
    <row r="14" spans="1:12">
      <c r="A14" s="895"/>
      <c r="B14" s="895"/>
      <c r="C14" s="895"/>
      <c r="D14" s="895"/>
      <c r="E14" s="895"/>
      <c r="F14" s="903"/>
      <c r="G14" s="733"/>
      <c r="H14" s="895"/>
      <c r="I14" s="895"/>
      <c r="J14" s="895"/>
      <c r="K14" s="895"/>
      <c r="L14" s="895"/>
    </row>
    <row r="15" spans="1:12">
      <c r="A15" s="734" t="s">
        <v>1842</v>
      </c>
      <c r="B15" s="735"/>
      <c r="C15" s="735"/>
      <c r="D15" s="735"/>
      <c r="E15" s="735"/>
      <c r="F15" s="736"/>
      <c r="H15" s="737"/>
      <c r="I15" s="737"/>
      <c r="J15" s="737"/>
      <c r="K15" s="737"/>
      <c r="L15" s="737"/>
    </row>
    <row r="16" spans="1:12">
      <c r="A16" s="738" t="s">
        <v>1843</v>
      </c>
      <c r="B16" s="739"/>
      <c r="C16" s="742" t="s">
        <v>1845</v>
      </c>
      <c r="D16" s="742" t="s">
        <v>1959</v>
      </c>
      <c r="E16" s="742" t="s">
        <v>1845</v>
      </c>
      <c r="F16" s="737"/>
      <c r="H16" s="743" t="s">
        <v>1844</v>
      </c>
      <c r="I16" s="737" t="s">
        <v>1844</v>
      </c>
      <c r="J16" s="737" t="s">
        <v>1844</v>
      </c>
      <c r="K16" s="744" t="s">
        <v>1845</v>
      </c>
      <c r="L16" s="737" t="s">
        <v>1844</v>
      </c>
    </row>
    <row r="17" spans="1:12">
      <c r="A17" s="734"/>
      <c r="B17" s="739"/>
      <c r="C17" s="739"/>
      <c r="D17" s="739"/>
      <c r="E17" s="739"/>
      <c r="F17" s="739"/>
      <c r="H17" s="739"/>
      <c r="I17" s="739"/>
      <c r="J17" s="739"/>
      <c r="K17" s="739"/>
      <c r="L17" s="739"/>
    </row>
    <row r="18" spans="1:12">
      <c r="A18" s="738" t="s">
        <v>1846</v>
      </c>
      <c r="B18" s="737" t="s">
        <v>1847</v>
      </c>
      <c r="C18" s="749" t="s">
        <v>1850</v>
      </c>
      <c r="D18" s="749" t="s">
        <v>1850</v>
      </c>
      <c r="E18" s="749" t="s">
        <v>1850</v>
      </c>
      <c r="F18" s="737"/>
      <c r="G18" s="750"/>
      <c r="H18" s="737" t="s">
        <v>1851</v>
      </c>
      <c r="I18" s="737" t="s">
        <v>1847</v>
      </c>
      <c r="J18" s="737" t="s">
        <v>1851</v>
      </c>
      <c r="K18" s="737" t="s">
        <v>1851</v>
      </c>
      <c r="L18" s="737" t="s">
        <v>1851</v>
      </c>
    </row>
    <row r="19" spans="1:12">
      <c r="A19" s="734"/>
      <c r="B19" s="739"/>
      <c r="C19" s="739"/>
      <c r="D19" s="739"/>
      <c r="E19" s="739"/>
      <c r="F19" s="739"/>
      <c r="H19" s="739"/>
      <c r="I19" s="739"/>
      <c r="J19" s="739"/>
      <c r="K19" s="739"/>
      <c r="L19" s="739"/>
    </row>
    <row r="20" spans="1:12" ht="14.4">
      <c r="A20" s="735" t="s">
        <v>1852</v>
      </c>
      <c r="B20" s="751">
        <v>0</v>
      </c>
      <c r="C20" s="869">
        <f>160*14</f>
        <v>2240</v>
      </c>
      <c r="D20" s="754">
        <f>100*14</f>
        <v>1400</v>
      </c>
      <c r="E20" s="754">
        <v>20000</v>
      </c>
      <c r="F20" s="751"/>
      <c r="G20" s="755">
        <f>+C20-B20</f>
        <v>2240</v>
      </c>
      <c r="H20" s="751">
        <v>120</v>
      </c>
      <c r="I20" s="756">
        <v>200</v>
      </c>
      <c r="J20" s="751">
        <v>86</v>
      </c>
      <c r="K20" s="756">
        <v>96</v>
      </c>
      <c r="L20" s="751">
        <v>395</v>
      </c>
    </row>
    <row r="21" spans="1:12" ht="14.4">
      <c r="A21" s="735"/>
      <c r="B21" s="751"/>
      <c r="C21" s="870"/>
      <c r="D21" s="757"/>
      <c r="E21" s="757"/>
      <c r="F21" s="751"/>
      <c r="G21" s="733">
        <f>+G20*D82</f>
        <v>271040000</v>
      </c>
      <c r="H21" s="751"/>
      <c r="I21" s="751"/>
      <c r="J21" s="751"/>
      <c r="K21" s="751"/>
      <c r="L21" s="751"/>
    </row>
    <row r="22" spans="1:12">
      <c r="A22" s="735" t="s">
        <v>1853</v>
      </c>
      <c r="B22" s="739" t="s">
        <v>1854</v>
      </c>
      <c r="C22" s="737" t="s">
        <v>1854</v>
      </c>
      <c r="D22" s="739" t="s">
        <v>1854</v>
      </c>
      <c r="E22" s="739" t="s">
        <v>1854</v>
      </c>
      <c r="F22" s="739"/>
      <c r="G22" s="750"/>
      <c r="H22" s="739" t="s">
        <v>1854</v>
      </c>
      <c r="I22" s="739" t="s">
        <v>1854</v>
      </c>
      <c r="J22" s="739" t="s">
        <v>1854</v>
      </c>
      <c r="K22" s="739" t="s">
        <v>1854</v>
      </c>
      <c r="L22" s="739" t="s">
        <v>1854</v>
      </c>
    </row>
    <row r="23" spans="1:12">
      <c r="A23" s="735"/>
      <c r="B23" s="739"/>
      <c r="C23" s="739"/>
      <c r="D23" s="739"/>
      <c r="E23" s="739"/>
      <c r="F23" s="739"/>
      <c r="G23" s="758"/>
      <c r="H23" s="739"/>
      <c r="I23" s="739"/>
      <c r="J23" s="739"/>
      <c r="K23" s="739"/>
      <c r="L23" s="739"/>
    </row>
    <row r="24" spans="1:12">
      <c r="A24" s="735" t="s">
        <v>1855</v>
      </c>
      <c r="B24" s="737" t="s">
        <v>1856</v>
      </c>
      <c r="C24" s="749" t="s">
        <v>1850</v>
      </c>
      <c r="D24" s="737" t="s">
        <v>1850</v>
      </c>
      <c r="E24" s="737" t="s">
        <v>1850</v>
      </c>
      <c r="F24" s="737"/>
      <c r="G24" s="750"/>
      <c r="H24" s="737" t="s">
        <v>1856</v>
      </c>
      <c r="I24" s="737" t="s">
        <v>1856</v>
      </c>
      <c r="J24" s="737" t="s">
        <v>1856</v>
      </c>
      <c r="K24" s="737" t="s">
        <v>1856</v>
      </c>
      <c r="L24" s="737" t="s">
        <v>1856</v>
      </c>
    </row>
    <row r="25" spans="1:12">
      <c r="A25" s="735"/>
      <c r="B25" s="739"/>
      <c r="C25" s="739"/>
      <c r="D25" s="739"/>
      <c r="E25" s="739"/>
      <c r="F25" s="739"/>
      <c r="H25" s="739"/>
      <c r="I25" s="739"/>
      <c r="J25" s="739"/>
      <c r="K25" s="739"/>
      <c r="L25" s="739"/>
    </row>
    <row r="26" spans="1:12">
      <c r="A26" s="735" t="s">
        <v>531</v>
      </c>
      <c r="B26" s="737" t="s">
        <v>1857</v>
      </c>
      <c r="C26" s="749" t="s">
        <v>649</v>
      </c>
      <c r="D26" s="749" t="s">
        <v>1026</v>
      </c>
      <c r="E26" s="749" t="s">
        <v>1857</v>
      </c>
      <c r="F26" s="737"/>
      <c r="G26" s="750"/>
      <c r="H26" s="737" t="s">
        <v>1026</v>
      </c>
      <c r="I26" s="737" t="s">
        <v>1026</v>
      </c>
      <c r="J26" s="737" t="s">
        <v>1026</v>
      </c>
      <c r="K26" s="737" t="s">
        <v>1026</v>
      </c>
      <c r="L26" s="737" t="s">
        <v>1026</v>
      </c>
    </row>
    <row r="27" spans="1:12">
      <c r="A27" s="735"/>
      <c r="B27" s="739"/>
      <c r="C27" s="739"/>
      <c r="D27" s="739"/>
      <c r="E27" s="739"/>
      <c r="F27" s="739"/>
      <c r="G27" s="759"/>
      <c r="H27" s="739"/>
      <c r="I27" s="739"/>
      <c r="J27" s="739"/>
      <c r="K27" s="739"/>
      <c r="L27" s="739"/>
    </row>
    <row r="28" spans="1:12" ht="14.4">
      <c r="A28" s="735" t="s">
        <v>1858</v>
      </c>
      <c r="B28" s="760">
        <v>0</v>
      </c>
      <c r="C28" s="871">
        <v>0</v>
      </c>
      <c r="D28" s="757">
        <v>0</v>
      </c>
      <c r="E28" s="757">
        <v>0</v>
      </c>
      <c r="F28" s="751"/>
      <c r="G28" s="755">
        <f>+C28-B28</f>
        <v>0</v>
      </c>
      <c r="H28" s="751">
        <v>110</v>
      </c>
      <c r="I28" s="751">
        <v>0</v>
      </c>
      <c r="J28" s="751">
        <v>96</v>
      </c>
      <c r="K28" s="751">
        <v>80</v>
      </c>
      <c r="L28" s="751">
        <v>60</v>
      </c>
    </row>
    <row r="29" spans="1:12" ht="14.4">
      <c r="A29" s="735"/>
      <c r="B29" s="739"/>
      <c r="C29" s="870"/>
      <c r="D29" s="757"/>
      <c r="E29" s="757"/>
      <c r="F29" s="751"/>
      <c r="G29" s="733">
        <f>+G28*C36*0.95</f>
        <v>0</v>
      </c>
      <c r="H29" s="751"/>
      <c r="I29" s="751"/>
      <c r="J29" s="751"/>
      <c r="K29" s="751"/>
      <c r="L29" s="751"/>
    </row>
    <row r="30" spans="1:12" ht="13.8">
      <c r="A30" s="735" t="s">
        <v>1859</v>
      </c>
      <c r="B30" s="739"/>
      <c r="C30" s="739"/>
      <c r="D30" s="739"/>
      <c r="E30" s="739"/>
      <c r="F30" s="739"/>
      <c r="G30" s="761"/>
      <c r="H30" s="739"/>
      <c r="I30" s="739"/>
      <c r="J30" s="739"/>
      <c r="K30" s="739"/>
      <c r="L30" s="739"/>
    </row>
    <row r="31" spans="1:12">
      <c r="A31" s="735"/>
      <c r="B31" s="739"/>
      <c r="C31" s="739"/>
      <c r="D31" s="739"/>
      <c r="E31" s="739"/>
      <c r="F31" s="739"/>
      <c r="G31" s="762"/>
      <c r="H31" s="739"/>
      <c r="I31" s="739"/>
      <c r="J31" s="739"/>
      <c r="K31" s="739"/>
      <c r="L31" s="739"/>
    </row>
    <row r="32" spans="1:12" ht="14.4">
      <c r="A32" s="735" t="s">
        <v>1845</v>
      </c>
      <c r="B32" s="739"/>
      <c r="C32" s="872">
        <f>3000000*160</f>
        <v>480000000</v>
      </c>
      <c r="D32" s="757">
        <f>100*2500000</f>
        <v>250000000</v>
      </c>
      <c r="E32" s="757">
        <f>E20/14*2000000</f>
        <v>2857142857.1428576</v>
      </c>
      <c r="F32" s="751"/>
      <c r="G32" s="763"/>
      <c r="H32" s="751">
        <v>900000000</v>
      </c>
      <c r="I32" s="751">
        <f>4400000*I20</f>
        <v>880000000</v>
      </c>
      <c r="J32" s="751">
        <v>530000000</v>
      </c>
      <c r="K32" s="751">
        <v>900000000</v>
      </c>
      <c r="L32" s="751">
        <v>1700000000</v>
      </c>
    </row>
    <row r="33" spans="1:12" ht="14.4">
      <c r="A33" s="735"/>
      <c r="B33" s="739"/>
      <c r="C33" s="870"/>
      <c r="D33" s="757"/>
      <c r="E33" s="757"/>
      <c r="F33" s="751"/>
      <c r="G33" s="750"/>
      <c r="H33" s="751"/>
      <c r="I33" s="751"/>
      <c r="J33" s="751"/>
      <c r="K33" s="751"/>
      <c r="L33" s="751"/>
    </row>
    <row r="34" spans="1:12" s="770" customFormat="1">
      <c r="A34" s="764" t="s">
        <v>1860</v>
      </c>
      <c r="B34" s="765"/>
      <c r="C34" s="768">
        <v>0.2</v>
      </c>
      <c r="D34" s="768">
        <v>0</v>
      </c>
      <c r="E34" s="768">
        <v>0.15</v>
      </c>
      <c r="F34" s="768"/>
      <c r="G34" s="769"/>
      <c r="H34" s="768">
        <v>0.05</v>
      </c>
      <c r="I34" s="768">
        <v>0.2</v>
      </c>
      <c r="J34" s="768">
        <v>0.05</v>
      </c>
      <c r="K34" s="768">
        <v>0.15</v>
      </c>
      <c r="L34" s="768">
        <v>0.1</v>
      </c>
    </row>
    <row r="35" spans="1:12">
      <c r="A35" s="735" t="s">
        <v>1861</v>
      </c>
      <c r="B35" s="771"/>
      <c r="C35" s="875">
        <f>(100%-C34)*C32</f>
        <v>384000000</v>
      </c>
      <c r="D35" s="771">
        <f t="shared" ref="D35:E35" si="0">(100%-D34)*D32</f>
        <v>250000000</v>
      </c>
      <c r="E35" s="771">
        <f t="shared" si="0"/>
        <v>2428571428.5714288</v>
      </c>
      <c r="F35" s="771"/>
      <c r="G35" s="755">
        <f>+C35-G21-G29</f>
        <v>112960000</v>
      </c>
      <c r="H35" s="771">
        <f>(100%-H34)*H32</f>
        <v>855000000</v>
      </c>
      <c r="I35" s="771">
        <f>(100%-I34)*I32</f>
        <v>704000000</v>
      </c>
      <c r="J35" s="771">
        <f>(100%-J34)*J32</f>
        <v>503500000</v>
      </c>
      <c r="K35" s="771">
        <f>(100%-K34)*K32</f>
        <v>765000000</v>
      </c>
      <c r="L35" s="771">
        <f>(100%-L34)*L32</f>
        <v>1530000000</v>
      </c>
    </row>
    <row r="36" spans="1:12" s="770" customFormat="1">
      <c r="A36" s="764" t="s">
        <v>1862</v>
      </c>
      <c r="B36" s="765"/>
      <c r="C36" s="877">
        <v>0</v>
      </c>
      <c r="D36" s="776">
        <v>0</v>
      </c>
      <c r="E36" s="776">
        <v>0</v>
      </c>
      <c r="F36" s="776"/>
      <c r="G36" s="777">
        <f>+B28*400000*0.85</f>
        <v>0</v>
      </c>
      <c r="H36" s="776">
        <v>4000000</v>
      </c>
      <c r="I36" s="776">
        <v>0</v>
      </c>
      <c r="J36" s="776">
        <v>3500000</v>
      </c>
      <c r="K36" s="776">
        <v>2500000</v>
      </c>
      <c r="L36" s="776">
        <v>2500000</v>
      </c>
    </row>
    <row r="37" spans="1:12" ht="14.4">
      <c r="A37" s="735" t="s">
        <v>1863</v>
      </c>
      <c r="B37" s="739"/>
      <c r="C37" s="878">
        <f>C36*C28</f>
        <v>0</v>
      </c>
      <c r="D37" s="757">
        <f t="shared" ref="D37:E37" si="1">D36*D28</f>
        <v>0</v>
      </c>
      <c r="E37" s="757">
        <f t="shared" si="1"/>
        <v>0</v>
      </c>
      <c r="F37" s="751"/>
      <c r="G37" s="755">
        <f>+G35-G36</f>
        <v>112960000</v>
      </c>
      <c r="H37" s="751">
        <f>H36*H28</f>
        <v>440000000</v>
      </c>
      <c r="I37" s="751">
        <f>I36*I28</f>
        <v>0</v>
      </c>
      <c r="J37" s="751">
        <f>J36*J28</f>
        <v>336000000</v>
      </c>
      <c r="K37" s="751">
        <f>K36*K28</f>
        <v>200000000</v>
      </c>
      <c r="L37" s="751">
        <f>L36*L28</f>
        <v>150000000</v>
      </c>
    </row>
    <row r="38" spans="1:12" s="770" customFormat="1" ht="14.4">
      <c r="A38" s="764" t="s">
        <v>1864</v>
      </c>
      <c r="B38" s="765"/>
      <c r="C38" s="879">
        <v>0</v>
      </c>
      <c r="D38" s="780">
        <v>0</v>
      </c>
      <c r="E38" s="780">
        <v>0</v>
      </c>
      <c r="F38" s="781"/>
      <c r="G38" s="782"/>
      <c r="H38" s="781">
        <v>0.05</v>
      </c>
      <c r="I38" s="781">
        <v>0</v>
      </c>
      <c r="J38" s="781">
        <v>0.1</v>
      </c>
      <c r="K38" s="781">
        <v>0.1</v>
      </c>
      <c r="L38" s="781">
        <v>0</v>
      </c>
    </row>
    <row r="39" spans="1:12" ht="14.4">
      <c r="A39" s="735" t="s">
        <v>1865</v>
      </c>
      <c r="B39" s="739"/>
      <c r="C39" s="872">
        <f>(100%-C38)*C37</f>
        <v>0</v>
      </c>
      <c r="D39" s="757">
        <f t="shared" ref="D39:E39" si="2">(100%-D38)*D37</f>
        <v>0</v>
      </c>
      <c r="E39" s="757">
        <f t="shared" si="2"/>
        <v>0</v>
      </c>
      <c r="F39" s="751"/>
      <c r="G39" s="755"/>
      <c r="H39" s="751">
        <f>(100%-H38)*H37</f>
        <v>418000000</v>
      </c>
      <c r="I39" s="751">
        <f>(100%-I38)*I37</f>
        <v>0</v>
      </c>
      <c r="J39" s="751">
        <f>(100%-J38)*J37</f>
        <v>302400000</v>
      </c>
      <c r="K39" s="751">
        <f>(100%-K38)*K37</f>
        <v>180000000</v>
      </c>
      <c r="L39" s="751">
        <f>(100%-L38)*L37</f>
        <v>150000000</v>
      </c>
    </row>
    <row r="40" spans="1:12">
      <c r="A40" s="735" t="s">
        <v>1859</v>
      </c>
      <c r="B40" s="739"/>
      <c r="C40" s="771"/>
      <c r="D40" s="771">
        <v>0</v>
      </c>
      <c r="E40" s="771">
        <v>0</v>
      </c>
      <c r="F40" s="771"/>
      <c r="G40" s="750"/>
      <c r="H40" s="771">
        <v>0</v>
      </c>
      <c r="I40" s="771">
        <v>0</v>
      </c>
      <c r="J40" s="771">
        <v>0</v>
      </c>
      <c r="K40" s="771">
        <v>0</v>
      </c>
      <c r="L40" s="771">
        <v>0</v>
      </c>
    </row>
    <row r="41" spans="1:12" s="770" customFormat="1" ht="13.5" customHeight="1">
      <c r="A41" s="764" t="s">
        <v>1866</v>
      </c>
      <c r="B41" s="765"/>
      <c r="C41" s="880">
        <f>ROUND((C35-C39-C40)/C20,-3)</f>
        <v>171000</v>
      </c>
      <c r="D41" s="784">
        <f t="shared" ref="D41:E41" si="3">ROUND((D35-D39-D40)/D20,-3)</f>
        <v>179000</v>
      </c>
      <c r="E41" s="784">
        <f t="shared" si="3"/>
        <v>121000</v>
      </c>
      <c r="F41" s="785"/>
      <c r="G41" s="786"/>
      <c r="H41" s="785">
        <f>ROUND((H35-H39-H40)/H20,-3)</f>
        <v>3642000</v>
      </c>
      <c r="I41" s="785">
        <f>ROUND((I35-I39-I40)/I20,-3)</f>
        <v>3520000</v>
      </c>
      <c r="J41" s="785">
        <f>ROUND((J35-J39-J40)/J20,-3)</f>
        <v>2338000</v>
      </c>
      <c r="K41" s="785">
        <f>ROUND((K35-K39-K40)/K20,-3)</f>
        <v>6094000</v>
      </c>
      <c r="L41" s="785">
        <f>ROUND((L35-L39-L40)/L20,-3)</f>
        <v>3494000</v>
      </c>
    </row>
    <row r="42" spans="1:12" ht="14.4">
      <c r="A42" s="735"/>
      <c r="B42" s="739"/>
      <c r="C42" s="881"/>
      <c r="D42" s="757"/>
      <c r="E42" s="757"/>
      <c r="F42" s="751"/>
      <c r="G42" s="750"/>
      <c r="H42" s="751"/>
      <c r="I42" s="751"/>
      <c r="J42" s="751"/>
      <c r="K42" s="751"/>
      <c r="L42" s="751"/>
    </row>
    <row r="43" spans="1:12" ht="18" customHeight="1">
      <c r="A43" s="787" t="s">
        <v>1867</v>
      </c>
      <c r="B43" s="739"/>
      <c r="C43" s="809" t="s">
        <v>1960</v>
      </c>
      <c r="D43" s="790" t="s">
        <v>1961</v>
      </c>
      <c r="E43" s="790" t="s">
        <v>1870</v>
      </c>
      <c r="F43" s="791"/>
      <c r="G43" s="792"/>
      <c r="H43" s="793" t="s">
        <v>1871</v>
      </c>
      <c r="I43" s="794" t="s">
        <v>1872</v>
      </c>
      <c r="J43" s="794" t="s">
        <v>1873</v>
      </c>
      <c r="K43" s="793" t="s">
        <v>1874</v>
      </c>
      <c r="L43" s="793" t="s">
        <v>1875</v>
      </c>
    </row>
    <row r="44" spans="1:12" s="802" customFormat="1" ht="24" customHeight="1">
      <c r="A44" s="795" t="s">
        <v>504</v>
      </c>
      <c r="B44" s="796"/>
      <c r="C44" s="798" t="s">
        <v>1955</v>
      </c>
      <c r="D44" s="798" t="s">
        <v>1962</v>
      </c>
      <c r="E44" s="798" t="s">
        <v>1877</v>
      </c>
      <c r="F44" s="793"/>
      <c r="G44" s="799"/>
      <c r="H44" s="800" t="s">
        <v>1878</v>
      </c>
      <c r="I44" s="800" t="s">
        <v>1879</v>
      </c>
      <c r="J44" s="800" t="s">
        <v>1880</v>
      </c>
      <c r="K44" s="801" t="s">
        <v>1881</v>
      </c>
      <c r="L44" s="801" t="s">
        <v>1882</v>
      </c>
    </row>
    <row r="45" spans="1:12" ht="13.8">
      <c r="A45" s="787" t="s">
        <v>1883</v>
      </c>
      <c r="B45" s="739"/>
      <c r="C45" s="884" t="s">
        <v>1886</v>
      </c>
      <c r="D45" s="803" t="s">
        <v>1963</v>
      </c>
      <c r="E45" s="803" t="s">
        <v>1886</v>
      </c>
      <c r="F45" s="804"/>
      <c r="G45" s="805"/>
      <c r="H45" s="791" t="s">
        <v>1887</v>
      </c>
      <c r="I45" s="794" t="s">
        <v>1888</v>
      </c>
      <c r="J45" s="794" t="s">
        <v>1889</v>
      </c>
      <c r="K45" s="791" t="s">
        <v>1890</v>
      </c>
      <c r="L45" s="791" t="s">
        <v>1891</v>
      </c>
    </row>
    <row r="46" spans="1:12" ht="13.8">
      <c r="A46" s="787" t="s">
        <v>1892</v>
      </c>
      <c r="B46" s="739"/>
      <c r="C46" s="807" t="s">
        <v>1964</v>
      </c>
      <c r="D46" s="807" t="s">
        <v>1947</v>
      </c>
      <c r="E46" s="807" t="s">
        <v>1894</v>
      </c>
      <c r="F46" s="804"/>
      <c r="G46" s="808"/>
      <c r="H46" s="804" t="s">
        <v>1895</v>
      </c>
      <c r="I46" s="791" t="s">
        <v>1896</v>
      </c>
      <c r="J46" s="791" t="s">
        <v>1897</v>
      </c>
      <c r="K46" s="791" t="s">
        <v>1898</v>
      </c>
      <c r="L46" s="804" t="s">
        <v>1893</v>
      </c>
    </row>
    <row r="47" spans="1:12" ht="14.4">
      <c r="A47" s="787" t="s">
        <v>1899</v>
      </c>
      <c r="B47" s="791" t="s">
        <v>1900</v>
      </c>
      <c r="C47" s="809">
        <v>0</v>
      </c>
      <c r="D47" s="809">
        <v>0</v>
      </c>
      <c r="E47" s="809">
        <v>0</v>
      </c>
      <c r="F47" s="791"/>
      <c r="G47" s="805"/>
      <c r="H47" s="791" t="s">
        <v>1902</v>
      </c>
      <c r="I47" s="791" t="s">
        <v>1903</v>
      </c>
      <c r="J47" s="791" t="s">
        <v>1902</v>
      </c>
      <c r="K47" s="791" t="s">
        <v>1904</v>
      </c>
      <c r="L47" s="791" t="s">
        <v>1905</v>
      </c>
    </row>
    <row r="48" spans="1:12" ht="105.6">
      <c r="A48" s="787" t="s">
        <v>1836</v>
      </c>
      <c r="B48" s="791"/>
      <c r="C48" s="812" t="s">
        <v>1965</v>
      </c>
      <c r="D48" s="812" t="s">
        <v>1906</v>
      </c>
      <c r="E48" s="812" t="s">
        <v>1966</v>
      </c>
      <c r="F48" s="791"/>
      <c r="G48" s="808"/>
      <c r="H48" s="808"/>
      <c r="J48" s="791"/>
    </row>
    <row r="49" spans="1:8" s="808" customFormat="1" ht="16.5" customHeight="1">
      <c r="C49" s="813"/>
      <c r="D49" s="813"/>
      <c r="E49" s="813"/>
      <c r="F49" s="813"/>
      <c r="G49" s="814"/>
      <c r="H49" s="726"/>
    </row>
    <row r="50" spans="1:8">
      <c r="A50" s="815" t="s">
        <v>1907</v>
      </c>
      <c r="B50" s="808"/>
      <c r="C50" s="816" t="e">
        <f>C20/B20</f>
        <v>#DIV/0!</v>
      </c>
      <c r="D50" s="816" t="e">
        <f>D20/B20</f>
        <v>#DIV/0!</v>
      </c>
      <c r="E50" s="816" t="e">
        <f>E20/B20</f>
        <v>#DIV/0!</v>
      </c>
      <c r="F50" s="816"/>
      <c r="G50" s="808"/>
      <c r="H50" s="770"/>
    </row>
    <row r="51" spans="1:8" s="770" customFormat="1">
      <c r="A51" s="817" t="s">
        <v>1908</v>
      </c>
      <c r="B51" s="817">
        <v>2</v>
      </c>
      <c r="C51" s="817">
        <v>1</v>
      </c>
      <c r="D51" s="817">
        <v>1</v>
      </c>
      <c r="E51" s="817">
        <v>2</v>
      </c>
      <c r="F51" s="817"/>
      <c r="G51" s="818"/>
      <c r="H51" s="819"/>
    </row>
    <row r="52" spans="1:8" s="819" customFormat="1">
      <c r="A52" s="817" t="s">
        <v>1909</v>
      </c>
      <c r="B52" s="820"/>
      <c r="C52" s="820">
        <v>-0.3</v>
      </c>
      <c r="D52" s="820">
        <v>-0.3</v>
      </c>
      <c r="E52" s="820">
        <v>0</v>
      </c>
      <c r="F52" s="820"/>
      <c r="G52" s="821"/>
      <c r="H52" s="770"/>
    </row>
    <row r="53" spans="1:8" s="770" customFormat="1">
      <c r="A53" s="764" t="s">
        <v>1910</v>
      </c>
      <c r="B53" s="764">
        <v>1</v>
      </c>
      <c r="C53" s="764">
        <v>1</v>
      </c>
      <c r="D53" s="764">
        <v>1</v>
      </c>
      <c r="E53" s="764">
        <v>1</v>
      </c>
      <c r="F53" s="764"/>
      <c r="G53" s="818"/>
      <c r="H53" s="819"/>
    </row>
    <row r="54" spans="1:8" s="819" customFormat="1">
      <c r="A54" s="817" t="s">
        <v>1909</v>
      </c>
      <c r="B54" s="820"/>
      <c r="C54" s="824">
        <v>9.9999999999999995E-7</v>
      </c>
      <c r="D54" s="824">
        <v>9.9999999999999995E-7</v>
      </c>
      <c r="E54" s="824">
        <v>9.9999999999999995E-7</v>
      </c>
      <c r="F54" s="820"/>
      <c r="G54" s="825"/>
      <c r="H54" s="770"/>
    </row>
    <row r="55" spans="1:8" s="770" customFormat="1">
      <c r="A55" s="817" t="s">
        <v>1911</v>
      </c>
      <c r="B55" s="817">
        <v>1</v>
      </c>
      <c r="C55" s="817">
        <v>1</v>
      </c>
      <c r="D55" s="817">
        <v>1</v>
      </c>
      <c r="E55" s="817">
        <v>1</v>
      </c>
      <c r="F55" s="817"/>
      <c r="G55" s="826"/>
      <c r="H55" s="827"/>
    </row>
    <row r="56" spans="1:8" s="819" customFormat="1">
      <c r="A56" s="817" t="s">
        <v>1909</v>
      </c>
      <c r="B56" s="820"/>
      <c r="C56" s="820">
        <v>0</v>
      </c>
      <c r="D56" s="820">
        <v>0</v>
      </c>
      <c r="E56" s="820">
        <v>0</v>
      </c>
      <c r="F56" s="820"/>
      <c r="G56" s="828"/>
      <c r="H56" s="770"/>
    </row>
    <row r="57" spans="1:8" s="770" customFormat="1">
      <c r="A57" s="829" t="s">
        <v>1967</v>
      </c>
      <c r="B57" s="817">
        <v>1</v>
      </c>
      <c r="C57" s="817">
        <v>1</v>
      </c>
      <c r="D57" s="817">
        <v>1</v>
      </c>
      <c r="E57" s="817">
        <v>1</v>
      </c>
      <c r="F57" s="817"/>
      <c r="G57" s="830"/>
      <c r="H57" s="819"/>
    </row>
    <row r="58" spans="1:8" s="819" customFormat="1">
      <c r="A58" s="817" t="s">
        <v>1909</v>
      </c>
      <c r="B58" s="820"/>
      <c r="C58" s="820">
        <v>0</v>
      </c>
      <c r="D58" s="820">
        <v>0</v>
      </c>
      <c r="E58" s="820">
        <v>0</v>
      </c>
      <c r="F58" s="820"/>
      <c r="G58" s="821"/>
      <c r="H58" s="770"/>
    </row>
    <row r="59" spans="1:8" s="770" customFormat="1">
      <c r="A59" s="829" t="s">
        <v>1968</v>
      </c>
      <c r="B59" s="817">
        <v>1</v>
      </c>
      <c r="C59" s="817">
        <v>1</v>
      </c>
      <c r="D59" s="817">
        <v>1</v>
      </c>
      <c r="E59" s="817">
        <v>1</v>
      </c>
      <c r="F59" s="817"/>
      <c r="G59" s="818"/>
      <c r="H59" s="819"/>
    </row>
    <row r="60" spans="1:8" s="819" customFormat="1">
      <c r="A60" s="817" t="s">
        <v>1909</v>
      </c>
      <c r="B60" s="820"/>
      <c r="C60" s="820">
        <v>0</v>
      </c>
      <c r="D60" s="820">
        <v>0</v>
      </c>
      <c r="E60" s="820">
        <v>0</v>
      </c>
      <c r="F60" s="820"/>
      <c r="H60" s="770"/>
    </row>
    <row r="61" spans="1:8" s="831" customFormat="1">
      <c r="A61" s="787" t="s">
        <v>1914</v>
      </c>
      <c r="B61" s="787">
        <v>1</v>
      </c>
      <c r="C61" s="787">
        <v>2</v>
      </c>
      <c r="D61" s="787">
        <v>1</v>
      </c>
      <c r="E61" s="787">
        <v>1</v>
      </c>
      <c r="F61" s="787"/>
    </row>
    <row r="62" spans="1:8" s="819" customFormat="1">
      <c r="A62" s="817" t="s">
        <v>1909</v>
      </c>
      <c r="B62" s="820"/>
      <c r="C62" s="820">
        <v>0</v>
      </c>
      <c r="D62" s="820">
        <v>-0.1</v>
      </c>
      <c r="E62" s="820">
        <v>0</v>
      </c>
      <c r="F62" s="820"/>
      <c r="H62" s="770"/>
    </row>
    <row r="63" spans="1:8" s="770" customFormat="1">
      <c r="A63" s="829" t="s">
        <v>1969</v>
      </c>
      <c r="B63" s="817">
        <v>1</v>
      </c>
      <c r="C63" s="817">
        <v>1</v>
      </c>
      <c r="D63" s="817">
        <v>1</v>
      </c>
      <c r="E63" s="817">
        <v>1</v>
      </c>
      <c r="F63" s="817"/>
      <c r="H63" s="819"/>
    </row>
    <row r="64" spans="1:8" s="819" customFormat="1">
      <c r="A64" s="817" t="s">
        <v>1909</v>
      </c>
      <c r="B64" s="820"/>
      <c r="C64" s="820">
        <v>0</v>
      </c>
      <c r="D64" s="820">
        <v>0.1</v>
      </c>
      <c r="E64" s="820">
        <v>0</v>
      </c>
      <c r="F64" s="820"/>
      <c r="H64" s="770"/>
    </row>
    <row r="65" spans="1:8" s="770" customFormat="1">
      <c r="A65" s="817" t="s">
        <v>1916</v>
      </c>
      <c r="B65" s="817"/>
      <c r="C65" s="820">
        <f>C52+C54+C56+C58+C64+C60+C62</f>
        <v>-0.29999900000000002</v>
      </c>
      <c r="D65" s="820">
        <f>D52+D54+D56+D58+D64+D60+D62</f>
        <v>-0.29999900000000002</v>
      </c>
      <c r="E65" s="820">
        <f>E52+E54+E56+E58+E64+E60+E62</f>
        <v>9.9999999999999995E-7</v>
      </c>
      <c r="F65" s="820"/>
      <c r="H65" s="819"/>
    </row>
    <row r="66" spans="1:8" s="819" customFormat="1">
      <c r="A66" s="817" t="s">
        <v>1917</v>
      </c>
      <c r="B66" s="817"/>
      <c r="C66" s="832">
        <f>+ABS(C52)+ABS(C54)+ABS(C56)+ABS(C58)+ABS(C60)+ABS(C62)+ABS(C64)</f>
        <v>0.30000099999999996</v>
      </c>
      <c r="D66" s="832">
        <f>+ABS(D52)+ABS(D54)+ABS(D56)+ABS(D58)+ABS(D60)+ABS(D62)+ABS(D64)</f>
        <v>0.50000099999999992</v>
      </c>
      <c r="E66" s="832">
        <f>+ABS(E52)+ABS(E54)+ABS(E56)+ABS(E58)+ABS(E60)+ABS(E62)+ABS(E64)</f>
        <v>9.9999999999999995E-7</v>
      </c>
      <c r="F66" s="832"/>
      <c r="H66" s="726"/>
    </row>
    <row r="67" spans="1:8">
      <c r="A67" s="726" t="s">
        <v>1918</v>
      </c>
      <c r="B67" s="726">
        <f>SUM(C69:E69)</f>
        <v>2</v>
      </c>
      <c r="C67" s="726">
        <f>C69/$B$67</f>
        <v>0.31250007812470704</v>
      </c>
      <c r="D67" s="726">
        <f>D69/$B$67</f>
        <v>0.18750054687294926</v>
      </c>
      <c r="E67" s="726">
        <f>E69/$B$67</f>
        <v>0.49999937500234376</v>
      </c>
      <c r="F67" s="726">
        <f>F69/$B$67</f>
        <v>0</v>
      </c>
    </row>
    <row r="68" spans="1:8">
      <c r="A68" s="726" t="s">
        <v>1907</v>
      </c>
      <c r="B68" s="833">
        <f>SUM(C66:E66)</f>
        <v>0.80000299999999991</v>
      </c>
      <c r="C68" s="834">
        <f>C66/$B$68</f>
        <v>0.37499984375058593</v>
      </c>
      <c r="D68" s="726">
        <f>D66/$B$68</f>
        <v>0.62499890625410148</v>
      </c>
      <c r="E68" s="726">
        <f>E66/$B$68</f>
        <v>1.2499953125175782E-6</v>
      </c>
      <c r="F68" s="726">
        <f>F66/$B$68</f>
        <v>0</v>
      </c>
    </row>
    <row r="69" spans="1:8">
      <c r="A69" s="726" t="s">
        <v>1919</v>
      </c>
      <c r="C69" s="726">
        <f>IF(C68&lt;&gt;0,1-C68,0)</f>
        <v>0.62500015624941407</v>
      </c>
      <c r="D69" s="726">
        <f>IF(D68&lt;&gt;0,1-D68,0)</f>
        <v>0.37500109374589852</v>
      </c>
      <c r="E69" s="726">
        <f>IF(E68&lt;&gt;0,1-E68,0)</f>
        <v>0.99999875000468752</v>
      </c>
      <c r="F69" s="726">
        <f>IF(F68&lt;&gt;0,1-F68,0)</f>
        <v>0</v>
      </c>
    </row>
    <row r="70" spans="1:8" ht="17.25" customHeight="1"/>
    <row r="71" spans="1:8">
      <c r="A71" s="727" t="s">
        <v>1920</v>
      </c>
      <c r="C71" s="835">
        <f>(1+C65)*C41</f>
        <v>119700.171</v>
      </c>
      <c r="D71" s="835">
        <f>(1+D65)*D41</f>
        <v>125300.179</v>
      </c>
      <c r="E71" s="835">
        <f>(1+E65)*E41</f>
        <v>121000.12099999998</v>
      </c>
      <c r="F71" s="835">
        <f>(1+F65)*F41</f>
        <v>0</v>
      </c>
      <c r="G71" s="835"/>
    </row>
    <row r="72" spans="1:8" ht="12" customHeight="1"/>
    <row r="73" spans="1:8" ht="12.75" hidden="1" customHeight="1">
      <c r="A73" s="726" t="s">
        <v>1921</v>
      </c>
      <c r="C73" s="726">
        <f>$C$80/C71</f>
        <v>0.50877258040691709</v>
      </c>
      <c r="D73" s="726">
        <f>$C$80/D71</f>
        <v>0.4860341410591219</v>
      </c>
    </row>
    <row r="74" spans="1:8">
      <c r="A74" s="726" t="s">
        <v>1922</v>
      </c>
      <c r="C74" s="726">
        <f>$C$82/C71</f>
        <v>1.0142019742814503</v>
      </c>
      <c r="D74" s="726">
        <f>$C$82/D71</f>
        <v>0.96887451174373174</v>
      </c>
      <c r="E74" s="726">
        <f>$C$82/E71</f>
        <v>1.0033060194214782</v>
      </c>
      <c r="F74" s="726" t="e">
        <f>$C$82/F71</f>
        <v>#DIV/0!</v>
      </c>
    </row>
    <row r="75" spans="1:8" ht="12.75" hidden="1" customHeight="1">
      <c r="A75" s="726" t="s">
        <v>1923</v>
      </c>
      <c r="C75" s="726">
        <f>$C$84/C71</f>
        <v>1.0142019742814503</v>
      </c>
      <c r="D75" s="726">
        <f>$C$84/D71</f>
        <v>0.96887451174373174</v>
      </c>
      <c r="E75" s="726">
        <f>$C$84/E71</f>
        <v>1.0033060194214782</v>
      </c>
      <c r="F75" s="726" t="e">
        <f>$C$84/F71</f>
        <v>#DIV/0!</v>
      </c>
    </row>
    <row r="76" spans="1:8" ht="12.75" hidden="1" customHeight="1">
      <c r="A76" s="726" t="s">
        <v>1924</v>
      </c>
      <c r="C76" s="726">
        <f>$C$86/C71</f>
        <v>1.0142019742814503</v>
      </c>
      <c r="D76" s="726">
        <f>$C$86/D71</f>
        <v>0.96887451174373174</v>
      </c>
      <c r="E76" s="726">
        <f>$C$86/E71</f>
        <v>1.0033060194214782</v>
      </c>
      <c r="F76" s="726" t="e">
        <f>$C$86/F71</f>
        <v>#DIV/0!</v>
      </c>
    </row>
    <row r="77" spans="1:8" ht="12.75" customHeight="1"/>
    <row r="78" spans="1:8">
      <c r="A78" s="836" t="s">
        <v>1925</v>
      </c>
      <c r="C78" s="837">
        <f>1-C74</f>
        <v>-1.4201974281450314E-2</v>
      </c>
      <c r="D78" s="837">
        <f>1-D74</f>
        <v>3.1125488256268263E-2</v>
      </c>
      <c r="E78" s="837">
        <f>1-E74</f>
        <v>-3.3060194214782346E-3</v>
      </c>
      <c r="F78" s="837" t="e">
        <f>1-F74</f>
        <v>#DIV/0!</v>
      </c>
    </row>
    <row r="79" spans="1:8" hidden="1"/>
    <row r="80" spans="1:8" ht="12.75" hidden="1" customHeight="1">
      <c r="A80" s="727" t="s">
        <v>1926</v>
      </c>
      <c r="C80" s="835">
        <f>C71*C67+D71*D67</f>
        <v>60900.164874819224</v>
      </c>
      <c r="D80" s="838">
        <f>ROUND((C80),-3)</f>
        <v>61000</v>
      </c>
    </row>
    <row r="81" spans="1:9" hidden="1">
      <c r="A81" s="727"/>
      <c r="C81" s="835"/>
    </row>
    <row r="82" spans="1:9" ht="14.4">
      <c r="A82" s="727" t="s">
        <v>1927</v>
      </c>
      <c r="C82" s="838">
        <f>C71*C67+D71*D67+E71*E67</f>
        <v>121400.14975002719</v>
      </c>
      <c r="D82" s="839">
        <f>ROUND((C82),-3)</f>
        <v>121000</v>
      </c>
      <c r="E82" s="840"/>
      <c r="F82" s="840"/>
      <c r="I82" s="836"/>
    </row>
    <row r="83" spans="1:9" ht="14.4" hidden="1">
      <c r="A83" s="727"/>
      <c r="C83" s="838"/>
      <c r="E83" s="841"/>
    </row>
    <row r="84" spans="1:9" ht="12.75" hidden="1" customHeight="1">
      <c r="A84" s="727" t="s">
        <v>1928</v>
      </c>
      <c r="C84" s="838">
        <f>C71*C67+D71*D67+E71*E67+F71*F67</f>
        <v>121400.14975002719</v>
      </c>
      <c r="D84" s="839">
        <f>ROUND((C84),-3)</f>
        <v>121000</v>
      </c>
    </row>
    <row r="85" spans="1:9" ht="12.75" hidden="1" customHeight="1">
      <c r="A85" s="727"/>
      <c r="C85" s="838"/>
    </row>
    <row r="86" spans="1:9" ht="12.75" hidden="1" customHeight="1">
      <c r="A86" s="727" t="s">
        <v>1929</v>
      </c>
      <c r="C86" s="838">
        <f>C71*C67+D71*D67+E71*E67+F71*F67+G36*G32</f>
        <v>121400.14975002719</v>
      </c>
      <c r="D86" s="839">
        <f>ROUND((C86),-3)</f>
        <v>121000</v>
      </c>
    </row>
    <row r="87" spans="1:9" ht="12.75" customHeight="1">
      <c r="A87" s="727"/>
      <c r="C87" s="838"/>
      <c r="D87" s="839"/>
    </row>
    <row r="88" spans="1:9" ht="12.75" customHeight="1" thickBot="1">
      <c r="A88" s="727" t="s">
        <v>1930</v>
      </c>
      <c r="B88" s="842"/>
      <c r="C88" s="843"/>
      <c r="D88" s="844">
        <f>D82*14</f>
        <v>1694000</v>
      </c>
      <c r="E88" s="845"/>
      <c r="F88" s="845"/>
    </row>
    <row r="89" spans="1:9" ht="15" hidden="1" thickTop="1">
      <c r="A89" s="846"/>
      <c r="B89" s="846"/>
      <c r="C89" s="846"/>
      <c r="D89" s="846"/>
      <c r="E89" s="847"/>
      <c r="F89" s="847"/>
      <c r="G89" s="726">
        <v>2015</v>
      </c>
      <c r="H89" s="848"/>
    </row>
    <row r="90" spans="1:9" ht="13.8" hidden="1" thickTop="1">
      <c r="A90" s="849"/>
      <c r="B90" s="849" t="s">
        <v>1931</v>
      </c>
      <c r="C90" s="850" t="s">
        <v>1932</v>
      </c>
      <c r="D90" s="851" t="s">
        <v>1933</v>
      </c>
      <c r="E90" s="852" t="s">
        <v>1934</v>
      </c>
      <c r="F90" s="853" t="s">
        <v>1935</v>
      </c>
      <c r="G90" s="726">
        <v>1980</v>
      </c>
      <c r="H90" s="854"/>
      <c r="I90" s="855"/>
    </row>
    <row r="91" spans="1:9" ht="13.8" hidden="1" thickTop="1">
      <c r="A91" s="856" t="s">
        <v>1936</v>
      </c>
      <c r="B91" s="857">
        <f>B20</f>
        <v>0</v>
      </c>
      <c r="C91" s="857">
        <f>+D82</f>
        <v>121000</v>
      </c>
      <c r="D91" s="858">
        <f>C91*B91</f>
        <v>0</v>
      </c>
      <c r="E91" s="858">
        <f>D91</f>
        <v>0</v>
      </c>
      <c r="F91" s="859">
        <f>+E91*0.7</f>
        <v>0</v>
      </c>
      <c r="G91" s="726">
        <f>+G89-G90</f>
        <v>35</v>
      </c>
      <c r="H91" s="854"/>
      <c r="I91" s="855"/>
    </row>
    <row r="92" spans="1:9" ht="13.8" hidden="1" thickTop="1">
      <c r="A92" s="856" t="s">
        <v>1937</v>
      </c>
      <c r="B92" s="860">
        <f>B28</f>
        <v>0</v>
      </c>
      <c r="C92" s="857">
        <f>+'[20]Kertas Kerja BTB'!E36</f>
        <v>3000000</v>
      </c>
      <c r="D92" s="858">
        <f>C92*B92</f>
        <v>0</v>
      </c>
      <c r="E92" s="858">
        <f>+D92*0.85</f>
        <v>0</v>
      </c>
      <c r="F92" s="859">
        <f>+E92*0.7</f>
        <v>0</v>
      </c>
      <c r="G92" s="726">
        <f>+G91*2.5</f>
        <v>87.5</v>
      </c>
      <c r="H92" s="861"/>
    </row>
    <row r="93" spans="1:9" ht="15" hidden="1" thickTop="1">
      <c r="A93" s="862" t="s">
        <v>1938</v>
      </c>
      <c r="B93" s="857"/>
      <c r="C93" s="857"/>
      <c r="D93" s="863">
        <f>SUM(D91:D92)</f>
        <v>0</v>
      </c>
      <c r="E93" s="863">
        <f>SUM(E91:E92)</f>
        <v>0</v>
      </c>
      <c r="F93" s="864">
        <f>SUM(F91:F92)</f>
        <v>0</v>
      </c>
      <c r="G93" s="865">
        <f>100-G92</f>
        <v>12.5</v>
      </c>
    </row>
    <row r="94" spans="1:9" ht="14.4" hidden="1" thickTop="1" thickBot="1">
      <c r="A94" s="842"/>
      <c r="B94" s="842"/>
      <c r="C94" s="842"/>
      <c r="D94" s="842"/>
      <c r="E94" s="842"/>
      <c r="F94" s="842"/>
      <c r="G94" s="726">
        <v>62.5</v>
      </c>
    </row>
    <row r="95" spans="1:9" ht="13.8" hidden="1" thickTop="1">
      <c r="A95" s="846"/>
      <c r="B95" s="846"/>
      <c r="C95" s="846"/>
      <c r="D95" s="846"/>
      <c r="E95" s="846"/>
      <c r="F95" s="846"/>
      <c r="G95" s="726">
        <f>+G93+G94</f>
        <v>75</v>
      </c>
    </row>
    <row r="96" spans="1:9" ht="13.8" thickTop="1"/>
    <row r="98" spans="3:6" ht="14.4">
      <c r="D98" s="840"/>
    </row>
    <row r="99" spans="3:6" ht="14.4">
      <c r="D99" s="840"/>
    </row>
    <row r="103" spans="3:6">
      <c r="F103" s="835"/>
    </row>
    <row r="104" spans="3:6">
      <c r="D104" s="836" t="s">
        <v>1939</v>
      </c>
      <c r="F104" s="835"/>
    </row>
    <row r="105" spans="3:6">
      <c r="C105" s="726">
        <v>15000000</v>
      </c>
      <c r="D105" s="726">
        <f>+C105/C106*100</f>
        <v>5.3571428571428568</v>
      </c>
    </row>
    <row r="106" spans="3:6">
      <c r="C106" s="726">
        <v>280000000</v>
      </c>
    </row>
  </sheetData>
  <mergeCells count="22">
    <mergeCell ref="F13:F14"/>
    <mergeCell ref="H13:H14"/>
    <mergeCell ref="I13:I14"/>
    <mergeCell ref="J13:J14"/>
    <mergeCell ref="K13:K14"/>
    <mergeCell ref="L13:L14"/>
    <mergeCell ref="G6:G11"/>
    <mergeCell ref="H8:H12"/>
    <mergeCell ref="I8:I12"/>
    <mergeCell ref="K8:K12"/>
    <mergeCell ref="L8:L12"/>
    <mergeCell ref="A13:A14"/>
    <mergeCell ref="B13:B14"/>
    <mergeCell ref="C13:C14"/>
    <mergeCell ref="D13:D14"/>
    <mergeCell ref="E13:E14"/>
    <mergeCell ref="F6:F11"/>
    <mergeCell ref="A6:A11"/>
    <mergeCell ref="B6:B11"/>
    <mergeCell ref="C6:C11"/>
    <mergeCell ref="D6:D11"/>
    <mergeCell ref="E6:E11"/>
  </mergeCells>
  <dataValidations count="1">
    <dataValidation type="list" allowBlank="1" showInputMessage="1" showErrorMessage="1" sqref="C22">
      <formula1>$N$21:$N$29</formula1>
    </dataValidation>
  </dataValidations>
  <printOptions horizontalCentered="1"/>
  <pageMargins left="0.39370078740157483" right="0.19685039370078741" top="0.39370078740157483" bottom="0.27559055118110237" header="0" footer="0"/>
  <pageSetup paperSize="9" scale="6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F6"/>
  <sheetViews>
    <sheetView workbookViewId="0">
      <selection activeCell="F4" sqref="F4"/>
    </sheetView>
  </sheetViews>
  <sheetFormatPr defaultRowHeight="14.4"/>
  <cols>
    <col min="5" max="5" width="14.109375" customWidth="1"/>
    <col min="6" max="6" width="13" customWidth="1"/>
  </cols>
  <sheetData>
    <row r="1" spans="1:6">
      <c r="A1" s="885" t="s">
        <v>1971</v>
      </c>
      <c r="B1" s="905" t="s">
        <v>2000</v>
      </c>
      <c r="C1" s="906"/>
      <c r="D1" s="906"/>
      <c r="E1" s="907"/>
      <c r="F1" s="886">
        <f>'Z1)'!D82</f>
        <v>356000</v>
      </c>
    </row>
    <row r="2" spans="1:6" hidden="1">
      <c r="A2" s="885" t="s">
        <v>1972</v>
      </c>
      <c r="B2" s="885" t="s">
        <v>1973</v>
      </c>
      <c r="C2" s="885"/>
      <c r="D2" s="885"/>
      <c r="E2" s="885"/>
      <c r="F2" s="886">
        <f>'Z2'!D82</f>
        <v>238000</v>
      </c>
    </row>
    <row r="3" spans="1:6">
      <c r="A3" s="885" t="s">
        <v>1972</v>
      </c>
      <c r="B3" s="905" t="s">
        <v>1974</v>
      </c>
      <c r="C3" s="906"/>
      <c r="D3" s="906"/>
      <c r="E3" s="907"/>
      <c r="F3" s="886">
        <f>Z2.!D82</f>
        <v>240000</v>
      </c>
    </row>
    <row r="4" spans="1:6">
      <c r="A4" s="885" t="s">
        <v>2002</v>
      </c>
      <c r="B4" s="905" t="s">
        <v>2001</v>
      </c>
      <c r="C4" s="906"/>
      <c r="D4" s="906"/>
      <c r="E4" s="907"/>
      <c r="F4" s="886">
        <f>+'Z3'!D82</f>
        <v>204000</v>
      </c>
    </row>
    <row r="5" spans="1:6">
      <c r="A5" s="885" t="s">
        <v>1975</v>
      </c>
      <c r="B5" s="905" t="s">
        <v>1976</v>
      </c>
      <c r="C5" s="906"/>
      <c r="D5" s="906"/>
      <c r="E5" s="907"/>
      <c r="F5" s="886">
        <f>'Z4'!D82</f>
        <v>170000</v>
      </c>
    </row>
    <row r="6" spans="1:6" hidden="1">
      <c r="A6" s="885" t="s">
        <v>1977</v>
      </c>
      <c r="B6" s="905" t="s">
        <v>1978</v>
      </c>
      <c r="C6" s="906"/>
      <c r="D6" s="906"/>
      <c r="E6" s="907"/>
      <c r="F6" s="886">
        <f>'Z5'!D82</f>
        <v>121000</v>
      </c>
    </row>
  </sheetData>
  <mergeCells count="5">
    <mergeCell ref="B1:E1"/>
    <mergeCell ref="B5:E5"/>
    <mergeCell ref="B6:E6"/>
    <mergeCell ref="B3:E3"/>
    <mergeCell ref="B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F1740"/>
  <sheetViews>
    <sheetView tabSelected="1" view="pageBreakPreview" topLeftCell="A1639" zoomScale="40" zoomScaleNormal="40" zoomScaleSheetLayoutView="40" workbookViewId="0">
      <selection activeCell="AI1276" sqref="AI1276"/>
    </sheetView>
  </sheetViews>
  <sheetFormatPr defaultColWidth="9.109375" defaultRowHeight="15.6"/>
  <cols>
    <col min="1" max="1" width="6.6640625" style="1014" customWidth="1"/>
    <col min="2" max="2" width="4.109375" style="1014" customWidth="1"/>
    <col min="3" max="3" width="32" style="1014" customWidth="1"/>
    <col min="4" max="4" width="3.44140625" style="1014" hidden="1" customWidth="1"/>
    <col min="5" max="5" width="17.33203125" style="1014" hidden="1" customWidth="1"/>
    <col min="6" max="6" width="6.77734375" style="1015" customWidth="1"/>
    <col min="7" max="7" width="3.88671875" style="1014" hidden="1" customWidth="1"/>
    <col min="8" max="8" width="18.88671875" style="1014" hidden="1" customWidth="1"/>
    <col min="9" max="9" width="10.77734375" style="1016" customWidth="1"/>
    <col min="10" max="10" width="11" style="1014" customWidth="1"/>
    <col min="11" max="11" width="18" style="1014" customWidth="1"/>
    <col min="12" max="12" width="12.5546875" style="1014" hidden="1" customWidth="1"/>
    <col min="13" max="13" width="7.6640625" style="1014" hidden="1" customWidth="1"/>
    <col min="14" max="14" width="3.88671875" style="1014" customWidth="1"/>
    <col min="15" max="15" width="27.109375" style="1017" customWidth="1"/>
    <col min="16" max="16" width="6.6640625" style="1014" customWidth="1"/>
    <col min="17" max="17" width="9.6640625" style="1014" customWidth="1"/>
    <col min="18" max="18" width="3.6640625" style="1014" hidden="1" customWidth="1"/>
    <col min="19" max="19" width="10.33203125" style="1014" hidden="1" customWidth="1"/>
    <col min="20" max="20" width="7.6640625" style="1014" hidden="1" customWidth="1"/>
    <col min="21" max="21" width="6.109375" style="1018" hidden="1" customWidth="1"/>
    <col min="22" max="22" width="20.33203125" style="1019" hidden="1" customWidth="1"/>
    <col min="23" max="23" width="10.5546875" style="1020" hidden="1" customWidth="1"/>
    <col min="24" max="24" width="10.44140625" style="1020" hidden="1" customWidth="1"/>
    <col min="25" max="25" width="11.6640625" style="1021" hidden="1" customWidth="1"/>
    <col min="26" max="26" width="13.33203125" style="1014" hidden="1" customWidth="1"/>
    <col min="27" max="27" width="3.44140625" style="1014" hidden="1" customWidth="1"/>
    <col min="28" max="28" width="15.44140625" style="1014" hidden="1" customWidth="1"/>
    <col min="29" max="29" width="7.5546875" style="1014" hidden="1" customWidth="1"/>
    <col min="30" max="30" width="17" style="1014" hidden="1" customWidth="1"/>
    <col min="31" max="31" width="0.77734375" style="1014" hidden="1" customWidth="1"/>
    <col min="32" max="32" width="13.77734375" style="1022" customWidth="1"/>
    <col min="33" max="33" width="17.88671875" style="1023" customWidth="1"/>
    <col min="34" max="34" width="15.77734375" style="1024" customWidth="1"/>
    <col min="35" max="35" width="16.77734375" style="1024" customWidth="1"/>
    <col min="36" max="36" width="17.88671875" style="1025" customWidth="1"/>
    <col min="37" max="37" width="15.77734375" style="1026" customWidth="1"/>
    <col min="38" max="38" width="16.77734375" style="1027" customWidth="1"/>
    <col min="39" max="39" width="17.77734375" style="1023" customWidth="1"/>
    <col min="40" max="40" width="18.77734375" style="1023" customWidth="1"/>
    <col min="41" max="41" width="15.77734375" style="1024" customWidth="1"/>
    <col min="42" max="42" width="15.77734375" style="1014" customWidth="1"/>
    <col min="43" max="43" width="15.77734375" style="1024" customWidth="1"/>
    <col min="44" max="45" width="15.77734375" style="1014" customWidth="1"/>
    <col min="46" max="46" width="22.77734375" style="1023" customWidth="1"/>
    <col min="47" max="47" width="22.77734375" style="1025" customWidth="1"/>
    <col min="48" max="48" width="16.88671875" style="1014" hidden="1" customWidth="1"/>
    <col min="49" max="52" width="9.109375" style="1014"/>
    <col min="53" max="53" width="12.5546875" style="1014" bestFit="1" customWidth="1"/>
    <col min="54" max="16384" width="9.109375" style="1014"/>
  </cols>
  <sheetData>
    <row r="1" spans="1:48">
      <c r="A1" s="1014" t="s">
        <v>554</v>
      </c>
    </row>
    <row r="2" spans="1:48" ht="15" customHeight="1">
      <c r="A2" s="1014" t="s">
        <v>553</v>
      </c>
      <c r="U2" s="1021"/>
      <c r="V2" s="1021"/>
      <c r="Y2" s="1028"/>
      <c r="AK2" s="1029"/>
      <c r="AL2" s="1030"/>
    </row>
    <row r="3" spans="1:48" ht="15" customHeight="1">
      <c r="A3" s="1014" t="s">
        <v>552</v>
      </c>
      <c r="U3" s="1021"/>
      <c r="V3" s="1021"/>
      <c r="Y3" s="1028"/>
      <c r="AK3" s="1029"/>
      <c r="AL3" s="1030"/>
    </row>
    <row r="4" spans="1:48" ht="15" customHeight="1">
      <c r="A4" s="1014" t="s">
        <v>551</v>
      </c>
      <c r="U4" s="1021"/>
      <c r="V4" s="1021"/>
      <c r="Y4" s="1028"/>
      <c r="AK4" s="1029"/>
      <c r="AL4" s="1030"/>
    </row>
    <row r="5" spans="1:48" ht="15" customHeight="1">
      <c r="A5" s="1014" t="s">
        <v>550</v>
      </c>
      <c r="U5" s="1021"/>
      <c r="V5" s="1021"/>
      <c r="Y5" s="1028"/>
      <c r="AK5" s="1029"/>
      <c r="AL5" s="1030"/>
    </row>
    <row r="6" spans="1:48" ht="22.5" customHeight="1">
      <c r="A6" s="2014" t="s">
        <v>2013</v>
      </c>
      <c r="B6" s="2014"/>
      <c r="C6" s="2014"/>
      <c r="D6" s="2014"/>
      <c r="E6" s="2014"/>
      <c r="F6" s="2014"/>
      <c r="G6" s="2014"/>
      <c r="H6" s="2014"/>
      <c r="I6" s="2014"/>
      <c r="J6" s="2014"/>
      <c r="K6" s="2014"/>
      <c r="L6" s="2014"/>
      <c r="M6" s="2014"/>
      <c r="N6" s="2014"/>
      <c r="O6" s="2014"/>
      <c r="P6" s="2014"/>
      <c r="Q6" s="2014"/>
      <c r="R6" s="2014"/>
      <c r="S6" s="2014"/>
      <c r="T6" s="2014"/>
      <c r="U6" s="2014"/>
      <c r="V6" s="2014"/>
      <c r="W6" s="2014"/>
      <c r="X6" s="2014"/>
      <c r="Y6" s="2014"/>
      <c r="Z6" s="2014"/>
      <c r="AA6" s="2014"/>
      <c r="AB6" s="2014"/>
      <c r="AC6" s="2014"/>
      <c r="AD6" s="2014"/>
      <c r="AE6" s="2014"/>
      <c r="AF6" s="2014"/>
      <c r="AG6" s="2014"/>
      <c r="AH6" s="2014"/>
      <c r="AI6" s="2014"/>
      <c r="AJ6" s="2014"/>
      <c r="AK6" s="2014"/>
      <c r="AL6" s="2014"/>
      <c r="AM6" s="2014"/>
      <c r="AN6" s="2014"/>
      <c r="AO6" s="2014"/>
      <c r="AP6" s="2014"/>
      <c r="AQ6" s="2014"/>
      <c r="AR6" s="2014"/>
      <c r="AS6" s="2014"/>
      <c r="AT6" s="2014"/>
      <c r="AU6" s="2014"/>
      <c r="AV6" s="2014"/>
    </row>
    <row r="7" spans="1:48" ht="22.5" customHeight="1">
      <c r="A7" s="1979" t="s">
        <v>548</v>
      </c>
      <c r="B7" s="1979"/>
      <c r="C7" s="1979"/>
      <c r="D7" s="1979"/>
      <c r="E7" s="1979"/>
      <c r="F7" s="1979"/>
      <c r="G7" s="1979"/>
      <c r="H7" s="1979"/>
      <c r="I7" s="1979"/>
      <c r="J7" s="1979"/>
      <c r="K7" s="1979"/>
      <c r="L7" s="1979"/>
      <c r="M7" s="1979"/>
      <c r="N7" s="1979"/>
      <c r="O7" s="1979"/>
      <c r="P7" s="1979"/>
      <c r="Q7" s="1979"/>
      <c r="R7" s="1979"/>
      <c r="S7" s="1979"/>
      <c r="T7" s="1979"/>
      <c r="U7" s="1979"/>
      <c r="V7" s="1979"/>
      <c r="W7" s="1979"/>
      <c r="X7" s="1979"/>
      <c r="Y7" s="1979"/>
      <c r="Z7" s="1979"/>
      <c r="AA7" s="1979"/>
      <c r="AB7" s="1979"/>
      <c r="AC7" s="1979"/>
      <c r="AD7" s="1979"/>
      <c r="AE7" s="1979"/>
      <c r="AF7" s="1979"/>
      <c r="AG7" s="1979"/>
      <c r="AH7" s="1979"/>
      <c r="AI7" s="1979"/>
      <c r="AJ7" s="1979"/>
      <c r="AK7" s="1979"/>
      <c r="AL7" s="1979"/>
      <c r="AM7" s="1979"/>
      <c r="AN7" s="1979"/>
      <c r="AO7" s="1979"/>
      <c r="AP7" s="1979"/>
      <c r="AQ7" s="1979"/>
      <c r="AR7" s="1979"/>
      <c r="AS7" s="1979"/>
      <c r="AT7" s="1979"/>
      <c r="AU7" s="1979"/>
      <c r="AV7" s="1979"/>
    </row>
    <row r="8" spans="1:48" ht="18" customHeight="1">
      <c r="A8" s="1980" t="s">
        <v>1812</v>
      </c>
      <c r="B8" s="1980"/>
      <c r="C8" s="1980"/>
      <c r="D8" s="1980"/>
      <c r="E8" s="1980"/>
      <c r="F8" s="1980"/>
      <c r="G8" s="1980"/>
      <c r="H8" s="1980"/>
      <c r="I8" s="1980"/>
      <c r="J8" s="1980"/>
      <c r="K8" s="1980"/>
      <c r="L8" s="1980"/>
      <c r="M8" s="1980"/>
      <c r="N8" s="1980"/>
      <c r="O8" s="1980"/>
      <c r="P8" s="1980"/>
      <c r="Q8" s="1980"/>
      <c r="R8" s="1980"/>
      <c r="S8" s="1980"/>
      <c r="T8" s="1980"/>
      <c r="U8" s="1980"/>
      <c r="V8" s="1980"/>
      <c r="W8" s="1980"/>
      <c r="X8" s="1980"/>
      <c r="Y8" s="1980"/>
      <c r="Z8" s="1980"/>
      <c r="AA8" s="1980"/>
      <c r="AB8" s="1980"/>
      <c r="AC8" s="1980"/>
      <c r="AD8" s="1980"/>
      <c r="AE8" s="1980"/>
      <c r="AF8" s="1980"/>
      <c r="AG8" s="1980"/>
      <c r="AH8" s="1980"/>
      <c r="AI8" s="1980"/>
      <c r="AJ8" s="1980"/>
      <c r="AK8" s="1980"/>
      <c r="AL8" s="1980"/>
      <c r="AM8" s="1980"/>
      <c r="AN8" s="1980"/>
      <c r="AO8" s="1980"/>
      <c r="AP8" s="1980"/>
      <c r="AQ8" s="1980"/>
      <c r="AR8" s="1980"/>
      <c r="AS8" s="1980"/>
      <c r="AT8" s="1980"/>
      <c r="AU8" s="1980"/>
      <c r="AV8" s="1980"/>
    </row>
    <row r="9" spans="1:48" ht="18" customHeight="1">
      <c r="A9" s="1980" t="s">
        <v>1807</v>
      </c>
      <c r="B9" s="1980"/>
      <c r="C9" s="1980"/>
      <c r="D9" s="1980"/>
      <c r="E9" s="1980"/>
      <c r="F9" s="1980"/>
      <c r="G9" s="1980"/>
      <c r="H9" s="1980"/>
      <c r="I9" s="1980"/>
      <c r="J9" s="1980"/>
      <c r="K9" s="1980"/>
      <c r="L9" s="1980"/>
      <c r="M9" s="1980"/>
      <c r="N9" s="1980"/>
      <c r="O9" s="1980"/>
      <c r="P9" s="1980"/>
      <c r="Q9" s="1980"/>
      <c r="R9" s="1980"/>
      <c r="S9" s="1980"/>
      <c r="T9" s="1980"/>
      <c r="U9" s="1980"/>
      <c r="V9" s="1980"/>
      <c r="W9" s="1980"/>
      <c r="X9" s="1980"/>
      <c r="Y9" s="1980"/>
      <c r="Z9" s="1980"/>
      <c r="AA9" s="1980"/>
      <c r="AB9" s="1980"/>
      <c r="AC9" s="1980"/>
      <c r="AD9" s="1980"/>
      <c r="AE9" s="1980"/>
      <c r="AF9" s="1980"/>
      <c r="AG9" s="1980"/>
      <c r="AH9" s="1980"/>
      <c r="AI9" s="1980"/>
      <c r="AJ9" s="1980"/>
      <c r="AK9" s="1980"/>
      <c r="AL9" s="1980"/>
      <c r="AM9" s="1980"/>
      <c r="AN9" s="1980"/>
      <c r="AO9" s="1980"/>
      <c r="AP9" s="1980"/>
      <c r="AQ9" s="1980"/>
      <c r="AR9" s="1980"/>
      <c r="AS9" s="1980"/>
      <c r="AT9" s="1980"/>
      <c r="AU9" s="1980"/>
      <c r="AV9" s="1980"/>
    </row>
    <row r="10" spans="1:48" ht="20.25" customHeight="1">
      <c r="U10" s="1021"/>
      <c r="V10" s="1021"/>
      <c r="Y10" s="1028"/>
      <c r="AK10" s="1029"/>
      <c r="AL10" s="1030"/>
    </row>
    <row r="11" spans="1:48" s="1987" customFormat="1" ht="26.25" customHeight="1">
      <c r="A11" s="1981" t="s">
        <v>547</v>
      </c>
      <c r="B11" s="1981" t="s">
        <v>546</v>
      </c>
      <c r="C11" s="1981"/>
      <c r="D11" s="1981"/>
      <c r="E11" s="1981"/>
      <c r="F11" s="1981" t="s">
        <v>545</v>
      </c>
      <c r="G11" s="1981"/>
      <c r="H11" s="1981"/>
      <c r="I11" s="1981"/>
      <c r="J11" s="1981"/>
      <c r="K11" s="1981"/>
      <c r="L11" s="1982" t="s">
        <v>544</v>
      </c>
      <c r="M11" s="1983"/>
      <c r="N11" s="1981" t="s">
        <v>543</v>
      </c>
      <c r="O11" s="1981"/>
      <c r="P11" s="1981"/>
      <c r="Q11" s="1981"/>
      <c r="R11" s="1981" t="s">
        <v>542</v>
      </c>
      <c r="S11" s="1981"/>
      <c r="T11" s="1981"/>
      <c r="U11" s="1981" t="s">
        <v>541</v>
      </c>
      <c r="V11" s="1981"/>
      <c r="W11" s="1981"/>
      <c r="X11" s="1981"/>
      <c r="Y11" s="1981"/>
      <c r="Z11" s="1981"/>
      <c r="AA11" s="1981" t="s">
        <v>540</v>
      </c>
      <c r="AB11" s="1981"/>
      <c r="AC11" s="1981"/>
      <c r="AD11" s="1981" t="s">
        <v>539</v>
      </c>
      <c r="AE11" s="1981" t="s">
        <v>538</v>
      </c>
      <c r="AF11" s="1982" t="s">
        <v>1813</v>
      </c>
      <c r="AG11" s="1984"/>
      <c r="AH11" s="1984"/>
      <c r="AI11" s="1984"/>
      <c r="AJ11" s="1984"/>
      <c r="AK11" s="1984"/>
      <c r="AL11" s="1984"/>
      <c r="AM11" s="1984"/>
      <c r="AN11" s="1984"/>
      <c r="AO11" s="1984"/>
      <c r="AP11" s="1984"/>
      <c r="AQ11" s="1984"/>
      <c r="AR11" s="1984"/>
      <c r="AS11" s="1984"/>
      <c r="AT11" s="1983"/>
      <c r="AU11" s="1985" t="s">
        <v>1999</v>
      </c>
      <c r="AV11" s="1986" t="s">
        <v>537</v>
      </c>
    </row>
    <row r="12" spans="1:48" s="1996" customFormat="1" ht="15" customHeight="1">
      <c r="A12" s="1981"/>
      <c r="B12" s="1981" t="s">
        <v>536</v>
      </c>
      <c r="C12" s="1981"/>
      <c r="D12" s="1981" t="s">
        <v>535</v>
      </c>
      <c r="E12" s="1981"/>
      <c r="F12" s="1988" t="s">
        <v>534</v>
      </c>
      <c r="G12" s="1981" t="s">
        <v>533</v>
      </c>
      <c r="H12" s="1981"/>
      <c r="I12" s="1989" t="s">
        <v>532</v>
      </c>
      <c r="J12" s="1981" t="s">
        <v>531</v>
      </c>
      <c r="K12" s="1981" t="s">
        <v>530</v>
      </c>
      <c r="L12" s="1985" t="s">
        <v>529</v>
      </c>
      <c r="M12" s="1981" t="s">
        <v>528</v>
      </c>
      <c r="N12" s="1981" t="s">
        <v>525</v>
      </c>
      <c r="O12" s="1981"/>
      <c r="P12" s="1981" t="s">
        <v>524</v>
      </c>
      <c r="Q12" s="1981" t="s">
        <v>528</v>
      </c>
      <c r="R12" s="1990" t="s">
        <v>522</v>
      </c>
      <c r="S12" s="1991"/>
      <c r="T12" s="1981" t="s">
        <v>527</v>
      </c>
      <c r="U12" s="1981" t="s">
        <v>526</v>
      </c>
      <c r="V12" s="1981"/>
      <c r="W12" s="1981"/>
      <c r="X12" s="1981"/>
      <c r="Y12" s="1981"/>
      <c r="Z12" s="1981" t="s">
        <v>524</v>
      </c>
      <c r="AA12" s="1981" t="s">
        <v>525</v>
      </c>
      <c r="AB12" s="1981"/>
      <c r="AC12" s="1981" t="s">
        <v>524</v>
      </c>
      <c r="AD12" s="1981"/>
      <c r="AE12" s="1981"/>
      <c r="AF12" s="1982" t="s">
        <v>1814</v>
      </c>
      <c r="AG12" s="1984"/>
      <c r="AH12" s="1984"/>
      <c r="AI12" s="1984"/>
      <c r="AJ12" s="1984"/>
      <c r="AK12" s="1984"/>
      <c r="AL12" s="1984"/>
      <c r="AM12" s="1984"/>
      <c r="AN12" s="1983"/>
      <c r="AO12" s="1982" t="s">
        <v>1818</v>
      </c>
      <c r="AP12" s="1992"/>
      <c r="AQ12" s="1992"/>
      <c r="AR12" s="1992"/>
      <c r="AS12" s="1993"/>
      <c r="AT12" s="1994"/>
      <c r="AU12" s="1995"/>
      <c r="AV12" s="1986"/>
    </row>
    <row r="13" spans="1:48" s="1996" customFormat="1" ht="34.799999999999997" customHeight="1">
      <c r="A13" s="1981"/>
      <c r="B13" s="1981"/>
      <c r="C13" s="1981"/>
      <c r="D13" s="1985"/>
      <c r="E13" s="1985"/>
      <c r="F13" s="1988"/>
      <c r="G13" s="1985"/>
      <c r="H13" s="1985"/>
      <c r="I13" s="1989"/>
      <c r="J13" s="1981"/>
      <c r="K13" s="1981"/>
      <c r="L13" s="1997"/>
      <c r="M13" s="1981"/>
      <c r="N13" s="1981"/>
      <c r="O13" s="1981"/>
      <c r="P13" s="1981"/>
      <c r="Q13" s="1981"/>
      <c r="R13" s="1998"/>
      <c r="S13" s="1999"/>
      <c r="T13" s="1981"/>
      <c r="U13" s="2000" t="s">
        <v>523</v>
      </c>
      <c r="V13" s="2000" t="s">
        <v>522</v>
      </c>
      <c r="W13" s="2001" t="s">
        <v>521</v>
      </c>
      <c r="X13" s="2001" t="s">
        <v>520</v>
      </c>
      <c r="Y13" s="2002" t="s">
        <v>519</v>
      </c>
      <c r="Z13" s="1981"/>
      <c r="AA13" s="1981"/>
      <c r="AB13" s="1981"/>
      <c r="AC13" s="1981"/>
      <c r="AD13" s="1981"/>
      <c r="AE13" s="1981"/>
      <c r="AF13" s="1982" t="s">
        <v>545</v>
      </c>
      <c r="AG13" s="1983"/>
      <c r="AH13" s="1982" t="s">
        <v>543</v>
      </c>
      <c r="AI13" s="1984"/>
      <c r="AJ13" s="1983"/>
      <c r="AK13" s="1982" t="s">
        <v>542</v>
      </c>
      <c r="AL13" s="1984"/>
      <c r="AM13" s="1983"/>
      <c r="AN13" s="2003" t="s">
        <v>1819</v>
      </c>
      <c r="AO13" s="1982" t="s">
        <v>1820</v>
      </c>
      <c r="AP13" s="1983"/>
      <c r="AQ13" s="1982" t="s">
        <v>1823</v>
      </c>
      <c r="AR13" s="1984"/>
      <c r="AS13" s="1983"/>
      <c r="AT13" s="2003" t="s">
        <v>1827</v>
      </c>
      <c r="AU13" s="1995"/>
      <c r="AV13" s="1986"/>
    </row>
    <row r="14" spans="1:48" s="2011" customFormat="1" ht="30" customHeight="1">
      <c r="A14" s="2005"/>
      <c r="B14" s="2006"/>
      <c r="C14" s="2007"/>
      <c r="D14" s="2006"/>
      <c r="E14" s="2007"/>
      <c r="F14" s="2008"/>
      <c r="G14" s="2006"/>
      <c r="H14" s="2007"/>
      <c r="I14" s="2009"/>
      <c r="J14" s="2005"/>
      <c r="K14" s="2005"/>
      <c r="L14" s="2005"/>
      <c r="M14" s="2005"/>
      <c r="N14" s="1981"/>
      <c r="O14" s="1981"/>
      <c r="P14" s="2005"/>
      <c r="Q14" s="2005"/>
      <c r="R14" s="1981"/>
      <c r="S14" s="1981"/>
      <c r="T14" s="2005"/>
      <c r="U14" s="2005"/>
      <c r="V14" s="2005"/>
      <c r="W14" s="2012"/>
      <c r="X14" s="2012"/>
      <c r="Y14" s="2002"/>
      <c r="Z14" s="2005">
        <v>21</v>
      </c>
      <c r="AA14" s="1981">
        <v>22</v>
      </c>
      <c r="AB14" s="1981"/>
      <c r="AC14" s="2005">
        <v>23</v>
      </c>
      <c r="AD14" s="2005">
        <v>24</v>
      </c>
      <c r="AE14" s="2005">
        <v>25</v>
      </c>
      <c r="AF14" s="1994" t="s">
        <v>2010</v>
      </c>
      <c r="AG14" s="1994" t="s">
        <v>2004</v>
      </c>
      <c r="AH14" s="1994" t="s">
        <v>2011</v>
      </c>
      <c r="AI14" s="1994" t="s">
        <v>2005</v>
      </c>
      <c r="AJ14" s="2005" t="s">
        <v>2004</v>
      </c>
      <c r="AK14" s="2013" t="s">
        <v>2010</v>
      </c>
      <c r="AL14" s="1994" t="s">
        <v>2005</v>
      </c>
      <c r="AM14" s="1994" t="s">
        <v>2004</v>
      </c>
      <c r="AN14" s="2004"/>
      <c r="AO14" s="1994" t="s">
        <v>2006</v>
      </c>
      <c r="AP14" s="2005" t="s">
        <v>2012</v>
      </c>
      <c r="AQ14" s="1994" t="s">
        <v>2007</v>
      </c>
      <c r="AR14" s="2005" t="s">
        <v>2008</v>
      </c>
      <c r="AS14" s="2005" t="s">
        <v>2009</v>
      </c>
      <c r="AT14" s="2004"/>
      <c r="AU14" s="1997"/>
      <c r="AV14" s="2010">
        <v>26</v>
      </c>
    </row>
    <row r="15" spans="1:48" s="1021" customFormat="1" ht="16.5" customHeight="1">
      <c r="A15" s="1032"/>
      <c r="B15" s="1033" t="s">
        <v>25</v>
      </c>
      <c r="C15" s="1034" t="s">
        <v>518</v>
      </c>
      <c r="D15" s="1035" t="s">
        <v>25</v>
      </c>
      <c r="E15" s="1036" t="s">
        <v>518</v>
      </c>
      <c r="F15" s="1037"/>
      <c r="G15" s="1038" t="s">
        <v>25</v>
      </c>
      <c r="H15" s="1039" t="s">
        <v>517</v>
      </c>
      <c r="I15" s="1040"/>
      <c r="J15" s="1041" t="s">
        <v>516</v>
      </c>
      <c r="K15" s="1041" t="s">
        <v>515</v>
      </c>
      <c r="L15" s="1042"/>
      <c r="M15" s="1043"/>
      <c r="N15" s="1044" t="s">
        <v>25</v>
      </c>
      <c r="O15" s="1045" t="s">
        <v>514</v>
      </c>
      <c r="P15" s="1046"/>
      <c r="Q15" s="1047"/>
      <c r="R15" s="1034" t="s">
        <v>25</v>
      </c>
      <c r="S15" s="1034" t="s">
        <v>24</v>
      </c>
      <c r="T15" s="1048"/>
      <c r="U15" s="1049"/>
      <c r="V15" s="1050"/>
      <c r="W15" s="1051"/>
      <c r="X15" s="1052"/>
      <c r="Y15" s="1053"/>
      <c r="Z15" s="1054"/>
      <c r="AA15" s="1035" t="s">
        <v>25</v>
      </c>
      <c r="AB15" s="1045" t="s">
        <v>513</v>
      </c>
      <c r="AC15" s="1047"/>
      <c r="AD15" s="1055"/>
      <c r="AE15" s="1032"/>
      <c r="AF15" s="1056"/>
      <c r="AG15" s="1057"/>
      <c r="AH15" s="1058"/>
      <c r="AI15" s="1058"/>
      <c r="AJ15" s="1059"/>
      <c r="AK15" s="1060"/>
      <c r="AL15" s="1061"/>
      <c r="AM15" s="1057"/>
      <c r="AN15" s="1057"/>
      <c r="AO15" s="1058"/>
      <c r="AP15" s="1049"/>
      <c r="AQ15" s="1058"/>
      <c r="AR15" s="1049"/>
      <c r="AS15" s="1049"/>
      <c r="AT15" s="1057"/>
      <c r="AU15" s="1059"/>
      <c r="AV15" s="1032"/>
    </row>
    <row r="16" spans="1:48" s="1021" customFormat="1" ht="16.5" customHeight="1">
      <c r="A16" s="1062"/>
      <c r="B16" s="1038" t="s">
        <v>16</v>
      </c>
      <c r="C16" s="1063" t="s">
        <v>512</v>
      </c>
      <c r="D16" s="1064" t="s">
        <v>16</v>
      </c>
      <c r="E16" s="1039" t="s">
        <v>512</v>
      </c>
      <c r="F16" s="1065"/>
      <c r="G16" s="1064" t="s">
        <v>16</v>
      </c>
      <c r="H16" s="1039" t="s">
        <v>511</v>
      </c>
      <c r="I16" s="1066"/>
      <c r="J16" s="1067"/>
      <c r="K16" s="1067"/>
      <c r="L16" s="1068"/>
      <c r="M16" s="1069"/>
      <c r="N16" s="1070" t="s">
        <v>16</v>
      </c>
      <c r="O16" s="1071" t="s">
        <v>510</v>
      </c>
      <c r="P16" s="1072"/>
      <c r="Q16" s="1073"/>
      <c r="R16" s="1074" t="s">
        <v>16</v>
      </c>
      <c r="S16" s="1074" t="s">
        <v>15</v>
      </c>
      <c r="T16" s="1075"/>
      <c r="U16" s="1076"/>
      <c r="V16" s="1077"/>
      <c r="W16" s="1078"/>
      <c r="X16" s="1079"/>
      <c r="Y16" s="1080"/>
      <c r="Z16" s="1081"/>
      <c r="AA16" s="1082" t="s">
        <v>16</v>
      </c>
      <c r="AB16" s="1083" t="s">
        <v>509</v>
      </c>
      <c r="AC16" s="1073"/>
      <c r="AD16" s="1084"/>
      <c r="AE16" s="1062"/>
      <c r="AF16" s="1085"/>
      <c r="AG16" s="1086"/>
      <c r="AH16" s="1087"/>
      <c r="AI16" s="1087"/>
      <c r="AJ16" s="1088"/>
      <c r="AK16" s="1089"/>
      <c r="AL16" s="1090"/>
      <c r="AM16" s="1086"/>
      <c r="AN16" s="1086"/>
      <c r="AO16" s="1087"/>
      <c r="AP16" s="1076"/>
      <c r="AQ16" s="1087"/>
      <c r="AR16" s="1076"/>
      <c r="AS16" s="1076"/>
      <c r="AT16" s="1086"/>
      <c r="AU16" s="1088"/>
      <c r="AV16" s="1062"/>
    </row>
    <row r="17" spans="1:48" s="1021" customFormat="1" ht="16.5" customHeight="1">
      <c r="A17" s="1062"/>
      <c r="B17" s="1038" t="s">
        <v>18</v>
      </c>
      <c r="C17" s="1074" t="s">
        <v>508</v>
      </c>
      <c r="D17" s="1038" t="s">
        <v>18</v>
      </c>
      <c r="E17" s="1039" t="s">
        <v>508</v>
      </c>
      <c r="F17" s="1065"/>
      <c r="G17" s="1038" t="s">
        <v>18</v>
      </c>
      <c r="H17" s="1039" t="s">
        <v>507</v>
      </c>
      <c r="I17" s="1066"/>
      <c r="J17" s="1067"/>
      <c r="K17" s="1067"/>
      <c r="L17" s="1068"/>
      <c r="M17" s="1069"/>
      <c r="N17" s="1070" t="s">
        <v>18</v>
      </c>
      <c r="O17" s="1071" t="s">
        <v>506</v>
      </c>
      <c r="P17" s="1072"/>
      <c r="Q17" s="1073"/>
      <c r="R17" s="1074"/>
      <c r="S17" s="1074"/>
      <c r="T17" s="1069"/>
      <c r="U17" s="1076"/>
      <c r="V17" s="1091"/>
      <c r="W17" s="1078"/>
      <c r="X17" s="1079"/>
      <c r="Y17" s="1080"/>
      <c r="Z17" s="1081"/>
      <c r="AA17" s="1038" t="s">
        <v>18</v>
      </c>
      <c r="AB17" s="1071" t="s">
        <v>505</v>
      </c>
      <c r="AC17" s="1073"/>
      <c r="AD17" s="1084"/>
      <c r="AE17" s="1062"/>
      <c r="AF17" s="1085"/>
      <c r="AG17" s="1086"/>
      <c r="AH17" s="1087"/>
      <c r="AI17" s="1087"/>
      <c r="AJ17" s="1088"/>
      <c r="AK17" s="1089"/>
      <c r="AL17" s="1090"/>
      <c r="AM17" s="1086"/>
      <c r="AN17" s="1086"/>
      <c r="AO17" s="1087"/>
      <c r="AP17" s="1076"/>
      <c r="AQ17" s="1087"/>
      <c r="AR17" s="1076"/>
      <c r="AS17" s="1076"/>
      <c r="AT17" s="1086"/>
      <c r="AU17" s="1088"/>
      <c r="AV17" s="1062"/>
    </row>
    <row r="18" spans="1:48" s="1021" customFormat="1" ht="16.5" customHeight="1">
      <c r="A18" s="1062"/>
      <c r="B18" s="1038" t="s">
        <v>12</v>
      </c>
      <c r="C18" s="1074" t="s">
        <v>504</v>
      </c>
      <c r="D18" s="1038" t="s">
        <v>12</v>
      </c>
      <c r="E18" s="1039" t="s">
        <v>504</v>
      </c>
      <c r="F18" s="1065"/>
      <c r="G18" s="1082"/>
      <c r="H18" s="1092"/>
      <c r="I18" s="1066"/>
      <c r="J18" s="1067"/>
      <c r="K18" s="1067"/>
      <c r="L18" s="1068"/>
      <c r="M18" s="1069"/>
      <c r="N18" s="1070" t="s">
        <v>12</v>
      </c>
      <c r="O18" s="1071" t="s">
        <v>503</v>
      </c>
      <c r="P18" s="1072"/>
      <c r="Q18" s="1073"/>
      <c r="R18" s="1074"/>
      <c r="S18" s="1074"/>
      <c r="T18" s="1069"/>
      <c r="U18" s="1076"/>
      <c r="V18" s="1091"/>
      <c r="W18" s="1078"/>
      <c r="X18" s="1079"/>
      <c r="Y18" s="1080"/>
      <c r="Z18" s="1081"/>
      <c r="AA18" s="1038" t="s">
        <v>12</v>
      </c>
      <c r="AB18" s="1071" t="s">
        <v>502</v>
      </c>
      <c r="AC18" s="1073"/>
      <c r="AD18" s="1084"/>
      <c r="AE18" s="1062"/>
      <c r="AF18" s="1085"/>
      <c r="AG18" s="1086"/>
      <c r="AH18" s="1087"/>
      <c r="AI18" s="1087"/>
      <c r="AJ18" s="1088"/>
      <c r="AK18" s="1089"/>
      <c r="AL18" s="1090"/>
      <c r="AM18" s="1086"/>
      <c r="AN18" s="1086"/>
      <c r="AO18" s="1087"/>
      <c r="AP18" s="1076"/>
      <c r="AQ18" s="1087"/>
      <c r="AR18" s="1076"/>
      <c r="AS18" s="1076"/>
      <c r="AT18" s="1086"/>
      <c r="AU18" s="1088"/>
      <c r="AV18" s="1062"/>
    </row>
    <row r="19" spans="1:48" s="1077" customFormat="1" ht="16.5" customHeight="1">
      <c r="A19" s="1093"/>
      <c r="B19" s="1094" t="s">
        <v>8</v>
      </c>
      <c r="C19" s="1094" t="s">
        <v>501</v>
      </c>
      <c r="D19" s="1095" t="s">
        <v>8</v>
      </c>
      <c r="E19" s="1096" t="s">
        <v>501</v>
      </c>
      <c r="F19" s="1097"/>
      <c r="G19" s="1098"/>
      <c r="H19" s="1099"/>
      <c r="I19" s="1100"/>
      <c r="J19" s="1101"/>
      <c r="K19" s="1101"/>
      <c r="L19" s="1102"/>
      <c r="M19" s="1103"/>
      <c r="N19" s="1104"/>
      <c r="O19" s="1105"/>
      <c r="P19" s="1106"/>
      <c r="Q19" s="1107"/>
      <c r="R19" s="1094"/>
      <c r="S19" s="1094"/>
      <c r="T19" s="1103"/>
      <c r="U19" s="1108"/>
      <c r="V19" s="1109"/>
      <c r="W19" s="1110"/>
      <c r="X19" s="1111"/>
      <c r="Y19" s="1112"/>
      <c r="Z19" s="1113"/>
      <c r="AA19" s="1098"/>
      <c r="AB19" s="1099"/>
      <c r="AC19" s="1107"/>
      <c r="AD19" s="1114"/>
      <c r="AE19" s="1093"/>
      <c r="AF19" s="1115"/>
      <c r="AG19" s="1116"/>
      <c r="AH19" s="1117"/>
      <c r="AI19" s="1117"/>
      <c r="AJ19" s="1118"/>
      <c r="AK19" s="1119"/>
      <c r="AL19" s="1120"/>
      <c r="AM19" s="1116"/>
      <c r="AN19" s="1116"/>
      <c r="AO19" s="1117"/>
      <c r="AP19" s="1108"/>
      <c r="AQ19" s="1117"/>
      <c r="AR19" s="1108"/>
      <c r="AS19" s="1108"/>
      <c r="AT19" s="1116"/>
      <c r="AU19" s="1118"/>
      <c r="AV19" s="1093"/>
    </row>
    <row r="20" spans="1:48" ht="16.5" customHeight="1">
      <c r="A20" s="1121">
        <v>1</v>
      </c>
      <c r="B20" s="1122" t="s">
        <v>25</v>
      </c>
      <c r="C20" s="1039" t="s">
        <v>500</v>
      </c>
      <c r="D20" s="1123"/>
      <c r="E20" s="1074"/>
      <c r="F20" s="1124" t="s">
        <v>499</v>
      </c>
      <c r="G20" s="1125" t="s">
        <v>25</v>
      </c>
      <c r="H20" s="1126" t="s">
        <v>498</v>
      </c>
      <c r="I20" s="1127">
        <v>349.375</v>
      </c>
      <c r="J20" s="1128" t="s">
        <v>28</v>
      </c>
      <c r="K20" s="1067" t="s">
        <v>497</v>
      </c>
      <c r="L20" s="1129" t="s">
        <v>46</v>
      </c>
      <c r="M20" s="1130"/>
      <c r="N20" s="1123" t="s">
        <v>25</v>
      </c>
      <c r="O20" s="1131" t="s">
        <v>26</v>
      </c>
      <c r="P20" s="1132">
        <v>1</v>
      </c>
      <c r="Q20" s="1133">
        <v>127.01</v>
      </c>
      <c r="R20" s="1033" t="s">
        <v>25</v>
      </c>
      <c r="S20" s="1036" t="s">
        <v>24</v>
      </c>
      <c r="T20" s="1075"/>
      <c r="U20" s="1091"/>
      <c r="V20" s="1073"/>
      <c r="W20" s="1079"/>
      <c r="X20" s="1078"/>
      <c r="Y20" s="1039"/>
      <c r="Z20" s="1134"/>
      <c r="AA20" s="1123"/>
      <c r="AB20" s="1126"/>
      <c r="AC20" s="1073"/>
      <c r="AD20" s="1084"/>
      <c r="AE20" s="1062"/>
      <c r="AF20" s="1085">
        <f>Resum!F1*1.1</f>
        <v>391600.00000000006</v>
      </c>
      <c r="AG20" s="1086">
        <f>AF20*I20</f>
        <v>136815250.00000003</v>
      </c>
      <c r="AH20" s="1058">
        <v>2530000</v>
      </c>
      <c r="AI20" s="1087">
        <f>AH20*Q20*0.8</f>
        <v>257068240</v>
      </c>
      <c r="AJ20" s="1135">
        <f>SUM(AI20:AI29)</f>
        <v>288582590</v>
      </c>
      <c r="AK20" s="1089"/>
      <c r="AL20" s="1090"/>
      <c r="AM20" s="1086">
        <f>SUM(AL20:AL29)</f>
        <v>2195900</v>
      </c>
      <c r="AN20" s="1086">
        <f>AM20+AJ20+AG20</f>
        <v>427593740</v>
      </c>
      <c r="AO20" s="1087">
        <f>300000*30*3</f>
        <v>27000000</v>
      </c>
      <c r="AP20" s="1136">
        <f>(AI20+AG20)*15%</f>
        <v>59082523.5</v>
      </c>
      <c r="AQ20" s="1087">
        <f>(AG20+AI20)*1%</f>
        <v>3938834.9</v>
      </c>
      <c r="AR20" s="1136">
        <f>(AG20+AI20)*5%</f>
        <v>19694174.5</v>
      </c>
      <c r="AS20" s="1087">
        <f>0.5%*(AG20+AI20)*(3)</f>
        <v>5908252.3499999996</v>
      </c>
      <c r="AT20" s="1086">
        <f>+AS20+AR20+AQ20+AP20+AO20</f>
        <v>115623785.25</v>
      </c>
      <c r="AU20" s="1137">
        <f>ROUND(AT20+AN20,-3)</f>
        <v>543218000</v>
      </c>
      <c r="AV20" s="1067"/>
    </row>
    <row r="21" spans="1:48" ht="33" customHeight="1">
      <c r="A21" s="1073"/>
      <c r="B21" s="1038" t="s">
        <v>16</v>
      </c>
      <c r="C21" s="1071" t="s">
        <v>496</v>
      </c>
      <c r="D21" s="1074"/>
      <c r="E21" s="1063"/>
      <c r="F21" s="1138"/>
      <c r="G21" s="1074" t="s">
        <v>16</v>
      </c>
      <c r="H21" s="1074" t="s">
        <v>22</v>
      </c>
      <c r="I21" s="1127"/>
      <c r="J21" s="1128"/>
      <c r="K21" s="1067"/>
      <c r="L21" s="1139"/>
      <c r="M21" s="1130"/>
      <c r="N21" s="1074" t="s">
        <v>435</v>
      </c>
      <c r="O21" s="1131" t="s">
        <v>191</v>
      </c>
      <c r="P21" s="1132">
        <v>1</v>
      </c>
      <c r="Q21" s="1133">
        <v>24.38</v>
      </c>
      <c r="R21" s="1038"/>
      <c r="S21" s="1039"/>
      <c r="T21" s="1075"/>
      <c r="U21" s="1091"/>
      <c r="V21" s="1073"/>
      <c r="W21" s="1079"/>
      <c r="X21" s="1078"/>
      <c r="Y21" s="1039"/>
      <c r="Z21" s="1134"/>
      <c r="AA21" s="1074"/>
      <c r="AB21" s="1126"/>
      <c r="AC21" s="1073"/>
      <c r="AD21" s="1084"/>
      <c r="AE21" s="1062"/>
      <c r="AF21" s="1085"/>
      <c r="AG21" s="1086"/>
      <c r="AH21" s="1087">
        <v>430000</v>
      </c>
      <c r="AI21" s="1087">
        <f>AH21*Q21*0.5</f>
        <v>5241700</v>
      </c>
      <c r="AJ21" s="1088"/>
      <c r="AK21" s="1089"/>
      <c r="AL21" s="1090"/>
      <c r="AM21" s="1086"/>
      <c r="AN21" s="1086"/>
      <c r="AO21" s="1087"/>
      <c r="AP21" s="1076"/>
      <c r="AQ21" s="1087"/>
      <c r="AR21" s="1076"/>
      <c r="AS21" s="1076"/>
      <c r="AT21" s="1086"/>
      <c r="AU21" s="1088"/>
      <c r="AV21" s="1067"/>
    </row>
    <row r="22" spans="1:48" ht="16.5" customHeight="1">
      <c r="A22" s="1073"/>
      <c r="B22" s="1038" t="s">
        <v>18</v>
      </c>
      <c r="C22" s="1039" t="s">
        <v>124</v>
      </c>
      <c r="D22" s="1074"/>
      <c r="E22" s="1074"/>
      <c r="F22" s="1138"/>
      <c r="G22" s="1074" t="s">
        <v>18</v>
      </c>
      <c r="H22" s="1074" t="s">
        <v>19</v>
      </c>
      <c r="I22" s="1127"/>
      <c r="J22" s="1128"/>
      <c r="K22" s="1067"/>
      <c r="L22" s="1139"/>
      <c r="M22" s="1130"/>
      <c r="N22" s="1074" t="s">
        <v>433</v>
      </c>
      <c r="O22" s="1131" t="s">
        <v>52</v>
      </c>
      <c r="P22" s="1132">
        <v>1</v>
      </c>
      <c r="Q22" s="1133">
        <v>71.930000000000007</v>
      </c>
      <c r="R22" s="1038" t="s">
        <v>16</v>
      </c>
      <c r="S22" s="1039" t="s">
        <v>15</v>
      </c>
      <c r="T22" s="1075">
        <v>7</v>
      </c>
      <c r="U22" s="1091">
        <v>1</v>
      </c>
      <c r="V22" s="1073" t="s">
        <v>495</v>
      </c>
      <c r="W22" s="1140">
        <v>1</v>
      </c>
      <c r="X22" s="1141">
        <v>0</v>
      </c>
      <c r="Y22" s="1142">
        <v>0</v>
      </c>
      <c r="Z22" s="1143">
        <f t="shared" ref="Z22:Z28" si="0">SUM(W22:Y22)</f>
        <v>1</v>
      </c>
      <c r="AA22" s="1074"/>
      <c r="AB22" s="1126"/>
      <c r="AC22" s="1073"/>
      <c r="AD22" s="1084"/>
      <c r="AE22" s="1062"/>
      <c r="AF22" s="1085"/>
      <c r="AG22" s="1086"/>
      <c r="AH22" s="1087">
        <v>210000</v>
      </c>
      <c r="AI22" s="1087">
        <f>AH22*Q22*0.5</f>
        <v>7552650.0000000009</v>
      </c>
      <c r="AJ22" s="1088"/>
      <c r="AK22" s="1089">
        <v>100000</v>
      </c>
      <c r="AL22" s="1090">
        <f>AK22*W22</f>
        <v>100000</v>
      </c>
      <c r="AM22" s="1086"/>
      <c r="AN22" s="1086"/>
      <c r="AO22" s="1087"/>
      <c r="AP22" s="1076"/>
      <c r="AQ22" s="1087"/>
      <c r="AR22" s="1076"/>
      <c r="AS22" s="1076"/>
      <c r="AT22" s="1086"/>
      <c r="AU22" s="1088"/>
      <c r="AV22" s="1067"/>
    </row>
    <row r="23" spans="1:48" ht="50.25" customHeight="1">
      <c r="A23" s="1073"/>
      <c r="B23" s="1082" t="s">
        <v>12</v>
      </c>
      <c r="C23" s="1083" t="s">
        <v>98</v>
      </c>
      <c r="D23" s="1074"/>
      <c r="E23" s="1126"/>
      <c r="F23" s="1138"/>
      <c r="G23" s="1074"/>
      <c r="H23" s="1077"/>
      <c r="I23" s="1127"/>
      <c r="J23" s="1128"/>
      <c r="K23" s="1067"/>
      <c r="L23" s="1139"/>
      <c r="M23" s="1130"/>
      <c r="N23" s="1074" t="s">
        <v>431</v>
      </c>
      <c r="O23" s="1131" t="s">
        <v>21</v>
      </c>
      <c r="P23" s="1132">
        <v>1</v>
      </c>
      <c r="Q23" s="1133">
        <v>15.2</v>
      </c>
      <c r="R23" s="1038"/>
      <c r="S23" s="1071"/>
      <c r="T23" s="1144"/>
      <c r="U23" s="1145">
        <v>2</v>
      </c>
      <c r="V23" s="1146" t="s">
        <v>268</v>
      </c>
      <c r="W23" s="1140">
        <v>0</v>
      </c>
      <c r="X23" s="1141">
        <v>3</v>
      </c>
      <c r="Y23" s="1142">
        <v>0</v>
      </c>
      <c r="Z23" s="1143">
        <f t="shared" si="0"/>
        <v>3</v>
      </c>
      <c r="AA23" s="1074"/>
      <c r="AB23" s="1063"/>
      <c r="AC23" s="1075"/>
      <c r="AD23" s="1084"/>
      <c r="AE23" s="1062"/>
      <c r="AF23" s="1085"/>
      <c r="AG23" s="1086"/>
      <c r="AH23" s="1087">
        <v>350000</v>
      </c>
      <c r="AI23" s="1087">
        <f>AH23*Q23*0.7</f>
        <v>3723999.9999999995</v>
      </c>
      <c r="AJ23" s="1088"/>
      <c r="AK23" s="1089">
        <v>132000</v>
      </c>
      <c r="AL23" s="1090">
        <f>AK23*X23</f>
        <v>396000</v>
      </c>
      <c r="AM23" s="1086"/>
      <c r="AN23" s="1086"/>
      <c r="AO23" s="1087"/>
      <c r="AP23" s="1076"/>
      <c r="AQ23" s="1087"/>
      <c r="AR23" s="1076"/>
      <c r="AS23" s="1076"/>
      <c r="AT23" s="1086"/>
      <c r="AU23" s="1088"/>
      <c r="AV23" s="1067"/>
    </row>
    <row r="24" spans="1:48" ht="20.100000000000001" customHeight="1">
      <c r="A24" s="1073"/>
      <c r="B24" s="1082" t="s">
        <v>8</v>
      </c>
      <c r="C24" s="1147" t="s">
        <v>494</v>
      </c>
      <c r="D24" s="1074"/>
      <c r="E24" s="1126"/>
      <c r="F24" s="1138"/>
      <c r="G24" s="1074"/>
      <c r="H24" s="1077"/>
      <c r="I24" s="1127"/>
      <c r="J24" s="1128"/>
      <c r="K24" s="1067"/>
      <c r="L24" s="1139"/>
      <c r="M24" s="1130"/>
      <c r="N24" s="1074" t="s">
        <v>429</v>
      </c>
      <c r="O24" s="1131" t="s">
        <v>17</v>
      </c>
      <c r="P24" s="1132">
        <v>1</v>
      </c>
      <c r="Q24" s="1133"/>
      <c r="R24" s="1038"/>
      <c r="S24" s="1071"/>
      <c r="T24" s="1144"/>
      <c r="U24" s="1091">
        <v>3</v>
      </c>
      <c r="V24" s="1146" t="s">
        <v>313</v>
      </c>
      <c r="W24" s="1140">
        <v>0</v>
      </c>
      <c r="X24" s="1141">
        <v>0</v>
      </c>
      <c r="Y24" s="1142">
        <v>4</v>
      </c>
      <c r="Z24" s="1143">
        <f t="shared" si="0"/>
        <v>4</v>
      </c>
      <c r="AA24" s="1074"/>
      <c r="AB24" s="1063"/>
      <c r="AC24" s="1075"/>
      <c r="AD24" s="1084"/>
      <c r="AE24" s="1062"/>
      <c r="AF24" s="1085"/>
      <c r="AG24" s="1086"/>
      <c r="AH24" s="1087">
        <v>2500000</v>
      </c>
      <c r="AI24" s="1087">
        <f>AH24*P24*0.5</f>
        <v>1250000</v>
      </c>
      <c r="AJ24" s="1088"/>
      <c r="AK24" s="1089">
        <v>53000</v>
      </c>
      <c r="AL24" s="1090">
        <f>AK24*Y24</f>
        <v>212000</v>
      </c>
      <c r="AM24" s="1086"/>
      <c r="AN24" s="1086"/>
      <c r="AO24" s="1087"/>
      <c r="AP24" s="1076"/>
      <c r="AQ24" s="1087"/>
      <c r="AR24" s="1076"/>
      <c r="AS24" s="1076"/>
      <c r="AT24" s="1086"/>
      <c r="AU24" s="1088"/>
      <c r="AV24" s="1067"/>
    </row>
    <row r="25" spans="1:48" ht="20.100000000000001" customHeight="1">
      <c r="A25" s="1073"/>
      <c r="B25" s="1082"/>
      <c r="C25" s="1083"/>
      <c r="D25" s="1074"/>
      <c r="E25" s="1126"/>
      <c r="F25" s="1138"/>
      <c r="G25" s="1074"/>
      <c r="H25" s="1077"/>
      <c r="I25" s="1127"/>
      <c r="J25" s="1128"/>
      <c r="K25" s="1067"/>
      <c r="L25" s="1139"/>
      <c r="M25" s="1130"/>
      <c r="N25" s="1074" t="s">
        <v>428</v>
      </c>
      <c r="O25" s="1131" t="s">
        <v>11</v>
      </c>
      <c r="P25" s="1132">
        <v>1</v>
      </c>
      <c r="Q25" s="1133"/>
      <c r="R25" s="1038"/>
      <c r="S25" s="1071"/>
      <c r="T25" s="1144"/>
      <c r="U25" s="1145">
        <v>4</v>
      </c>
      <c r="V25" s="1146" t="s">
        <v>14</v>
      </c>
      <c r="W25" s="1140">
        <v>4</v>
      </c>
      <c r="X25" s="1141">
        <v>0</v>
      </c>
      <c r="Y25" s="1142">
        <v>0</v>
      </c>
      <c r="Z25" s="1143">
        <f t="shared" si="0"/>
        <v>4</v>
      </c>
      <c r="AA25" s="1074"/>
      <c r="AB25" s="1063"/>
      <c r="AC25" s="1075"/>
      <c r="AD25" s="1084"/>
      <c r="AE25" s="1062"/>
      <c r="AF25" s="1085"/>
      <c r="AG25" s="1086"/>
      <c r="AH25" s="1087">
        <v>2500000</v>
      </c>
      <c r="AI25" s="1087">
        <f>AH25*P25*0.75</f>
        <v>1875000</v>
      </c>
      <c r="AJ25" s="1088"/>
      <c r="AK25" s="1089">
        <v>350000</v>
      </c>
      <c r="AL25" s="1087">
        <f t="shared" ref="AL25:AL28" si="1">AK25*W25</f>
        <v>1400000</v>
      </c>
      <c r="AM25" s="1086"/>
      <c r="AN25" s="1086"/>
      <c r="AO25" s="1087"/>
      <c r="AP25" s="1076"/>
      <c r="AQ25" s="1087"/>
      <c r="AR25" s="1076"/>
      <c r="AS25" s="1076"/>
      <c r="AT25" s="1086"/>
      <c r="AU25" s="1088"/>
      <c r="AV25" s="1067"/>
    </row>
    <row r="26" spans="1:48" ht="20.100000000000001" customHeight="1">
      <c r="A26" s="1073"/>
      <c r="B26" s="1082"/>
      <c r="C26" s="1083"/>
      <c r="D26" s="1074"/>
      <c r="E26" s="1126"/>
      <c r="F26" s="1138"/>
      <c r="G26" s="1074"/>
      <c r="H26" s="1077"/>
      <c r="I26" s="1127"/>
      <c r="J26" s="1128"/>
      <c r="K26" s="1067"/>
      <c r="L26" s="1139"/>
      <c r="M26" s="1130"/>
      <c r="N26" s="1074" t="s">
        <v>427</v>
      </c>
      <c r="O26" s="1131" t="s">
        <v>7</v>
      </c>
      <c r="P26" s="1132"/>
      <c r="Q26" s="1133">
        <v>29.5</v>
      </c>
      <c r="R26" s="1038"/>
      <c r="S26" s="1071"/>
      <c r="T26" s="1144"/>
      <c r="U26" s="1091">
        <v>5</v>
      </c>
      <c r="V26" s="1146" t="s">
        <v>48</v>
      </c>
      <c r="W26" s="1140">
        <v>2</v>
      </c>
      <c r="X26" s="1141">
        <v>0</v>
      </c>
      <c r="Y26" s="1142">
        <v>0</v>
      </c>
      <c r="Z26" s="1143">
        <f t="shared" si="0"/>
        <v>2</v>
      </c>
      <c r="AA26" s="1074"/>
      <c r="AB26" s="1063"/>
      <c r="AC26" s="1075"/>
      <c r="AD26" s="1084"/>
      <c r="AE26" s="1062"/>
      <c r="AF26" s="1085"/>
      <c r="AG26" s="1086"/>
      <c r="AH26" s="1087">
        <v>500000</v>
      </c>
      <c r="AI26" s="1087">
        <f>AH26*Q26*0.6</f>
        <v>8850000</v>
      </c>
      <c r="AJ26" s="1088"/>
      <c r="AK26" s="1089">
        <v>15000</v>
      </c>
      <c r="AL26" s="1090">
        <f t="shared" si="1"/>
        <v>30000</v>
      </c>
      <c r="AM26" s="1086"/>
      <c r="AN26" s="1086"/>
      <c r="AO26" s="1087"/>
      <c r="AP26" s="1076"/>
      <c r="AQ26" s="1087"/>
      <c r="AR26" s="1076"/>
      <c r="AS26" s="1076"/>
      <c r="AT26" s="1086"/>
      <c r="AU26" s="1088"/>
      <c r="AV26" s="1067"/>
    </row>
    <row r="27" spans="1:48" ht="20.100000000000001" customHeight="1">
      <c r="A27" s="1073"/>
      <c r="B27" s="1082"/>
      <c r="C27" s="1083"/>
      <c r="D27" s="1074"/>
      <c r="E27" s="1126"/>
      <c r="F27" s="1138"/>
      <c r="G27" s="1074"/>
      <c r="H27" s="1077"/>
      <c r="I27" s="1127"/>
      <c r="J27" s="1128"/>
      <c r="K27" s="1067"/>
      <c r="L27" s="1139"/>
      <c r="M27" s="1130"/>
      <c r="N27" s="1074" t="s">
        <v>446</v>
      </c>
      <c r="O27" s="1131" t="s">
        <v>493</v>
      </c>
      <c r="P27" s="1132"/>
      <c r="Q27" s="1133">
        <v>37.5</v>
      </c>
      <c r="R27" s="1038"/>
      <c r="S27" s="1071"/>
      <c r="T27" s="1144"/>
      <c r="U27" s="1145">
        <v>6</v>
      </c>
      <c r="V27" s="1146" t="s">
        <v>492</v>
      </c>
      <c r="W27" s="1140">
        <v>0</v>
      </c>
      <c r="X27" s="1141">
        <v>6</v>
      </c>
      <c r="Y27" s="1142">
        <v>0</v>
      </c>
      <c r="Z27" s="1143">
        <f t="shared" si="0"/>
        <v>6</v>
      </c>
      <c r="AA27" s="1074"/>
      <c r="AB27" s="1063"/>
      <c r="AC27" s="1075"/>
      <c r="AD27" s="1084"/>
      <c r="AE27" s="1062"/>
      <c r="AF27" s="1085"/>
      <c r="AG27" s="1086"/>
      <c r="AH27" s="1087">
        <v>100000</v>
      </c>
      <c r="AI27" s="1087">
        <f>AH27*Q27*0.3</f>
        <v>1125000</v>
      </c>
      <c r="AJ27" s="1088"/>
      <c r="AK27" s="1089">
        <v>4650</v>
      </c>
      <c r="AL27" s="1090">
        <f>AK27*X27</f>
        <v>27900</v>
      </c>
      <c r="AM27" s="1086"/>
      <c r="AN27" s="1086"/>
      <c r="AO27" s="1087"/>
      <c r="AP27" s="1076"/>
      <c r="AQ27" s="1087"/>
      <c r="AR27" s="1076"/>
      <c r="AS27" s="1076"/>
      <c r="AT27" s="1086"/>
      <c r="AU27" s="1088"/>
      <c r="AV27" s="1067"/>
    </row>
    <row r="28" spans="1:48" ht="20.100000000000001" customHeight="1">
      <c r="A28" s="1073"/>
      <c r="B28" s="1082"/>
      <c r="C28" s="1083"/>
      <c r="D28" s="1074"/>
      <c r="E28" s="1126"/>
      <c r="F28" s="1138"/>
      <c r="G28" s="1074"/>
      <c r="H28" s="1077"/>
      <c r="I28" s="1127"/>
      <c r="J28" s="1128"/>
      <c r="K28" s="1067"/>
      <c r="L28" s="1139"/>
      <c r="M28" s="1130"/>
      <c r="N28" s="1074" t="s">
        <v>445</v>
      </c>
      <c r="O28" s="1131" t="s">
        <v>319</v>
      </c>
      <c r="P28" s="1132"/>
      <c r="Q28" s="1133">
        <v>15.8</v>
      </c>
      <c r="R28" s="1038"/>
      <c r="S28" s="1071"/>
      <c r="T28" s="1144"/>
      <c r="U28" s="1091">
        <v>7</v>
      </c>
      <c r="V28" s="1146" t="s">
        <v>143</v>
      </c>
      <c r="W28" s="1140">
        <v>3</v>
      </c>
      <c r="X28" s="1141">
        <v>0</v>
      </c>
      <c r="Y28" s="1142">
        <v>0</v>
      </c>
      <c r="Z28" s="1143">
        <f t="shared" si="0"/>
        <v>3</v>
      </c>
      <c r="AA28" s="1074"/>
      <c r="AB28" s="1063"/>
      <c r="AC28" s="1075"/>
      <c r="AD28" s="1084"/>
      <c r="AE28" s="1062"/>
      <c r="AF28" s="1085"/>
      <c r="AG28" s="1086"/>
      <c r="AH28" s="1087">
        <v>150000</v>
      </c>
      <c r="AI28" s="1087">
        <f>AH28*Q28*0.8</f>
        <v>1896000</v>
      </c>
      <c r="AJ28" s="1088"/>
      <c r="AK28" s="1089">
        <v>10000</v>
      </c>
      <c r="AL28" s="1090">
        <f t="shared" si="1"/>
        <v>30000</v>
      </c>
      <c r="AM28" s="1086"/>
      <c r="AN28" s="1086"/>
      <c r="AO28" s="1087"/>
      <c r="AP28" s="1076"/>
      <c r="AQ28" s="1087"/>
      <c r="AR28" s="1076"/>
      <c r="AS28" s="1076"/>
      <c r="AT28" s="1086"/>
      <c r="AU28" s="1088"/>
      <c r="AV28" s="1067"/>
    </row>
    <row r="29" spans="1:48" ht="20.100000000000001" customHeight="1">
      <c r="A29" s="1107"/>
      <c r="B29" s="1098"/>
      <c r="C29" s="1148"/>
      <c r="D29" s="1094"/>
      <c r="E29" s="1149"/>
      <c r="F29" s="1150"/>
      <c r="G29" s="1094"/>
      <c r="H29" s="1151"/>
      <c r="I29" s="1152"/>
      <c r="J29" s="1153"/>
      <c r="K29" s="1101"/>
      <c r="L29" s="1154"/>
      <c r="M29" s="1155"/>
      <c r="N29" s="1094"/>
      <c r="O29" s="1156"/>
      <c r="P29" s="1157"/>
      <c r="Q29" s="1158"/>
      <c r="R29" s="1095"/>
      <c r="S29" s="1159"/>
      <c r="T29" s="1160"/>
      <c r="U29" s="1161"/>
      <c r="V29" s="1162"/>
      <c r="W29" s="1163"/>
      <c r="X29" s="1164"/>
      <c r="Y29" s="1165"/>
      <c r="Z29" s="1166"/>
      <c r="AA29" s="1094"/>
      <c r="AB29" s="1167"/>
      <c r="AC29" s="1168"/>
      <c r="AD29" s="1114"/>
      <c r="AE29" s="1093"/>
      <c r="AF29" s="1115"/>
      <c r="AG29" s="1116"/>
      <c r="AH29" s="1117"/>
      <c r="AI29" s="1117"/>
      <c r="AJ29" s="1118"/>
      <c r="AK29" s="1119"/>
      <c r="AL29" s="1120"/>
      <c r="AM29" s="1116"/>
      <c r="AN29" s="1116"/>
      <c r="AO29" s="1117"/>
      <c r="AP29" s="1108"/>
      <c r="AQ29" s="1117"/>
      <c r="AR29" s="1108"/>
      <c r="AS29" s="1108"/>
      <c r="AT29" s="1116"/>
      <c r="AU29" s="1118"/>
      <c r="AV29" s="1101"/>
    </row>
    <row r="30" spans="1:48" ht="20.100000000000001" customHeight="1">
      <c r="A30" s="1169">
        <v>2</v>
      </c>
      <c r="B30" s="1033" t="s">
        <v>25</v>
      </c>
      <c r="C30" s="1036" t="s">
        <v>491</v>
      </c>
      <c r="D30" s="1170"/>
      <c r="E30" s="1034"/>
      <c r="F30" s="1171" t="s">
        <v>490</v>
      </c>
      <c r="G30" s="1172" t="s">
        <v>25</v>
      </c>
      <c r="H30" s="1173" t="s">
        <v>42</v>
      </c>
      <c r="I30" s="1174">
        <v>222.35300000000001</v>
      </c>
      <c r="J30" s="1175" t="s">
        <v>41</v>
      </c>
      <c r="K30" s="1041" t="s">
        <v>489</v>
      </c>
      <c r="L30" s="1129" t="s">
        <v>46</v>
      </c>
      <c r="M30" s="1176"/>
      <c r="N30" s="1123" t="s">
        <v>25</v>
      </c>
      <c r="O30" s="1177" t="s">
        <v>62</v>
      </c>
      <c r="P30" s="1178"/>
      <c r="Q30" s="1179">
        <v>59.5</v>
      </c>
      <c r="R30" s="1033" t="s">
        <v>25</v>
      </c>
      <c r="S30" s="1034" t="s">
        <v>24</v>
      </c>
      <c r="T30" s="1048"/>
      <c r="U30" s="1180"/>
      <c r="V30" s="1047"/>
      <c r="W30" s="1052"/>
      <c r="X30" s="1051"/>
      <c r="Y30" s="1036"/>
      <c r="Z30" s="1134"/>
      <c r="AA30" s="1170"/>
      <c r="AB30" s="1181"/>
      <c r="AC30" s="1047"/>
      <c r="AD30" s="1055"/>
      <c r="AE30" s="1032"/>
      <c r="AF30" s="1056">
        <f>Resum!F1</f>
        <v>356000</v>
      </c>
      <c r="AG30" s="1086">
        <f>AF30*I30</f>
        <v>79157668</v>
      </c>
      <c r="AH30" s="1058">
        <v>2200000</v>
      </c>
      <c r="AI30" s="1087">
        <f>AH30*Q30*0.75</f>
        <v>98175000</v>
      </c>
      <c r="AJ30" s="1182">
        <f>SUM(AI30:AI36)</f>
        <v>114809500</v>
      </c>
      <c r="AK30" s="1060"/>
      <c r="AL30" s="1061"/>
      <c r="AM30" s="1057">
        <f>SUM(AL30:AL36)</f>
        <v>465000</v>
      </c>
      <c r="AN30" s="1086">
        <f>AM30+AJ30+AG30</f>
        <v>194432168</v>
      </c>
      <c r="AO30" s="1058"/>
      <c r="AP30" s="1136">
        <f>(AI30+64080000)*15%</f>
        <v>24338250</v>
      </c>
      <c r="AQ30" s="1087">
        <f>(AG30+AI30)*1%</f>
        <v>1773326.68</v>
      </c>
      <c r="AR30" s="1136">
        <f>(AG30+AI30)*5%</f>
        <v>8866633.4000000004</v>
      </c>
      <c r="AS30" s="1087">
        <f>0.5%*(AG30+AI30)*(3)</f>
        <v>2659990.02</v>
      </c>
      <c r="AT30" s="1086">
        <f>+AS30+AR30+AQ30+AP30+AO30</f>
        <v>37638200.100000001</v>
      </c>
      <c r="AU30" s="1137">
        <f>ROUND(AT30+AN30,-3)</f>
        <v>232070000</v>
      </c>
      <c r="AV30" s="1041"/>
    </row>
    <row r="31" spans="1:48" ht="20.100000000000001" customHeight="1">
      <c r="A31" s="1073"/>
      <c r="B31" s="1038" t="s">
        <v>16</v>
      </c>
      <c r="C31" s="1071" t="s">
        <v>488</v>
      </c>
      <c r="D31" s="1074"/>
      <c r="E31" s="1063"/>
      <c r="F31" s="1138"/>
      <c r="G31" s="1074" t="s">
        <v>16</v>
      </c>
      <c r="H31" s="1074" t="s">
        <v>22</v>
      </c>
      <c r="I31" s="1127"/>
      <c r="J31" s="1128"/>
      <c r="K31" s="1067"/>
      <c r="L31" s="1139"/>
      <c r="M31" s="1130"/>
      <c r="N31" s="1074" t="s">
        <v>435</v>
      </c>
      <c r="O31" s="1131" t="s">
        <v>59</v>
      </c>
      <c r="P31" s="1132"/>
      <c r="Q31" s="1133">
        <v>24.05</v>
      </c>
      <c r="R31" s="1038"/>
      <c r="S31" s="1074"/>
      <c r="T31" s="1075"/>
      <c r="U31" s="1091"/>
      <c r="V31" s="1073"/>
      <c r="W31" s="1079"/>
      <c r="X31" s="1078"/>
      <c r="Y31" s="1039"/>
      <c r="Z31" s="1183"/>
      <c r="AA31" s="1074"/>
      <c r="AB31" s="1126"/>
      <c r="AC31" s="1073"/>
      <c r="AD31" s="1084"/>
      <c r="AE31" s="1062"/>
      <c r="AF31" s="1085"/>
      <c r="AG31" s="1086"/>
      <c r="AH31" s="1087">
        <v>180000</v>
      </c>
      <c r="AI31" s="1087">
        <f t="shared" ref="AI31:AI35" si="2">AH31*Q31*0.5</f>
        <v>2164500</v>
      </c>
      <c r="AJ31" s="1088"/>
      <c r="AK31" s="1089"/>
      <c r="AL31" s="1090"/>
      <c r="AM31" s="1086"/>
      <c r="AN31" s="1086"/>
      <c r="AO31" s="1087"/>
      <c r="AP31" s="1076"/>
      <c r="AQ31" s="1087"/>
      <c r="AR31" s="1076"/>
      <c r="AS31" s="1076"/>
      <c r="AT31" s="1086"/>
      <c r="AU31" s="1088"/>
      <c r="AV31" s="1067"/>
    </row>
    <row r="32" spans="1:48" ht="20.100000000000001" customHeight="1">
      <c r="A32" s="1073"/>
      <c r="B32" s="1038" t="s">
        <v>18</v>
      </c>
      <c r="C32" s="1039" t="s">
        <v>124</v>
      </c>
      <c r="D32" s="1074"/>
      <c r="E32" s="1074"/>
      <c r="F32" s="1138"/>
      <c r="G32" s="1074" t="s">
        <v>18</v>
      </c>
      <c r="H32" s="1074" t="s">
        <v>19</v>
      </c>
      <c r="I32" s="1127"/>
      <c r="J32" s="1128"/>
      <c r="K32" s="1067"/>
      <c r="L32" s="1139"/>
      <c r="M32" s="1130"/>
      <c r="N32" s="1074" t="s">
        <v>433</v>
      </c>
      <c r="O32" s="1131" t="s">
        <v>21</v>
      </c>
      <c r="P32" s="1132"/>
      <c r="Q32" s="1133">
        <v>8.25</v>
      </c>
      <c r="R32" s="1038" t="s">
        <v>16</v>
      </c>
      <c r="S32" s="1074" t="s">
        <v>479</v>
      </c>
      <c r="T32" s="1075">
        <v>4</v>
      </c>
      <c r="U32" s="1184">
        <v>1</v>
      </c>
      <c r="V32" s="1185" t="s">
        <v>14</v>
      </c>
      <c r="W32" s="1140">
        <v>0</v>
      </c>
      <c r="X32" s="1141">
        <v>2</v>
      </c>
      <c r="Y32" s="1142">
        <v>0</v>
      </c>
      <c r="Z32" s="1143">
        <f>SUM(W32:Y32)</f>
        <v>2</v>
      </c>
      <c r="AA32" s="1074"/>
      <c r="AB32" s="1126"/>
      <c r="AC32" s="1073"/>
      <c r="AD32" s="1084"/>
      <c r="AE32" s="1062"/>
      <c r="AF32" s="1085"/>
      <c r="AG32" s="1086"/>
      <c r="AH32" s="1087">
        <v>100000</v>
      </c>
      <c r="AI32" s="1087">
        <f>AH32*Q32*0.5</f>
        <v>412500</v>
      </c>
      <c r="AJ32" s="1088"/>
      <c r="AK32" s="1089">
        <v>231000</v>
      </c>
      <c r="AL32" s="1087">
        <f>AK32*X32</f>
        <v>462000</v>
      </c>
      <c r="AM32" s="1086"/>
      <c r="AN32" s="1086"/>
      <c r="AO32" s="1087"/>
      <c r="AP32" s="1076"/>
      <c r="AQ32" s="1087"/>
      <c r="AR32" s="1076"/>
      <c r="AS32" s="1076"/>
      <c r="AT32" s="1086"/>
      <c r="AU32" s="1088"/>
      <c r="AV32" s="1067"/>
    </row>
    <row r="33" spans="1:48" ht="54.75" customHeight="1">
      <c r="A33" s="1073"/>
      <c r="B33" s="1038" t="s">
        <v>12</v>
      </c>
      <c r="C33" s="1083" t="s">
        <v>98</v>
      </c>
      <c r="D33" s="1077"/>
      <c r="E33" s="1126"/>
      <c r="F33" s="1138"/>
      <c r="G33" s="1074"/>
      <c r="H33" s="1077"/>
      <c r="I33" s="1127"/>
      <c r="J33" s="1128"/>
      <c r="K33" s="1067"/>
      <c r="L33" s="1139"/>
      <c r="M33" s="1130"/>
      <c r="N33" s="1074" t="s">
        <v>431</v>
      </c>
      <c r="O33" s="1131" t="s">
        <v>17</v>
      </c>
      <c r="P33" s="1132">
        <v>1</v>
      </c>
      <c r="Q33" s="1133"/>
      <c r="R33" s="1122"/>
      <c r="S33" s="1063"/>
      <c r="T33" s="1075"/>
      <c r="U33" s="1076">
        <v>2</v>
      </c>
      <c r="V33" s="1185" t="s">
        <v>81</v>
      </c>
      <c r="W33" s="1140">
        <v>0</v>
      </c>
      <c r="X33" s="1141">
        <v>6</v>
      </c>
      <c r="Y33" s="1142">
        <v>0</v>
      </c>
      <c r="Z33" s="1143">
        <f>SUM(W33:Y33)</f>
        <v>6</v>
      </c>
      <c r="AA33" s="1074"/>
      <c r="AB33" s="1126"/>
      <c r="AC33" s="1073"/>
      <c r="AD33" s="1084"/>
      <c r="AE33" s="1062"/>
      <c r="AF33" s="1085"/>
      <c r="AG33" s="1086"/>
      <c r="AH33" s="1087">
        <v>2500000</v>
      </c>
      <c r="AI33" s="1087">
        <f>AH33*P33*0.5</f>
        <v>1250000</v>
      </c>
      <c r="AJ33" s="1088"/>
      <c r="AK33" s="1089">
        <v>500</v>
      </c>
      <c r="AL33" s="1090">
        <f>AK33*X33</f>
        <v>3000</v>
      </c>
      <c r="AM33" s="1086"/>
      <c r="AN33" s="1086"/>
      <c r="AO33" s="1087"/>
      <c r="AP33" s="1076"/>
      <c r="AQ33" s="1087"/>
      <c r="AR33" s="1076"/>
      <c r="AS33" s="1076"/>
      <c r="AT33" s="1086"/>
      <c r="AU33" s="1088"/>
      <c r="AV33" s="1067"/>
    </row>
    <row r="34" spans="1:48" ht="18" customHeight="1">
      <c r="A34" s="1073"/>
      <c r="B34" s="1038" t="s">
        <v>8</v>
      </c>
      <c r="C34" s="1083" t="s">
        <v>487</v>
      </c>
      <c r="D34" s="1077"/>
      <c r="E34" s="1126"/>
      <c r="F34" s="1138"/>
      <c r="G34" s="1074"/>
      <c r="H34" s="1077"/>
      <c r="I34" s="1127"/>
      <c r="J34" s="1128"/>
      <c r="K34" s="1067"/>
      <c r="L34" s="1139"/>
      <c r="M34" s="1130"/>
      <c r="N34" s="1074" t="s">
        <v>429</v>
      </c>
      <c r="O34" s="1131" t="s">
        <v>11</v>
      </c>
      <c r="P34" s="1132">
        <v>1</v>
      </c>
      <c r="Q34" s="1133"/>
      <c r="R34" s="1122"/>
      <c r="S34" s="1063"/>
      <c r="T34" s="1075"/>
      <c r="U34" s="1076">
        <v>3</v>
      </c>
      <c r="V34" s="1185" t="s">
        <v>244</v>
      </c>
      <c r="W34" s="1140"/>
      <c r="X34" s="1141"/>
      <c r="Y34" s="1142"/>
      <c r="Z34" s="1143">
        <v>4</v>
      </c>
      <c r="AA34" s="1074"/>
      <c r="AB34" s="1126"/>
      <c r="AC34" s="1073"/>
      <c r="AD34" s="1084"/>
      <c r="AE34" s="1062"/>
      <c r="AF34" s="1085"/>
      <c r="AG34" s="1086"/>
      <c r="AH34" s="1087">
        <v>2500000</v>
      </c>
      <c r="AI34" s="1087">
        <f>AH34*P34*0.75</f>
        <v>1875000</v>
      </c>
      <c r="AJ34" s="1088"/>
      <c r="AK34" s="1089"/>
      <c r="AL34" s="1090"/>
      <c r="AM34" s="1086"/>
      <c r="AN34" s="1086"/>
      <c r="AO34" s="1087"/>
      <c r="AP34" s="1076"/>
      <c r="AQ34" s="1087"/>
      <c r="AR34" s="1076"/>
      <c r="AS34" s="1076"/>
      <c r="AT34" s="1086"/>
      <c r="AU34" s="1088"/>
      <c r="AV34" s="1067"/>
    </row>
    <row r="35" spans="1:48" ht="18" customHeight="1">
      <c r="A35" s="1073"/>
      <c r="B35" s="1038"/>
      <c r="C35" s="1083"/>
      <c r="D35" s="1077"/>
      <c r="E35" s="1126"/>
      <c r="F35" s="1138"/>
      <c r="G35" s="1074"/>
      <c r="H35" s="1077"/>
      <c r="I35" s="1127"/>
      <c r="J35" s="1128"/>
      <c r="K35" s="1067"/>
      <c r="L35" s="1139"/>
      <c r="M35" s="1130"/>
      <c r="N35" s="1074" t="s">
        <v>428</v>
      </c>
      <c r="O35" s="1131" t="s">
        <v>184</v>
      </c>
      <c r="P35" s="1132"/>
      <c r="Q35" s="1133">
        <v>8.25</v>
      </c>
      <c r="R35" s="1122"/>
      <c r="S35" s="1063"/>
      <c r="T35" s="1075"/>
      <c r="U35" s="1184">
        <v>4</v>
      </c>
      <c r="V35" s="1185" t="s">
        <v>486</v>
      </c>
      <c r="W35" s="1140"/>
      <c r="X35" s="1141"/>
      <c r="Y35" s="1142"/>
      <c r="Z35" s="1143">
        <v>11</v>
      </c>
      <c r="AA35" s="1074"/>
      <c r="AB35" s="1126"/>
      <c r="AC35" s="1073"/>
      <c r="AD35" s="1084"/>
      <c r="AE35" s="1062"/>
      <c r="AF35" s="1085"/>
      <c r="AG35" s="1086"/>
      <c r="AH35" s="1087">
        <v>100000</v>
      </c>
      <c r="AI35" s="1087">
        <f t="shared" si="2"/>
        <v>412500</v>
      </c>
      <c r="AJ35" s="1088"/>
      <c r="AK35" s="1089"/>
      <c r="AL35" s="1090"/>
      <c r="AM35" s="1086"/>
      <c r="AN35" s="1086"/>
      <c r="AO35" s="1087"/>
      <c r="AP35" s="1076"/>
      <c r="AQ35" s="1087"/>
      <c r="AR35" s="1076"/>
      <c r="AS35" s="1076"/>
      <c r="AT35" s="1086"/>
      <c r="AU35" s="1088"/>
      <c r="AV35" s="1067"/>
    </row>
    <row r="36" spans="1:48" ht="18" customHeight="1">
      <c r="A36" s="1107"/>
      <c r="B36" s="1095"/>
      <c r="C36" s="1186"/>
      <c r="D36" s="1151"/>
      <c r="E36" s="1156"/>
      <c r="F36" s="1150"/>
      <c r="G36" s="1094"/>
      <c r="H36" s="1151"/>
      <c r="I36" s="1152"/>
      <c r="J36" s="1153"/>
      <c r="K36" s="1101"/>
      <c r="L36" s="1154"/>
      <c r="M36" s="1155"/>
      <c r="N36" s="1074" t="s">
        <v>427</v>
      </c>
      <c r="O36" s="1131" t="s">
        <v>7</v>
      </c>
      <c r="P36" s="1187"/>
      <c r="Q36" s="1133">
        <v>52.6</v>
      </c>
      <c r="R36" s="1095"/>
      <c r="S36" s="1094"/>
      <c r="T36" s="1168"/>
      <c r="U36" s="1188"/>
      <c r="V36" s="1189"/>
      <c r="W36" s="1111"/>
      <c r="X36" s="1110"/>
      <c r="Y36" s="1096"/>
      <c r="Z36" s="1166"/>
      <c r="AA36" s="1094"/>
      <c r="AB36" s="1156"/>
      <c r="AC36" s="1107"/>
      <c r="AD36" s="1114"/>
      <c r="AE36" s="1093"/>
      <c r="AF36" s="1115"/>
      <c r="AG36" s="1116"/>
      <c r="AH36" s="1117">
        <v>500000</v>
      </c>
      <c r="AI36" s="1117">
        <f>AH36*Q36*0.4</f>
        <v>10520000</v>
      </c>
      <c r="AJ36" s="1118"/>
      <c r="AK36" s="1119"/>
      <c r="AL36" s="1120"/>
      <c r="AM36" s="1116"/>
      <c r="AN36" s="1116"/>
      <c r="AO36" s="1117"/>
      <c r="AP36" s="1108"/>
      <c r="AQ36" s="1117"/>
      <c r="AR36" s="1108"/>
      <c r="AS36" s="1108"/>
      <c r="AT36" s="1116"/>
      <c r="AU36" s="1118"/>
      <c r="AV36" s="1101"/>
    </row>
    <row r="37" spans="1:48" ht="20.100000000000001" customHeight="1">
      <c r="A37" s="1169">
        <v>3</v>
      </c>
      <c r="B37" s="1033" t="s">
        <v>25</v>
      </c>
      <c r="C37" s="1036" t="s">
        <v>485</v>
      </c>
      <c r="D37" s="1170"/>
      <c r="E37" s="1034"/>
      <c r="F37" s="1171" t="s">
        <v>484</v>
      </c>
      <c r="G37" s="1172" t="s">
        <v>25</v>
      </c>
      <c r="H37" s="1173" t="s">
        <v>42</v>
      </c>
      <c r="I37" s="1174">
        <v>384</v>
      </c>
      <c r="J37" s="1175" t="s">
        <v>41</v>
      </c>
      <c r="K37" s="1041" t="s">
        <v>483</v>
      </c>
      <c r="L37" s="1129" t="s">
        <v>46</v>
      </c>
      <c r="M37" s="1176"/>
      <c r="N37" s="1170" t="s">
        <v>69</v>
      </c>
      <c r="O37" s="1190" t="s">
        <v>26</v>
      </c>
      <c r="P37" s="1031"/>
      <c r="Q37" s="1178">
        <v>78</v>
      </c>
      <c r="R37" s="1033" t="s">
        <v>25</v>
      </c>
      <c r="S37" s="1034" t="s">
        <v>24</v>
      </c>
      <c r="T37" s="1048"/>
      <c r="U37" s="1180"/>
      <c r="V37" s="1047"/>
      <c r="W37" s="1052"/>
      <c r="X37" s="1051"/>
      <c r="Y37" s="1036"/>
      <c r="Z37" s="1134"/>
      <c r="AA37" s="1170"/>
      <c r="AB37" s="1181"/>
      <c r="AC37" s="1047"/>
      <c r="AD37" s="1055"/>
      <c r="AE37" s="1032"/>
      <c r="AF37" s="1056">
        <f>Resum!F1</f>
        <v>356000</v>
      </c>
      <c r="AG37" s="1086">
        <f>AF37*I37</f>
        <v>136704000</v>
      </c>
      <c r="AH37" s="1058">
        <v>2530000</v>
      </c>
      <c r="AI37" s="1087">
        <f>AH37*Q37*0.75</f>
        <v>148005000</v>
      </c>
      <c r="AJ37" s="1182">
        <f>SUM(AI37:AI45)</f>
        <v>157439250</v>
      </c>
      <c r="AK37" s="1060"/>
      <c r="AL37" s="1061"/>
      <c r="AM37" s="1057">
        <f>SUM(AL37:AL45)</f>
        <v>922000</v>
      </c>
      <c r="AN37" s="1086">
        <f>AM37+AJ37+AG37</f>
        <v>295065250</v>
      </c>
      <c r="AO37" s="1058"/>
      <c r="AP37" s="1136">
        <f>(AI37+83304000)*15%</f>
        <v>34696350</v>
      </c>
      <c r="AQ37" s="1087">
        <f>(AG37+AI37)*1%</f>
        <v>2847090</v>
      </c>
      <c r="AR37" s="1136">
        <f>(AG37+AI37)*5%</f>
        <v>14235450</v>
      </c>
      <c r="AS37" s="1087">
        <f>0.5%*(AG37+AI37)*(3)</f>
        <v>4270635</v>
      </c>
      <c r="AT37" s="1086">
        <f>+AS37+AR37+AQ37+AP37+AO37</f>
        <v>56049525</v>
      </c>
      <c r="AU37" s="1137">
        <f>ROUND(AT37+AN37,-3)</f>
        <v>351115000</v>
      </c>
      <c r="AV37" s="1041"/>
    </row>
    <row r="38" spans="1:48" ht="20.100000000000001" customHeight="1">
      <c r="A38" s="1073"/>
      <c r="B38" s="1038" t="s">
        <v>16</v>
      </c>
      <c r="C38" s="1071" t="s">
        <v>482</v>
      </c>
      <c r="D38" s="1074"/>
      <c r="E38" s="1063"/>
      <c r="F38" s="1138"/>
      <c r="G38" s="1074" t="s">
        <v>16</v>
      </c>
      <c r="H38" s="1074" t="s">
        <v>22</v>
      </c>
      <c r="I38" s="1127"/>
      <c r="J38" s="1128"/>
      <c r="K38" s="1067"/>
      <c r="L38" s="1139"/>
      <c r="M38" s="1130"/>
      <c r="N38" s="1074" t="s">
        <v>435</v>
      </c>
      <c r="O38" s="1191" t="s">
        <v>21</v>
      </c>
      <c r="P38" s="1031"/>
      <c r="Q38" s="1132" t="s">
        <v>480</v>
      </c>
      <c r="R38" s="1038"/>
      <c r="S38" s="1074"/>
      <c r="T38" s="1075"/>
      <c r="U38" s="1091"/>
      <c r="V38" s="1073"/>
      <c r="W38" s="1079"/>
      <c r="X38" s="1078"/>
      <c r="Y38" s="1039"/>
      <c r="Z38" s="1134"/>
      <c r="AA38" s="1074"/>
      <c r="AB38" s="1126"/>
      <c r="AC38" s="1073"/>
      <c r="AD38" s="1084"/>
      <c r="AE38" s="1062"/>
      <c r="AF38" s="1085"/>
      <c r="AG38" s="1086"/>
      <c r="AH38" s="1087">
        <v>350000</v>
      </c>
      <c r="AI38" s="1087">
        <f>AH38*Q38*0.5</f>
        <v>3309250</v>
      </c>
      <c r="AJ38" s="1088"/>
      <c r="AK38" s="1089"/>
      <c r="AL38" s="1090"/>
      <c r="AM38" s="1086"/>
      <c r="AN38" s="1086"/>
      <c r="AO38" s="1087"/>
      <c r="AP38" s="1076"/>
      <c r="AQ38" s="1087"/>
      <c r="AR38" s="1076"/>
      <c r="AS38" s="1076"/>
      <c r="AT38" s="1086"/>
      <c r="AU38" s="1088"/>
      <c r="AV38" s="1067"/>
    </row>
    <row r="39" spans="1:48" ht="20.100000000000001" customHeight="1">
      <c r="A39" s="1073"/>
      <c r="B39" s="1038" t="s">
        <v>18</v>
      </c>
      <c r="C39" s="1039" t="s">
        <v>124</v>
      </c>
      <c r="D39" s="1074"/>
      <c r="E39" s="1074"/>
      <c r="F39" s="1138"/>
      <c r="G39" s="1074" t="s">
        <v>18</v>
      </c>
      <c r="H39" s="1074" t="s">
        <v>19</v>
      </c>
      <c r="I39" s="1127"/>
      <c r="J39" s="1128"/>
      <c r="K39" s="1067"/>
      <c r="L39" s="1139"/>
      <c r="M39" s="1130"/>
      <c r="N39" s="1074" t="s">
        <v>433</v>
      </c>
      <c r="O39" s="1131" t="s">
        <v>17</v>
      </c>
      <c r="P39" s="1132">
        <v>1</v>
      </c>
      <c r="Q39" s="1133"/>
      <c r="R39" s="1038" t="s">
        <v>16</v>
      </c>
      <c r="S39" s="1074" t="s">
        <v>479</v>
      </c>
      <c r="T39" s="1075">
        <v>6</v>
      </c>
      <c r="U39" s="1091">
        <v>1</v>
      </c>
      <c r="V39" s="1073" t="s">
        <v>14</v>
      </c>
      <c r="W39" s="1140">
        <v>0</v>
      </c>
      <c r="X39" s="1141">
        <v>2</v>
      </c>
      <c r="Y39" s="1142">
        <v>0</v>
      </c>
      <c r="Z39" s="1143">
        <f t="shared" ref="Z39:Z44" si="3">SUM(W39:Y39)</f>
        <v>2</v>
      </c>
      <c r="AA39" s="1074"/>
      <c r="AB39" s="1063"/>
      <c r="AC39" s="1073"/>
      <c r="AD39" s="1084"/>
      <c r="AE39" s="1062"/>
      <c r="AF39" s="1085"/>
      <c r="AG39" s="1086"/>
      <c r="AH39" s="1087">
        <v>2500000</v>
      </c>
      <c r="AI39" s="1087">
        <f>AH39*P39*0.5</f>
        <v>1250000</v>
      </c>
      <c r="AJ39" s="1088"/>
      <c r="AK39" s="1089">
        <v>231000</v>
      </c>
      <c r="AL39" s="1087">
        <f>AK39*X39</f>
        <v>462000</v>
      </c>
      <c r="AM39" s="1086"/>
      <c r="AN39" s="1086"/>
      <c r="AO39" s="1087"/>
      <c r="AP39" s="1076"/>
      <c r="AQ39" s="1087"/>
      <c r="AR39" s="1076"/>
      <c r="AS39" s="1076"/>
      <c r="AT39" s="1086"/>
      <c r="AU39" s="1088"/>
      <c r="AV39" s="1067"/>
    </row>
    <row r="40" spans="1:48" ht="49.5" customHeight="1">
      <c r="A40" s="1073"/>
      <c r="B40" s="1082" t="s">
        <v>12</v>
      </c>
      <c r="C40" s="1083" t="s">
        <v>210</v>
      </c>
      <c r="D40" s="1077"/>
      <c r="E40" s="1126"/>
      <c r="F40" s="1138"/>
      <c r="G40" s="1074"/>
      <c r="H40" s="1077"/>
      <c r="I40" s="1127"/>
      <c r="J40" s="1128"/>
      <c r="K40" s="1067"/>
      <c r="L40" s="1139"/>
      <c r="M40" s="1130"/>
      <c r="N40" s="1074" t="s">
        <v>431</v>
      </c>
      <c r="O40" s="1131" t="s">
        <v>11</v>
      </c>
      <c r="P40" s="1132">
        <v>1</v>
      </c>
      <c r="Q40" s="1133"/>
      <c r="R40" s="1038"/>
      <c r="S40" s="1063"/>
      <c r="T40" s="1144"/>
      <c r="U40" s="1145">
        <v>2</v>
      </c>
      <c r="V40" s="1146" t="s">
        <v>3</v>
      </c>
      <c r="W40" s="1140">
        <v>2</v>
      </c>
      <c r="X40" s="1141">
        <v>0</v>
      </c>
      <c r="Y40" s="1142">
        <v>0</v>
      </c>
      <c r="Z40" s="1143">
        <f t="shared" si="3"/>
        <v>2</v>
      </c>
      <c r="AA40" s="1074"/>
      <c r="AB40" s="1063"/>
      <c r="AC40" s="1075"/>
      <c r="AD40" s="1084"/>
      <c r="AE40" s="1062"/>
      <c r="AF40" s="1085"/>
      <c r="AG40" s="1086"/>
      <c r="AH40" s="1087">
        <v>2500000</v>
      </c>
      <c r="AI40" s="1087">
        <f t="shared" ref="AI40" si="4">AH40*P40*0.75</f>
        <v>1875000</v>
      </c>
      <c r="AJ40" s="1088"/>
      <c r="AK40" s="1089">
        <v>85000</v>
      </c>
      <c r="AL40" s="1090">
        <f t="shared" ref="AL40:AL44" si="5">AK40*W40</f>
        <v>170000</v>
      </c>
      <c r="AM40" s="1086"/>
      <c r="AN40" s="1086"/>
      <c r="AO40" s="1087"/>
      <c r="AP40" s="1076"/>
      <c r="AQ40" s="1087"/>
      <c r="AR40" s="1076"/>
      <c r="AS40" s="1076"/>
      <c r="AT40" s="1086"/>
      <c r="AU40" s="1088"/>
      <c r="AV40" s="1067"/>
    </row>
    <row r="41" spans="1:48" ht="18" customHeight="1">
      <c r="A41" s="1073"/>
      <c r="B41" s="1082" t="s">
        <v>8</v>
      </c>
      <c r="C41" s="1083" t="s">
        <v>478</v>
      </c>
      <c r="D41" s="1077"/>
      <c r="E41" s="1126"/>
      <c r="F41" s="1138"/>
      <c r="G41" s="1074"/>
      <c r="H41" s="1077"/>
      <c r="I41" s="1127"/>
      <c r="J41" s="1128"/>
      <c r="K41" s="1067"/>
      <c r="L41" s="1139"/>
      <c r="M41" s="1130"/>
      <c r="N41" s="1074" t="s">
        <v>429</v>
      </c>
      <c r="O41" s="1131" t="s">
        <v>7</v>
      </c>
      <c r="P41" s="1132"/>
      <c r="Q41" s="1133">
        <v>15</v>
      </c>
      <c r="R41" s="1038"/>
      <c r="S41" s="1063"/>
      <c r="T41" s="1144"/>
      <c r="U41" s="1145">
        <v>3</v>
      </c>
      <c r="V41" s="1146" t="s">
        <v>34</v>
      </c>
      <c r="W41" s="1140">
        <v>0</v>
      </c>
      <c r="X41" s="1141">
        <v>2</v>
      </c>
      <c r="Y41" s="1142">
        <v>0</v>
      </c>
      <c r="Z41" s="1143">
        <f t="shared" si="3"/>
        <v>2</v>
      </c>
      <c r="AA41" s="1074"/>
      <c r="AB41" s="1063"/>
      <c r="AC41" s="1075"/>
      <c r="AD41" s="1084"/>
      <c r="AE41" s="1062"/>
      <c r="AF41" s="1085"/>
      <c r="AG41" s="1086"/>
      <c r="AH41" s="1087">
        <v>500000</v>
      </c>
      <c r="AI41" s="1087">
        <f>AH41*Q41*0.4</f>
        <v>3000000</v>
      </c>
      <c r="AJ41" s="1088"/>
      <c r="AK41" s="1089">
        <v>82500</v>
      </c>
      <c r="AL41" s="1090">
        <f>AK41*X41</f>
        <v>165000</v>
      </c>
      <c r="AM41" s="1086"/>
      <c r="AN41" s="1086"/>
      <c r="AO41" s="1087"/>
      <c r="AP41" s="1076"/>
      <c r="AQ41" s="1087"/>
      <c r="AR41" s="1076"/>
      <c r="AS41" s="1076"/>
      <c r="AT41" s="1086"/>
      <c r="AU41" s="1088"/>
      <c r="AV41" s="1067"/>
    </row>
    <row r="42" spans="1:48" ht="20.100000000000001" customHeight="1">
      <c r="A42" s="1073"/>
      <c r="B42" s="1082"/>
      <c r="C42" s="1083"/>
      <c r="D42" s="1077"/>
      <c r="E42" s="1126"/>
      <c r="F42" s="1138"/>
      <c r="G42" s="1074"/>
      <c r="H42" s="1077"/>
      <c r="I42" s="1127"/>
      <c r="J42" s="1128"/>
      <c r="K42" s="1067"/>
      <c r="L42" s="1139"/>
      <c r="M42" s="1130"/>
      <c r="N42" s="1074"/>
      <c r="O42" s="1126"/>
      <c r="P42" s="1192"/>
      <c r="Q42" s="1193"/>
      <c r="R42" s="1038"/>
      <c r="S42" s="1063"/>
      <c r="T42" s="1144"/>
      <c r="U42" s="1145">
        <v>4</v>
      </c>
      <c r="V42" s="1146" t="s">
        <v>477</v>
      </c>
      <c r="W42" s="1140">
        <v>0</v>
      </c>
      <c r="X42" s="1141">
        <v>1</v>
      </c>
      <c r="Y42" s="1142">
        <v>0</v>
      </c>
      <c r="Z42" s="1143">
        <f t="shared" si="3"/>
        <v>1</v>
      </c>
      <c r="AA42" s="1074"/>
      <c r="AB42" s="1063"/>
      <c r="AC42" s="1075"/>
      <c r="AD42" s="1084"/>
      <c r="AE42" s="1062"/>
      <c r="AF42" s="1085"/>
      <c r="AG42" s="1086"/>
      <c r="AH42" s="1087"/>
      <c r="AI42" s="1087"/>
      <c r="AJ42" s="1088"/>
      <c r="AK42" s="1089">
        <v>105000</v>
      </c>
      <c r="AL42" s="1090">
        <f>AK42*X42</f>
        <v>105000</v>
      </c>
      <c r="AM42" s="1086"/>
      <c r="AN42" s="1086"/>
      <c r="AO42" s="1087"/>
      <c r="AP42" s="1076"/>
      <c r="AQ42" s="1087"/>
      <c r="AR42" s="1076"/>
      <c r="AS42" s="1076"/>
      <c r="AT42" s="1086"/>
      <c r="AU42" s="1088"/>
      <c r="AV42" s="1067"/>
    </row>
    <row r="43" spans="1:48" ht="20.100000000000001" customHeight="1">
      <c r="A43" s="1073"/>
      <c r="B43" s="1082"/>
      <c r="C43" s="1083"/>
      <c r="D43" s="1077"/>
      <c r="E43" s="1126"/>
      <c r="F43" s="1138"/>
      <c r="G43" s="1074"/>
      <c r="H43" s="1077"/>
      <c r="I43" s="1127"/>
      <c r="J43" s="1128"/>
      <c r="K43" s="1067"/>
      <c r="L43" s="1139"/>
      <c r="M43" s="1130"/>
      <c r="N43" s="1074"/>
      <c r="O43" s="1126"/>
      <c r="P43" s="1192"/>
      <c r="Q43" s="1193"/>
      <c r="R43" s="1038"/>
      <c r="S43" s="1063"/>
      <c r="T43" s="1144"/>
      <c r="U43" s="1145">
        <v>5</v>
      </c>
      <c r="V43" s="1146" t="s">
        <v>143</v>
      </c>
      <c r="W43" s="1140">
        <v>0</v>
      </c>
      <c r="X43" s="1141">
        <v>0</v>
      </c>
      <c r="Y43" s="1142">
        <v>0</v>
      </c>
      <c r="Z43" s="1143">
        <f t="shared" si="3"/>
        <v>0</v>
      </c>
      <c r="AA43" s="1074"/>
      <c r="AB43" s="1063"/>
      <c r="AC43" s="1075"/>
      <c r="AD43" s="1084"/>
      <c r="AE43" s="1062"/>
      <c r="AF43" s="1085"/>
      <c r="AG43" s="1086"/>
      <c r="AH43" s="1087"/>
      <c r="AI43" s="1087"/>
      <c r="AJ43" s="1088"/>
      <c r="AK43" s="1089"/>
      <c r="AL43" s="1090"/>
      <c r="AM43" s="1086"/>
      <c r="AN43" s="1086"/>
      <c r="AO43" s="1087"/>
      <c r="AP43" s="1076"/>
      <c r="AQ43" s="1087"/>
      <c r="AR43" s="1076"/>
      <c r="AS43" s="1076"/>
      <c r="AT43" s="1086"/>
      <c r="AU43" s="1088"/>
      <c r="AV43" s="1067"/>
    </row>
    <row r="44" spans="1:48" ht="20.100000000000001" customHeight="1">
      <c r="A44" s="1073"/>
      <c r="B44" s="1082"/>
      <c r="C44" s="1083"/>
      <c r="D44" s="1077"/>
      <c r="E44" s="1126"/>
      <c r="F44" s="1138"/>
      <c r="G44" s="1074"/>
      <c r="H44" s="1077"/>
      <c r="I44" s="1127"/>
      <c r="J44" s="1128"/>
      <c r="K44" s="1067"/>
      <c r="L44" s="1139"/>
      <c r="M44" s="1130"/>
      <c r="N44" s="1074"/>
      <c r="O44" s="1126"/>
      <c r="P44" s="1192"/>
      <c r="Q44" s="1193"/>
      <c r="R44" s="1038"/>
      <c r="S44" s="1063"/>
      <c r="T44" s="1144"/>
      <c r="U44" s="1145">
        <v>6</v>
      </c>
      <c r="V44" s="1146" t="s">
        <v>6</v>
      </c>
      <c r="W44" s="1140">
        <v>2</v>
      </c>
      <c r="X44" s="1141">
        <v>0</v>
      </c>
      <c r="Y44" s="1194">
        <v>0</v>
      </c>
      <c r="Z44" s="1143">
        <f t="shared" si="3"/>
        <v>2</v>
      </c>
      <c r="AA44" s="1074"/>
      <c r="AB44" s="1063"/>
      <c r="AC44" s="1075"/>
      <c r="AD44" s="1084"/>
      <c r="AE44" s="1062"/>
      <c r="AF44" s="1085"/>
      <c r="AG44" s="1086"/>
      <c r="AH44" s="1087"/>
      <c r="AI44" s="1087"/>
      <c r="AJ44" s="1088"/>
      <c r="AK44" s="1089">
        <v>10000</v>
      </c>
      <c r="AL44" s="1090">
        <f t="shared" si="5"/>
        <v>20000</v>
      </c>
      <c r="AM44" s="1086"/>
      <c r="AN44" s="1086"/>
      <c r="AO44" s="1087"/>
      <c r="AP44" s="1076"/>
      <c r="AQ44" s="1087"/>
      <c r="AR44" s="1076"/>
      <c r="AS44" s="1076"/>
      <c r="AT44" s="1086"/>
      <c r="AU44" s="1088"/>
      <c r="AV44" s="1067"/>
    </row>
    <row r="45" spans="1:48" ht="20.100000000000001" customHeight="1">
      <c r="A45" s="1107"/>
      <c r="B45" s="1095"/>
      <c r="C45" s="1186"/>
      <c r="D45" s="1094"/>
      <c r="E45" s="1149"/>
      <c r="F45" s="1150"/>
      <c r="G45" s="1094"/>
      <c r="H45" s="1151"/>
      <c r="I45" s="1152"/>
      <c r="J45" s="1153"/>
      <c r="K45" s="1101"/>
      <c r="L45" s="1154"/>
      <c r="M45" s="1155"/>
      <c r="N45" s="1094"/>
      <c r="O45" s="1156"/>
      <c r="P45" s="1157"/>
      <c r="Q45" s="1158"/>
      <c r="R45" s="1095"/>
      <c r="S45" s="1167"/>
      <c r="T45" s="1160"/>
      <c r="U45" s="1161"/>
      <c r="V45" s="1162"/>
      <c r="W45" s="1163"/>
      <c r="X45" s="1164"/>
      <c r="Y45" s="1165"/>
      <c r="Z45" s="1166"/>
      <c r="AA45" s="1094"/>
      <c r="AB45" s="1167"/>
      <c r="AC45" s="1168"/>
      <c r="AD45" s="1114"/>
      <c r="AE45" s="1093"/>
      <c r="AF45" s="1115"/>
      <c r="AG45" s="1116"/>
      <c r="AH45" s="1117"/>
      <c r="AI45" s="1117"/>
      <c r="AJ45" s="1118"/>
      <c r="AK45" s="1119"/>
      <c r="AL45" s="1120"/>
      <c r="AM45" s="1116"/>
      <c r="AN45" s="1116"/>
      <c r="AO45" s="1117"/>
      <c r="AP45" s="1108"/>
      <c r="AQ45" s="1117"/>
      <c r="AR45" s="1108"/>
      <c r="AS45" s="1108"/>
      <c r="AT45" s="1116"/>
      <c r="AU45" s="1118"/>
      <c r="AV45" s="1101"/>
    </row>
    <row r="46" spans="1:48" ht="16.5" customHeight="1">
      <c r="A46" s="1169">
        <v>4</v>
      </c>
      <c r="B46" s="1033" t="s">
        <v>25</v>
      </c>
      <c r="C46" s="1036" t="s">
        <v>214</v>
      </c>
      <c r="D46" s="1170"/>
      <c r="E46" s="1034"/>
      <c r="F46" s="1171" t="s">
        <v>476</v>
      </c>
      <c r="G46" s="1172" t="s">
        <v>25</v>
      </c>
      <c r="H46" s="1173" t="s">
        <v>42</v>
      </c>
      <c r="I46" s="1174">
        <v>946</v>
      </c>
      <c r="J46" s="1175" t="s">
        <v>41</v>
      </c>
      <c r="K46" s="1041" t="s">
        <v>475</v>
      </c>
      <c r="L46" s="1129" t="s">
        <v>46</v>
      </c>
      <c r="M46" s="1176"/>
      <c r="N46" s="1170" t="s">
        <v>25</v>
      </c>
      <c r="O46" s="1177" t="s">
        <v>26</v>
      </c>
      <c r="P46" s="1178">
        <v>1</v>
      </c>
      <c r="Q46" s="1179">
        <v>164</v>
      </c>
      <c r="R46" s="1033"/>
      <c r="S46" s="1034"/>
      <c r="T46" s="1048"/>
      <c r="U46" s="1180"/>
      <c r="V46" s="1047"/>
      <c r="W46" s="1052"/>
      <c r="X46" s="1051"/>
      <c r="Y46" s="1036"/>
      <c r="Z46" s="1134"/>
      <c r="AA46" s="1170"/>
      <c r="AB46" s="1181"/>
      <c r="AC46" s="1047"/>
      <c r="AD46" s="1055"/>
      <c r="AE46" s="1032"/>
      <c r="AF46" s="1056">
        <f>Resum!F1</f>
        <v>356000</v>
      </c>
      <c r="AG46" s="1086">
        <f>AF46*I46</f>
        <v>336776000</v>
      </c>
      <c r="AH46" s="1058">
        <v>2530000</v>
      </c>
      <c r="AI46" s="1087">
        <f>AH46*Q46*0.85</f>
        <v>352682000</v>
      </c>
      <c r="AJ46" s="1182">
        <f>SUM(AI46:AI60)</f>
        <v>380652500</v>
      </c>
      <c r="AK46" s="1060"/>
      <c r="AL46" s="1061"/>
      <c r="AM46" s="1057"/>
      <c r="AN46" s="1086">
        <f>AM46+AJ46+AG46</f>
        <v>717428500</v>
      </c>
      <c r="AO46" s="1058"/>
      <c r="AP46" s="1136">
        <f>(AI46+175152000)*15%</f>
        <v>79175100</v>
      </c>
      <c r="AQ46" s="1087">
        <f>(AG46+AI46)*1%</f>
        <v>6894580</v>
      </c>
      <c r="AR46" s="1136">
        <f>(AG46+AI46)*5%</f>
        <v>34472900</v>
      </c>
      <c r="AS46" s="1087">
        <f>0.5%*(AG46+AI46)*(3)</f>
        <v>10341870</v>
      </c>
      <c r="AT46" s="1086">
        <f>+AS46+AR46+AQ46+AP46+AO46</f>
        <v>130884450</v>
      </c>
      <c r="AU46" s="1137">
        <f>ROUND(AT46+AN46,-3)</f>
        <v>848313000</v>
      </c>
      <c r="AV46" s="1041"/>
    </row>
    <row r="47" spans="1:48" ht="16.5" customHeight="1">
      <c r="A47" s="1073"/>
      <c r="B47" s="1038" t="s">
        <v>16</v>
      </c>
      <c r="C47" s="1071" t="s">
        <v>211</v>
      </c>
      <c r="D47" s="1074"/>
      <c r="E47" s="1063"/>
      <c r="F47" s="1138"/>
      <c r="G47" s="1074" t="s">
        <v>16</v>
      </c>
      <c r="H47" s="1074" t="s">
        <v>22</v>
      </c>
      <c r="I47" s="1127"/>
      <c r="J47" s="1128"/>
      <c r="K47" s="1067"/>
      <c r="L47" s="1139"/>
      <c r="M47" s="1130"/>
      <c r="N47" s="1074" t="s">
        <v>435</v>
      </c>
      <c r="O47" s="1131" t="s">
        <v>21</v>
      </c>
      <c r="P47" s="1132">
        <v>1</v>
      </c>
      <c r="Q47" s="1133">
        <v>41</v>
      </c>
      <c r="R47" s="1038"/>
      <c r="S47" s="1074"/>
      <c r="T47" s="1075"/>
      <c r="U47" s="1091"/>
      <c r="V47" s="1073"/>
      <c r="W47" s="1079"/>
      <c r="X47" s="1078"/>
      <c r="Y47" s="1039"/>
      <c r="Z47" s="1134"/>
      <c r="AA47" s="1074"/>
      <c r="AB47" s="1126"/>
      <c r="AC47" s="1073"/>
      <c r="AD47" s="1084"/>
      <c r="AE47" s="1062"/>
      <c r="AF47" s="1085"/>
      <c r="AG47" s="1086"/>
      <c r="AH47" s="1087">
        <v>350000</v>
      </c>
      <c r="AI47" s="1087">
        <f>AH47*Q47*0.85</f>
        <v>12197500</v>
      </c>
      <c r="AJ47" s="1088"/>
      <c r="AK47" s="1089"/>
      <c r="AL47" s="1090"/>
      <c r="AM47" s="1086"/>
      <c r="AN47" s="1086"/>
      <c r="AO47" s="1087"/>
      <c r="AP47" s="1076"/>
      <c r="AQ47" s="1087"/>
      <c r="AR47" s="1076"/>
      <c r="AS47" s="1076"/>
      <c r="AT47" s="1086"/>
      <c r="AU47" s="1088"/>
      <c r="AV47" s="1067"/>
    </row>
    <row r="48" spans="1:48" ht="16.5" customHeight="1">
      <c r="A48" s="1073"/>
      <c r="B48" s="1038" t="s">
        <v>18</v>
      </c>
      <c r="C48" s="1039" t="s">
        <v>124</v>
      </c>
      <c r="D48" s="1074"/>
      <c r="E48" s="1074"/>
      <c r="F48" s="1138"/>
      <c r="G48" s="1074" t="s">
        <v>18</v>
      </c>
      <c r="H48" s="1074" t="s">
        <v>19</v>
      </c>
      <c r="I48" s="1127"/>
      <c r="J48" s="1128"/>
      <c r="K48" s="1067"/>
      <c r="L48" s="1139"/>
      <c r="M48" s="1130"/>
      <c r="N48" s="1074" t="s">
        <v>433</v>
      </c>
      <c r="O48" s="1131" t="s">
        <v>17</v>
      </c>
      <c r="P48" s="1132">
        <v>1</v>
      </c>
      <c r="Q48" s="1133"/>
      <c r="R48" s="1038"/>
      <c r="S48" s="1074"/>
      <c r="T48" s="1075"/>
      <c r="U48" s="1091"/>
      <c r="V48" s="1073"/>
      <c r="W48" s="1079"/>
      <c r="X48" s="1078"/>
      <c r="Y48" s="1039"/>
      <c r="Z48" s="1183"/>
      <c r="AA48" s="1074"/>
      <c r="AB48" s="1063"/>
      <c r="AC48" s="1073"/>
      <c r="AD48" s="1084"/>
      <c r="AE48" s="1062"/>
      <c r="AF48" s="1085"/>
      <c r="AG48" s="1086"/>
      <c r="AH48" s="1087">
        <v>2500000</v>
      </c>
      <c r="AI48" s="1087">
        <f>AH48*P48*0.5</f>
        <v>1250000</v>
      </c>
      <c r="AJ48" s="1088"/>
      <c r="AK48" s="1089"/>
      <c r="AL48" s="1090"/>
      <c r="AM48" s="1086"/>
      <c r="AN48" s="1086"/>
      <c r="AO48" s="1087"/>
      <c r="AP48" s="1076"/>
      <c r="AQ48" s="1087"/>
      <c r="AR48" s="1076"/>
      <c r="AS48" s="1076"/>
      <c r="AT48" s="1086"/>
      <c r="AU48" s="1088"/>
      <c r="AV48" s="1067"/>
    </row>
    <row r="49" spans="1:48" ht="49.5" customHeight="1">
      <c r="A49" s="1073"/>
      <c r="B49" s="1038" t="s">
        <v>12</v>
      </c>
      <c r="C49" s="1083" t="s">
        <v>98</v>
      </c>
      <c r="D49" s="1074"/>
      <c r="E49" s="1126"/>
      <c r="F49" s="1138"/>
      <c r="G49" s="1074"/>
      <c r="H49" s="1077"/>
      <c r="I49" s="1127"/>
      <c r="J49" s="1128"/>
      <c r="K49" s="1067"/>
      <c r="L49" s="1139"/>
      <c r="M49" s="1130"/>
      <c r="N49" s="1074" t="s">
        <v>431</v>
      </c>
      <c r="O49" s="1131" t="s">
        <v>11</v>
      </c>
      <c r="P49" s="1132">
        <v>1</v>
      </c>
      <c r="Q49" s="1133"/>
      <c r="R49" s="1122"/>
      <c r="S49" s="1063"/>
      <c r="T49" s="1075"/>
      <c r="U49" s="1184"/>
      <c r="V49" s="1185"/>
      <c r="W49" s="1079"/>
      <c r="X49" s="1078"/>
      <c r="Y49" s="1039"/>
      <c r="Z49" s="1183"/>
      <c r="AA49" s="1074"/>
      <c r="AB49" s="1063"/>
      <c r="AC49" s="1075"/>
      <c r="AD49" s="1084"/>
      <c r="AE49" s="1062"/>
      <c r="AF49" s="1085"/>
      <c r="AG49" s="1086"/>
      <c r="AH49" s="1087">
        <v>2500000</v>
      </c>
      <c r="AI49" s="1087">
        <f>AH49*P49*0.75</f>
        <v>1875000</v>
      </c>
      <c r="AJ49" s="1088"/>
      <c r="AK49" s="1089"/>
      <c r="AL49" s="1090"/>
      <c r="AM49" s="1086"/>
      <c r="AN49" s="1086"/>
      <c r="AO49" s="1087"/>
      <c r="AP49" s="1076"/>
      <c r="AQ49" s="1087"/>
      <c r="AR49" s="1076"/>
      <c r="AS49" s="1076"/>
      <c r="AT49" s="1086"/>
      <c r="AU49" s="1088"/>
      <c r="AV49" s="1067"/>
    </row>
    <row r="50" spans="1:48" ht="16.5" customHeight="1">
      <c r="A50" s="1073"/>
      <c r="B50" s="1038" t="s">
        <v>8</v>
      </c>
      <c r="C50" s="1083" t="s">
        <v>209</v>
      </c>
      <c r="D50" s="1074"/>
      <c r="E50" s="1126"/>
      <c r="F50" s="1138"/>
      <c r="G50" s="1074"/>
      <c r="H50" s="1077"/>
      <c r="I50" s="1127"/>
      <c r="J50" s="1128"/>
      <c r="K50" s="1067"/>
      <c r="L50" s="1139"/>
      <c r="M50" s="1130"/>
      <c r="N50" s="1074" t="s">
        <v>429</v>
      </c>
      <c r="O50" s="1131" t="s">
        <v>59</v>
      </c>
      <c r="P50" s="1132">
        <v>1</v>
      </c>
      <c r="Q50" s="1133">
        <v>24.2</v>
      </c>
      <c r="R50" s="1122"/>
      <c r="S50" s="1063"/>
      <c r="T50" s="1075"/>
      <c r="U50" s="1184"/>
      <c r="V50" s="1185"/>
      <c r="W50" s="1079"/>
      <c r="X50" s="1078"/>
      <c r="Y50" s="1039"/>
      <c r="Z50" s="1183"/>
      <c r="AA50" s="1074"/>
      <c r="AB50" s="1063"/>
      <c r="AC50" s="1075"/>
      <c r="AD50" s="1084"/>
      <c r="AE50" s="1062"/>
      <c r="AF50" s="1085"/>
      <c r="AG50" s="1086"/>
      <c r="AH50" s="1087">
        <v>180000</v>
      </c>
      <c r="AI50" s="1087">
        <f t="shared" ref="AI47:AI51" si="6">AH50*Q50*0.5</f>
        <v>2178000</v>
      </c>
      <c r="AJ50" s="1088"/>
      <c r="AK50" s="1089"/>
      <c r="AL50" s="1090"/>
      <c r="AM50" s="1086"/>
      <c r="AN50" s="1086"/>
      <c r="AO50" s="1087"/>
      <c r="AP50" s="1076"/>
      <c r="AQ50" s="1087"/>
      <c r="AR50" s="1076"/>
      <c r="AS50" s="1076"/>
      <c r="AT50" s="1086"/>
      <c r="AU50" s="1088"/>
      <c r="AV50" s="1067"/>
    </row>
    <row r="51" spans="1:48" ht="16.5" customHeight="1">
      <c r="A51" s="1073"/>
      <c r="B51" s="1038"/>
      <c r="C51" s="1083"/>
      <c r="D51" s="1074"/>
      <c r="E51" s="1126"/>
      <c r="F51" s="1138"/>
      <c r="G51" s="1074"/>
      <c r="H51" s="1077"/>
      <c r="I51" s="1127"/>
      <c r="J51" s="1128"/>
      <c r="K51" s="1067"/>
      <c r="L51" s="1139"/>
      <c r="M51" s="1130"/>
      <c r="N51" s="1074" t="s">
        <v>428</v>
      </c>
      <c r="O51" s="1131" t="s">
        <v>7</v>
      </c>
      <c r="P51" s="1132"/>
      <c r="Q51" s="1133">
        <v>13</v>
      </c>
      <c r="R51" s="1122"/>
      <c r="S51" s="1063"/>
      <c r="T51" s="1075"/>
      <c r="U51" s="1184"/>
      <c r="V51" s="1185"/>
      <c r="W51" s="1079"/>
      <c r="X51" s="1078"/>
      <c r="Y51" s="1039"/>
      <c r="Z51" s="1183"/>
      <c r="AA51" s="1074"/>
      <c r="AB51" s="1063"/>
      <c r="AC51" s="1075"/>
      <c r="AD51" s="1084"/>
      <c r="AE51" s="1062"/>
      <c r="AF51" s="1085"/>
      <c r="AG51" s="1086"/>
      <c r="AH51" s="1087">
        <v>500000</v>
      </c>
      <c r="AI51" s="1087">
        <f t="shared" si="6"/>
        <v>3250000</v>
      </c>
      <c r="AJ51" s="1088"/>
      <c r="AK51" s="1089"/>
      <c r="AL51" s="1090"/>
      <c r="AM51" s="1086"/>
      <c r="AN51" s="1086"/>
      <c r="AO51" s="1087"/>
      <c r="AP51" s="1076"/>
      <c r="AQ51" s="1087"/>
      <c r="AR51" s="1076"/>
      <c r="AS51" s="1076"/>
      <c r="AT51" s="1086"/>
      <c r="AU51" s="1088"/>
      <c r="AV51" s="1067"/>
    </row>
    <row r="52" spans="1:48" ht="33" customHeight="1">
      <c r="A52" s="1073"/>
      <c r="B52" s="1038"/>
      <c r="C52" s="1083"/>
      <c r="D52" s="1074"/>
      <c r="E52" s="1126"/>
      <c r="F52" s="1138"/>
      <c r="G52" s="1074"/>
      <c r="H52" s="1077"/>
      <c r="I52" s="1127"/>
      <c r="J52" s="1128"/>
      <c r="K52" s="1067"/>
      <c r="L52" s="1139"/>
      <c r="M52" s="1130"/>
      <c r="N52" s="1074" t="s">
        <v>427</v>
      </c>
      <c r="O52" s="1131" t="s">
        <v>121</v>
      </c>
      <c r="P52" s="1132"/>
      <c r="Q52" s="1133">
        <v>34</v>
      </c>
      <c r="R52" s="1122"/>
      <c r="S52" s="1063"/>
      <c r="T52" s="1075"/>
      <c r="U52" s="1184"/>
      <c r="V52" s="1185"/>
      <c r="W52" s="1079"/>
      <c r="X52" s="1078"/>
      <c r="Y52" s="1039"/>
      <c r="Z52" s="1183"/>
      <c r="AA52" s="1074"/>
      <c r="AB52" s="1063"/>
      <c r="AC52" s="1075"/>
      <c r="AD52" s="1084"/>
      <c r="AE52" s="1062"/>
      <c r="AF52" s="1085"/>
      <c r="AG52" s="1086"/>
      <c r="AH52" s="1087">
        <v>300000</v>
      </c>
      <c r="AI52" s="1087">
        <f>AH52*Q52*0.7</f>
        <v>7140000</v>
      </c>
      <c r="AJ52" s="1088"/>
      <c r="AK52" s="1089"/>
      <c r="AL52" s="1090"/>
      <c r="AM52" s="1086"/>
      <c r="AN52" s="1086"/>
      <c r="AO52" s="1087"/>
      <c r="AP52" s="1076"/>
      <c r="AQ52" s="1087"/>
      <c r="AR52" s="1076"/>
      <c r="AS52" s="1076"/>
      <c r="AT52" s="1086"/>
      <c r="AU52" s="1088"/>
      <c r="AV52" s="1067"/>
    </row>
    <row r="53" spans="1:48" ht="18" customHeight="1">
      <c r="A53" s="1073"/>
      <c r="B53" s="1038"/>
      <c r="C53" s="1083"/>
      <c r="D53" s="1074"/>
      <c r="E53" s="1126"/>
      <c r="F53" s="1138"/>
      <c r="G53" s="1074"/>
      <c r="H53" s="1077"/>
      <c r="I53" s="1127"/>
      <c r="J53" s="1128"/>
      <c r="K53" s="1067"/>
      <c r="L53" s="1139"/>
      <c r="M53" s="1130"/>
      <c r="N53" s="1074" t="s">
        <v>446</v>
      </c>
      <c r="O53" s="1131" t="s">
        <v>120</v>
      </c>
      <c r="P53" s="1132"/>
      <c r="Q53" s="1133">
        <v>0.8</v>
      </c>
      <c r="R53" s="1122"/>
      <c r="S53" s="1063"/>
      <c r="T53" s="1075"/>
      <c r="U53" s="1184"/>
      <c r="V53" s="1185"/>
      <c r="W53" s="1079"/>
      <c r="X53" s="1078"/>
      <c r="Y53" s="1039"/>
      <c r="Z53" s="1183"/>
      <c r="AA53" s="1074"/>
      <c r="AB53" s="1063"/>
      <c r="AC53" s="1075"/>
      <c r="AD53" s="1084"/>
      <c r="AE53" s="1062"/>
      <c r="AF53" s="1085"/>
      <c r="AG53" s="1086"/>
      <c r="AH53" s="1087">
        <v>200000</v>
      </c>
      <c r="AI53" s="1087">
        <f>AH53*Q53*0.5</f>
        <v>80000</v>
      </c>
      <c r="AJ53" s="1088"/>
      <c r="AK53" s="1089"/>
      <c r="AL53" s="1090"/>
      <c r="AM53" s="1086"/>
      <c r="AN53" s="1086"/>
      <c r="AO53" s="1087"/>
      <c r="AP53" s="1076"/>
      <c r="AQ53" s="1087"/>
      <c r="AR53" s="1076"/>
      <c r="AS53" s="1076"/>
      <c r="AT53" s="1086"/>
      <c r="AU53" s="1088"/>
      <c r="AV53" s="1067"/>
    </row>
    <row r="54" spans="1:48" ht="18" customHeight="1">
      <c r="A54" s="1073"/>
      <c r="B54" s="1038"/>
      <c r="C54" s="1083"/>
      <c r="D54" s="1074"/>
      <c r="E54" s="1126"/>
      <c r="F54" s="1138"/>
      <c r="G54" s="1074"/>
      <c r="H54" s="1077"/>
      <c r="I54" s="1127"/>
      <c r="J54" s="1128"/>
      <c r="K54" s="1067"/>
      <c r="L54" s="1139"/>
      <c r="M54" s="1130"/>
      <c r="N54" s="1074"/>
      <c r="O54" s="1063"/>
      <c r="P54" s="1195"/>
      <c r="Q54" s="1196"/>
      <c r="R54" s="1122"/>
      <c r="S54" s="1063"/>
      <c r="T54" s="1075"/>
      <c r="U54" s="1184"/>
      <c r="V54" s="1185"/>
      <c r="W54" s="1079"/>
      <c r="X54" s="1078"/>
      <c r="Y54" s="1039"/>
      <c r="Z54" s="1183"/>
      <c r="AA54" s="1074"/>
      <c r="AB54" s="1063"/>
      <c r="AC54" s="1075"/>
      <c r="AD54" s="1084"/>
      <c r="AE54" s="1062"/>
      <c r="AF54" s="1085"/>
      <c r="AG54" s="1086"/>
      <c r="AH54" s="1087"/>
      <c r="AI54" s="1087"/>
      <c r="AJ54" s="1088"/>
      <c r="AK54" s="1089"/>
      <c r="AL54" s="1090"/>
      <c r="AM54" s="1086"/>
      <c r="AN54" s="1086"/>
      <c r="AO54" s="1087"/>
      <c r="AP54" s="1076"/>
      <c r="AQ54" s="1087"/>
      <c r="AR54" s="1076"/>
      <c r="AS54" s="1076"/>
      <c r="AT54" s="1086"/>
      <c r="AU54" s="1088"/>
      <c r="AV54" s="1067"/>
    </row>
    <row r="55" spans="1:48" ht="18" customHeight="1">
      <c r="A55" s="1073"/>
      <c r="B55" s="1038"/>
      <c r="C55" s="1083"/>
      <c r="D55" s="1074"/>
      <c r="E55" s="1126"/>
      <c r="F55" s="1138"/>
      <c r="G55" s="1074"/>
      <c r="H55" s="1077"/>
      <c r="I55" s="1127"/>
      <c r="J55" s="1128"/>
      <c r="K55" s="1067"/>
      <c r="L55" s="1139"/>
      <c r="M55" s="1130"/>
      <c r="N55" s="1074"/>
      <c r="O55" s="1063"/>
      <c r="P55" s="1195"/>
      <c r="Q55" s="1196"/>
      <c r="R55" s="1122"/>
      <c r="S55" s="1063"/>
      <c r="T55" s="1075"/>
      <c r="U55" s="1184"/>
      <c r="V55" s="1185"/>
      <c r="W55" s="1079"/>
      <c r="X55" s="1078"/>
      <c r="Y55" s="1039"/>
      <c r="Z55" s="1183"/>
      <c r="AA55" s="1074"/>
      <c r="AB55" s="1063"/>
      <c r="AC55" s="1075"/>
      <c r="AD55" s="1084"/>
      <c r="AE55" s="1062"/>
      <c r="AF55" s="1085"/>
      <c r="AG55" s="1086"/>
      <c r="AH55" s="1087"/>
      <c r="AI55" s="1087"/>
      <c r="AJ55" s="1088"/>
      <c r="AK55" s="1089"/>
      <c r="AL55" s="1090"/>
      <c r="AM55" s="1086"/>
      <c r="AN55" s="1086"/>
      <c r="AO55" s="1087"/>
      <c r="AP55" s="1076"/>
      <c r="AQ55" s="1087"/>
      <c r="AR55" s="1076"/>
      <c r="AS55" s="1076"/>
      <c r="AT55" s="1086"/>
      <c r="AU55" s="1088"/>
      <c r="AV55" s="1067"/>
    </row>
    <row r="56" spans="1:48" ht="18" customHeight="1">
      <c r="A56" s="1073"/>
      <c r="B56" s="1038"/>
      <c r="C56" s="1083"/>
      <c r="D56" s="1074"/>
      <c r="E56" s="1126"/>
      <c r="F56" s="1138"/>
      <c r="G56" s="1074"/>
      <c r="H56" s="1077"/>
      <c r="I56" s="1127"/>
      <c r="J56" s="1128"/>
      <c r="K56" s="1067"/>
      <c r="L56" s="1139"/>
      <c r="M56" s="1130"/>
      <c r="N56" s="1074"/>
      <c r="O56" s="1063"/>
      <c r="P56" s="1195"/>
      <c r="Q56" s="1196"/>
      <c r="R56" s="1122"/>
      <c r="S56" s="1063"/>
      <c r="T56" s="1075"/>
      <c r="U56" s="1184"/>
      <c r="V56" s="1185"/>
      <c r="W56" s="1079"/>
      <c r="X56" s="1078"/>
      <c r="Y56" s="1039"/>
      <c r="Z56" s="1183"/>
      <c r="AA56" s="1074"/>
      <c r="AB56" s="1063"/>
      <c r="AC56" s="1075"/>
      <c r="AD56" s="1084"/>
      <c r="AE56" s="1062"/>
      <c r="AF56" s="1085"/>
      <c r="AG56" s="1086"/>
      <c r="AH56" s="1087"/>
      <c r="AI56" s="1087"/>
      <c r="AJ56" s="1088"/>
      <c r="AK56" s="1089"/>
      <c r="AL56" s="1090"/>
      <c r="AM56" s="1086"/>
      <c r="AN56" s="1086"/>
      <c r="AO56" s="1087"/>
      <c r="AP56" s="1076"/>
      <c r="AQ56" s="1087"/>
      <c r="AR56" s="1076"/>
      <c r="AS56" s="1076"/>
      <c r="AT56" s="1086"/>
      <c r="AU56" s="1088"/>
      <c r="AV56" s="1067"/>
    </row>
    <row r="57" spans="1:48" ht="18" customHeight="1">
      <c r="A57" s="1073"/>
      <c r="B57" s="1038"/>
      <c r="C57" s="1083"/>
      <c r="D57" s="1074"/>
      <c r="E57" s="1126"/>
      <c r="F57" s="1138"/>
      <c r="G57" s="1074"/>
      <c r="H57" s="1077"/>
      <c r="I57" s="1127"/>
      <c r="J57" s="1128"/>
      <c r="K57" s="1067"/>
      <c r="L57" s="1139"/>
      <c r="M57" s="1130"/>
      <c r="N57" s="1074"/>
      <c r="O57" s="1063"/>
      <c r="P57" s="1195"/>
      <c r="Q57" s="1196"/>
      <c r="R57" s="1122"/>
      <c r="S57" s="1063"/>
      <c r="T57" s="1075"/>
      <c r="U57" s="1184"/>
      <c r="V57" s="1185"/>
      <c r="W57" s="1079"/>
      <c r="X57" s="1078"/>
      <c r="Y57" s="1039"/>
      <c r="Z57" s="1183"/>
      <c r="AA57" s="1074"/>
      <c r="AB57" s="1063"/>
      <c r="AC57" s="1075"/>
      <c r="AD57" s="1084"/>
      <c r="AE57" s="1062"/>
      <c r="AF57" s="1085"/>
      <c r="AG57" s="1086"/>
      <c r="AH57" s="1087"/>
      <c r="AI57" s="1087"/>
      <c r="AJ57" s="1088"/>
      <c r="AK57" s="1089"/>
      <c r="AL57" s="1090"/>
      <c r="AM57" s="1086"/>
      <c r="AN57" s="1086"/>
      <c r="AO57" s="1087"/>
      <c r="AP57" s="1076"/>
      <c r="AQ57" s="1087"/>
      <c r="AR57" s="1076"/>
      <c r="AS57" s="1076"/>
      <c r="AT57" s="1086"/>
      <c r="AU57" s="1088"/>
      <c r="AV57" s="1067"/>
    </row>
    <row r="58" spans="1:48" ht="18" customHeight="1">
      <c r="A58" s="1073"/>
      <c r="B58" s="1038"/>
      <c r="C58" s="1083"/>
      <c r="D58" s="1074"/>
      <c r="E58" s="1126"/>
      <c r="F58" s="1138"/>
      <c r="G58" s="1074"/>
      <c r="H58" s="1077"/>
      <c r="I58" s="1127"/>
      <c r="J58" s="1128"/>
      <c r="K58" s="1067"/>
      <c r="L58" s="1139"/>
      <c r="M58" s="1130"/>
      <c r="N58" s="1074"/>
      <c r="O58" s="1063"/>
      <c r="P58" s="1195"/>
      <c r="Q58" s="1196"/>
      <c r="R58" s="1122"/>
      <c r="S58" s="1063"/>
      <c r="T58" s="1075"/>
      <c r="U58" s="1184"/>
      <c r="V58" s="1185"/>
      <c r="W58" s="1079"/>
      <c r="X58" s="1078"/>
      <c r="Y58" s="1039"/>
      <c r="Z58" s="1183"/>
      <c r="AA58" s="1074"/>
      <c r="AB58" s="1063"/>
      <c r="AC58" s="1075"/>
      <c r="AD58" s="1084"/>
      <c r="AE58" s="1062"/>
      <c r="AF58" s="1085"/>
      <c r="AG58" s="1086"/>
      <c r="AH58" s="1087"/>
      <c r="AI58" s="1087"/>
      <c r="AJ58" s="1088"/>
      <c r="AK58" s="1089"/>
      <c r="AL58" s="1090"/>
      <c r="AM58" s="1086"/>
      <c r="AN58" s="1086"/>
      <c r="AO58" s="1087"/>
      <c r="AP58" s="1076"/>
      <c r="AQ58" s="1087"/>
      <c r="AR58" s="1076"/>
      <c r="AS58" s="1076"/>
      <c r="AT58" s="1086"/>
      <c r="AU58" s="1088"/>
      <c r="AV58" s="1067"/>
    </row>
    <row r="59" spans="1:48" ht="18" customHeight="1">
      <c r="A59" s="1073"/>
      <c r="B59" s="1038"/>
      <c r="C59" s="1083"/>
      <c r="D59" s="1074"/>
      <c r="E59" s="1126"/>
      <c r="F59" s="1138"/>
      <c r="G59" s="1074"/>
      <c r="H59" s="1077"/>
      <c r="I59" s="1127"/>
      <c r="J59" s="1128"/>
      <c r="K59" s="1067"/>
      <c r="L59" s="1139"/>
      <c r="M59" s="1130"/>
      <c r="N59" s="1074"/>
      <c r="O59" s="1063"/>
      <c r="P59" s="1195"/>
      <c r="Q59" s="1196"/>
      <c r="R59" s="1122"/>
      <c r="S59" s="1063"/>
      <c r="T59" s="1075"/>
      <c r="U59" s="1184"/>
      <c r="V59" s="1185"/>
      <c r="W59" s="1079"/>
      <c r="X59" s="1078"/>
      <c r="Y59" s="1039"/>
      <c r="Z59" s="1183"/>
      <c r="AA59" s="1074"/>
      <c r="AB59" s="1063"/>
      <c r="AC59" s="1075"/>
      <c r="AD59" s="1084"/>
      <c r="AE59" s="1062"/>
      <c r="AF59" s="1085"/>
      <c r="AG59" s="1086"/>
      <c r="AH59" s="1087"/>
      <c r="AI59" s="1087"/>
      <c r="AJ59" s="1088"/>
      <c r="AK59" s="1089"/>
      <c r="AL59" s="1090"/>
      <c r="AM59" s="1086"/>
      <c r="AN59" s="1086"/>
      <c r="AO59" s="1087"/>
      <c r="AP59" s="1076"/>
      <c r="AQ59" s="1087"/>
      <c r="AR59" s="1076"/>
      <c r="AS59" s="1076"/>
      <c r="AT59" s="1086"/>
      <c r="AU59" s="1088"/>
      <c r="AV59" s="1067"/>
    </row>
    <row r="60" spans="1:48" ht="16.5" customHeight="1">
      <c r="A60" s="1107"/>
      <c r="B60" s="1095"/>
      <c r="C60" s="1186"/>
      <c r="D60" s="1094"/>
      <c r="E60" s="1149"/>
      <c r="F60" s="1150"/>
      <c r="G60" s="1094"/>
      <c r="H60" s="1151"/>
      <c r="I60" s="1152"/>
      <c r="J60" s="1153"/>
      <c r="K60" s="1101"/>
      <c r="L60" s="1154"/>
      <c r="M60" s="1155"/>
      <c r="N60" s="1094"/>
      <c r="O60" s="1167"/>
      <c r="P60" s="1197"/>
      <c r="Q60" s="1198"/>
      <c r="R60" s="1095"/>
      <c r="S60" s="1094"/>
      <c r="T60" s="1168"/>
      <c r="U60" s="1188"/>
      <c r="V60" s="1189"/>
      <c r="W60" s="1111"/>
      <c r="X60" s="1110"/>
      <c r="Y60" s="1096"/>
      <c r="Z60" s="1166"/>
      <c r="AA60" s="1094"/>
      <c r="AB60" s="1167"/>
      <c r="AC60" s="1168"/>
      <c r="AD60" s="1114"/>
      <c r="AE60" s="1093"/>
      <c r="AF60" s="1115"/>
      <c r="AG60" s="1116"/>
      <c r="AH60" s="1117"/>
      <c r="AI60" s="1117"/>
      <c r="AJ60" s="1118"/>
      <c r="AK60" s="1119"/>
      <c r="AL60" s="1120"/>
      <c r="AM60" s="1116"/>
      <c r="AN60" s="1116"/>
      <c r="AO60" s="1117"/>
      <c r="AP60" s="1108"/>
      <c r="AQ60" s="1117"/>
      <c r="AR60" s="1108"/>
      <c r="AS60" s="1108"/>
      <c r="AT60" s="1116"/>
      <c r="AU60" s="1118"/>
      <c r="AV60" s="1101"/>
    </row>
    <row r="61" spans="1:48" ht="16.5" customHeight="1">
      <c r="A61" s="1169">
        <v>5</v>
      </c>
      <c r="B61" s="1033" t="s">
        <v>25</v>
      </c>
      <c r="C61" s="1036" t="s">
        <v>473</v>
      </c>
      <c r="D61" s="1034"/>
      <c r="E61" s="1199"/>
      <c r="F61" s="1171" t="s">
        <v>472</v>
      </c>
      <c r="G61" s="1172" t="s">
        <v>25</v>
      </c>
      <c r="H61" s="1173" t="s">
        <v>42</v>
      </c>
      <c r="I61" s="1174">
        <v>840</v>
      </c>
      <c r="J61" s="1175" t="s">
        <v>41</v>
      </c>
      <c r="K61" s="1041" t="s">
        <v>471</v>
      </c>
      <c r="L61" s="1129" t="s">
        <v>46</v>
      </c>
      <c r="M61" s="1176"/>
      <c r="N61" s="1074" t="s">
        <v>69</v>
      </c>
      <c r="O61" s="1063" t="s">
        <v>26</v>
      </c>
      <c r="P61" s="1195">
        <v>3</v>
      </c>
      <c r="Q61" s="1196">
        <v>374</v>
      </c>
      <c r="R61" s="1033" t="s">
        <v>25</v>
      </c>
      <c r="S61" s="1034" t="s">
        <v>24</v>
      </c>
      <c r="T61" s="1178"/>
      <c r="U61" s="1180"/>
      <c r="V61" s="1047"/>
      <c r="W61" s="1200"/>
      <c r="X61" s="1201"/>
      <c r="Y61" s="1202"/>
      <c r="Z61" s="1203"/>
      <c r="AA61" s="1170"/>
      <c r="AB61" s="1181"/>
      <c r="AC61" s="1047"/>
      <c r="AD61" s="1055"/>
      <c r="AE61" s="1032"/>
      <c r="AF61" s="1056">
        <f>+Resum!F1</f>
        <v>356000</v>
      </c>
      <c r="AG61" s="1086">
        <f>AF61*I61</f>
        <v>299040000</v>
      </c>
      <c r="AH61" s="1058">
        <v>0</v>
      </c>
      <c r="AI61" s="1087">
        <f t="shared" ref="AI61:AI69" si="7">AH61*Q61*0.5</f>
        <v>0</v>
      </c>
      <c r="AJ61" s="1059"/>
      <c r="AK61" s="1060"/>
      <c r="AL61" s="1061"/>
      <c r="AM61" s="1057">
        <f>SUM(AL63:AL71)</f>
        <v>1941400</v>
      </c>
      <c r="AN61" s="1086">
        <f>AM61+AJ61+AG61</f>
        <v>300981400</v>
      </c>
      <c r="AO61" s="1058"/>
      <c r="AP61" s="1049"/>
      <c r="AQ61" s="1087">
        <v>0</v>
      </c>
      <c r="AR61" s="1136">
        <f>(AG61+AI61)*5%</f>
        <v>14952000</v>
      </c>
      <c r="AS61" s="1087">
        <f>0.5%*(AG61+AI61)*(3)</f>
        <v>4485600</v>
      </c>
      <c r="AT61" s="1086">
        <f>+AS61+AR61+AQ61+AP61+AO61</f>
        <v>19437600</v>
      </c>
      <c r="AU61" s="1137">
        <f>ROUND(AT61+AN61,-3)</f>
        <v>320419000</v>
      </c>
      <c r="AV61" s="1041"/>
    </row>
    <row r="62" spans="1:48" ht="33" customHeight="1">
      <c r="A62" s="1073"/>
      <c r="B62" s="1038" t="s">
        <v>16</v>
      </c>
      <c r="C62" s="1071" t="s">
        <v>470</v>
      </c>
      <c r="D62" s="1074"/>
      <c r="E62" s="1204"/>
      <c r="F62" s="1138"/>
      <c r="G62" s="1074" t="s">
        <v>16</v>
      </c>
      <c r="H62" s="1074" t="s">
        <v>22</v>
      </c>
      <c r="I62" s="1127"/>
      <c r="J62" s="1128"/>
      <c r="K62" s="1067"/>
      <c r="L62" s="1139"/>
      <c r="M62" s="1130"/>
      <c r="N62" s="1074" t="s">
        <v>435</v>
      </c>
      <c r="O62" s="1063" t="s">
        <v>62</v>
      </c>
      <c r="P62" s="1195">
        <v>2</v>
      </c>
      <c r="Q62" s="1196">
        <v>232</v>
      </c>
      <c r="R62" s="1038"/>
      <c r="S62" s="1074"/>
      <c r="T62" s="1075"/>
      <c r="U62" s="1091"/>
      <c r="V62" s="1073"/>
      <c r="W62" s="1140"/>
      <c r="X62" s="1141"/>
      <c r="Y62" s="1142"/>
      <c r="Z62" s="1183"/>
      <c r="AA62" s="1074"/>
      <c r="AB62" s="1126"/>
      <c r="AC62" s="1073"/>
      <c r="AD62" s="1084"/>
      <c r="AE62" s="1062"/>
      <c r="AF62" s="1085"/>
      <c r="AG62" s="1086"/>
      <c r="AH62" s="1087">
        <v>0</v>
      </c>
      <c r="AI62" s="1087">
        <f>AH62*Q62*0.5</f>
        <v>0</v>
      </c>
      <c r="AJ62" s="1088"/>
      <c r="AK62" s="1089"/>
      <c r="AL62" s="1090"/>
      <c r="AM62" s="1086"/>
      <c r="AN62" s="1086"/>
      <c r="AO62" s="1087"/>
      <c r="AP62" s="1076"/>
      <c r="AQ62" s="1087"/>
      <c r="AR62" s="1076"/>
      <c r="AS62" s="1076"/>
      <c r="AT62" s="1086"/>
      <c r="AU62" s="1088"/>
      <c r="AV62" s="1067"/>
    </row>
    <row r="63" spans="1:48" ht="16.5" customHeight="1">
      <c r="A63" s="1073"/>
      <c r="B63" s="1038" t="s">
        <v>18</v>
      </c>
      <c r="C63" s="1039" t="s">
        <v>38</v>
      </c>
      <c r="D63" s="1074"/>
      <c r="E63" s="1204"/>
      <c r="F63" s="1138"/>
      <c r="G63" s="1074" t="s">
        <v>18</v>
      </c>
      <c r="H63" s="1074" t="s">
        <v>19</v>
      </c>
      <c r="I63" s="1127"/>
      <c r="J63" s="1128"/>
      <c r="K63" s="1067"/>
      <c r="L63" s="1139"/>
      <c r="M63" s="1130"/>
      <c r="N63" s="1074" t="s">
        <v>433</v>
      </c>
      <c r="O63" s="1063" t="s">
        <v>21</v>
      </c>
      <c r="P63" s="1195">
        <v>1</v>
      </c>
      <c r="Q63" s="1196">
        <v>32</v>
      </c>
      <c r="R63" s="1038" t="s">
        <v>16</v>
      </c>
      <c r="S63" s="1074" t="s">
        <v>15</v>
      </c>
      <c r="T63" s="1132">
        <v>9</v>
      </c>
      <c r="U63" s="1184">
        <v>1</v>
      </c>
      <c r="V63" s="1185" t="s">
        <v>14</v>
      </c>
      <c r="W63" s="1140">
        <v>2</v>
      </c>
      <c r="X63" s="1141">
        <v>0</v>
      </c>
      <c r="Y63" s="1142">
        <v>0</v>
      </c>
      <c r="Z63" s="1143">
        <f t="shared" ref="Z63:Z70" si="8">SUM(W63:Y63)</f>
        <v>2</v>
      </c>
      <c r="AA63" s="1074"/>
      <c r="AB63" s="1063"/>
      <c r="AC63" s="1073"/>
      <c r="AD63" s="1084"/>
      <c r="AE63" s="1062"/>
      <c r="AF63" s="1085"/>
      <c r="AG63" s="1086"/>
      <c r="AH63" s="1087"/>
      <c r="AI63" s="1087">
        <f t="shared" si="7"/>
        <v>0</v>
      </c>
      <c r="AJ63" s="1088"/>
      <c r="AK63" s="1089">
        <v>350000</v>
      </c>
      <c r="AL63" s="1087">
        <f t="shared" ref="AL63" si="9">AK63*W63</f>
        <v>700000</v>
      </c>
      <c r="AM63" s="1086"/>
      <c r="AN63" s="1086"/>
      <c r="AO63" s="1087"/>
      <c r="AP63" s="1076"/>
      <c r="AQ63" s="1087"/>
      <c r="AR63" s="1076"/>
      <c r="AS63" s="1076"/>
      <c r="AT63" s="1086"/>
      <c r="AU63" s="1088"/>
      <c r="AV63" s="1067"/>
    </row>
    <row r="64" spans="1:48" ht="49.5" customHeight="1">
      <c r="A64" s="1073"/>
      <c r="B64" s="1082" t="s">
        <v>12</v>
      </c>
      <c r="C64" s="1071" t="s">
        <v>123</v>
      </c>
      <c r="D64" s="1074"/>
      <c r="E64" s="1204"/>
      <c r="F64" s="1138"/>
      <c r="G64" s="1074"/>
      <c r="H64" s="1077"/>
      <c r="I64" s="1127"/>
      <c r="J64" s="1128"/>
      <c r="K64" s="1067"/>
      <c r="L64" s="1139"/>
      <c r="M64" s="1130"/>
      <c r="N64" s="1074" t="s">
        <v>431</v>
      </c>
      <c r="O64" s="1063" t="s">
        <v>17</v>
      </c>
      <c r="P64" s="1195">
        <v>2</v>
      </c>
      <c r="Q64" s="1196"/>
      <c r="R64" s="1038"/>
      <c r="S64" s="1074"/>
      <c r="T64" s="1075"/>
      <c r="U64" s="1184">
        <v>2</v>
      </c>
      <c r="V64" s="1185" t="s">
        <v>268</v>
      </c>
      <c r="W64" s="1140">
        <v>0</v>
      </c>
      <c r="X64" s="1141">
        <v>0</v>
      </c>
      <c r="Y64" s="1142">
        <v>5</v>
      </c>
      <c r="Z64" s="1143">
        <f t="shared" si="8"/>
        <v>5</v>
      </c>
      <c r="AA64" s="1074"/>
      <c r="AB64" s="1063"/>
      <c r="AC64" s="1075"/>
      <c r="AD64" s="1084"/>
      <c r="AE64" s="1062"/>
      <c r="AF64" s="1085"/>
      <c r="AG64" s="1086"/>
      <c r="AH64" s="1087">
        <v>0</v>
      </c>
      <c r="AI64" s="1087">
        <f>AH64*P64*0.5</f>
        <v>0</v>
      </c>
      <c r="AJ64" s="1088"/>
      <c r="AK64" s="1089">
        <v>66000</v>
      </c>
      <c r="AL64" s="1090">
        <f t="shared" ref="AL64:AL69" si="10">AK64*Y64</f>
        <v>330000</v>
      </c>
      <c r="AM64" s="1086"/>
      <c r="AN64" s="1086"/>
      <c r="AO64" s="1087"/>
      <c r="AP64" s="1076"/>
      <c r="AQ64" s="1087"/>
      <c r="AR64" s="1076"/>
      <c r="AS64" s="1076"/>
      <c r="AT64" s="1086"/>
      <c r="AU64" s="1088"/>
      <c r="AV64" s="1067"/>
    </row>
    <row r="65" spans="1:48" ht="16.5" customHeight="1">
      <c r="A65" s="1073"/>
      <c r="B65" s="1082" t="s">
        <v>8</v>
      </c>
      <c r="C65" s="1071" t="s">
        <v>469</v>
      </c>
      <c r="D65" s="1074"/>
      <c r="E65" s="1204"/>
      <c r="F65" s="1138"/>
      <c r="G65" s="1074"/>
      <c r="H65" s="1077"/>
      <c r="I65" s="1127"/>
      <c r="J65" s="1128"/>
      <c r="K65" s="1067"/>
      <c r="L65" s="1139"/>
      <c r="M65" s="1130"/>
      <c r="N65" s="1074" t="s">
        <v>429</v>
      </c>
      <c r="O65" s="1063" t="s">
        <v>11</v>
      </c>
      <c r="P65" s="1195">
        <v>2</v>
      </c>
      <c r="Q65" s="1196"/>
      <c r="R65" s="1122"/>
      <c r="S65" s="1063"/>
      <c r="T65" s="1075"/>
      <c r="U65" s="1184">
        <v>3</v>
      </c>
      <c r="V65" s="1185" t="s">
        <v>468</v>
      </c>
      <c r="W65" s="1140">
        <v>0</v>
      </c>
      <c r="X65" s="1141">
        <v>0</v>
      </c>
      <c r="Y65" s="1142">
        <v>4</v>
      </c>
      <c r="Z65" s="1143">
        <f t="shared" si="8"/>
        <v>4</v>
      </c>
      <c r="AA65" s="1074"/>
      <c r="AB65" s="1063"/>
      <c r="AC65" s="1075"/>
      <c r="AD65" s="1084"/>
      <c r="AE65" s="1062"/>
      <c r="AF65" s="1085"/>
      <c r="AG65" s="1086"/>
      <c r="AH65" s="1087">
        <v>0</v>
      </c>
      <c r="AI65" s="1087">
        <f>AH65*P65*0.75</f>
        <v>0</v>
      </c>
      <c r="AJ65" s="1088"/>
      <c r="AK65" s="1089">
        <v>5000</v>
      </c>
      <c r="AL65" s="1090">
        <f t="shared" si="10"/>
        <v>20000</v>
      </c>
      <c r="AM65" s="1086"/>
      <c r="AN65" s="1086"/>
      <c r="AO65" s="1087"/>
      <c r="AP65" s="1076"/>
      <c r="AQ65" s="1087"/>
      <c r="AR65" s="1076"/>
      <c r="AS65" s="1076"/>
      <c r="AT65" s="1086"/>
      <c r="AU65" s="1088"/>
      <c r="AV65" s="1067"/>
    </row>
    <row r="66" spans="1:48" ht="16.5" customHeight="1">
      <c r="A66" s="1073"/>
      <c r="B66" s="1082"/>
      <c r="C66" s="1071"/>
      <c r="D66" s="1074"/>
      <c r="E66" s="1204"/>
      <c r="F66" s="1138"/>
      <c r="G66" s="1074"/>
      <c r="H66" s="1077"/>
      <c r="I66" s="1127"/>
      <c r="J66" s="1128"/>
      <c r="K66" s="1067"/>
      <c r="L66" s="1139"/>
      <c r="M66" s="1130"/>
      <c r="N66" s="1074" t="s">
        <v>428</v>
      </c>
      <c r="O66" s="1063" t="s">
        <v>7</v>
      </c>
      <c r="P66" s="1195"/>
      <c r="Q66" s="1196">
        <v>112</v>
      </c>
      <c r="R66" s="1122"/>
      <c r="S66" s="1063"/>
      <c r="T66" s="1075"/>
      <c r="U66" s="1184">
        <v>4</v>
      </c>
      <c r="V66" s="1185" t="s">
        <v>6</v>
      </c>
      <c r="W66" s="1140">
        <v>0</v>
      </c>
      <c r="X66" s="1141">
        <v>0</v>
      </c>
      <c r="Y66" s="1194">
        <v>5</v>
      </c>
      <c r="Z66" s="1143">
        <f t="shared" si="8"/>
        <v>5</v>
      </c>
      <c r="AA66" s="1074"/>
      <c r="AB66" s="1063"/>
      <c r="AC66" s="1075"/>
      <c r="AD66" s="1084"/>
      <c r="AE66" s="1062"/>
      <c r="AF66" s="1085"/>
      <c r="AG66" s="1086"/>
      <c r="AH66" s="1087">
        <v>0</v>
      </c>
      <c r="AI66" s="1087">
        <f t="shared" si="7"/>
        <v>0</v>
      </c>
      <c r="AJ66" s="1088"/>
      <c r="AK66" s="1089">
        <v>2500</v>
      </c>
      <c r="AL66" s="1090">
        <f t="shared" si="10"/>
        <v>12500</v>
      </c>
      <c r="AM66" s="1086"/>
      <c r="AN66" s="1086"/>
      <c r="AO66" s="1087"/>
      <c r="AP66" s="1076"/>
      <c r="AQ66" s="1087"/>
      <c r="AR66" s="1076"/>
      <c r="AS66" s="1076"/>
      <c r="AT66" s="1086"/>
      <c r="AU66" s="1088"/>
      <c r="AV66" s="1067"/>
    </row>
    <row r="67" spans="1:48" ht="16.5" customHeight="1">
      <c r="A67" s="1073"/>
      <c r="B67" s="1082"/>
      <c r="C67" s="1071"/>
      <c r="D67" s="1074"/>
      <c r="E67" s="1204"/>
      <c r="F67" s="1138"/>
      <c r="G67" s="1074"/>
      <c r="H67" s="1077"/>
      <c r="I67" s="1127"/>
      <c r="J67" s="1128"/>
      <c r="K67" s="1067"/>
      <c r="L67" s="1139"/>
      <c r="M67" s="1130"/>
      <c r="N67" s="1074" t="s">
        <v>427</v>
      </c>
      <c r="O67" s="1063" t="s">
        <v>120</v>
      </c>
      <c r="P67" s="1195"/>
      <c r="Q67" s="1196">
        <v>1</v>
      </c>
      <c r="R67" s="1122"/>
      <c r="S67" s="1063"/>
      <c r="T67" s="1075"/>
      <c r="U67" s="1184">
        <v>5</v>
      </c>
      <c r="V67" s="1185" t="s">
        <v>265</v>
      </c>
      <c r="W67" s="1140">
        <v>0</v>
      </c>
      <c r="X67" s="1141">
        <v>0</v>
      </c>
      <c r="Y67" s="1142">
        <v>4</v>
      </c>
      <c r="Z67" s="1143">
        <f t="shared" si="8"/>
        <v>4</v>
      </c>
      <c r="AA67" s="1074"/>
      <c r="AB67" s="1063"/>
      <c r="AC67" s="1075"/>
      <c r="AD67" s="1084"/>
      <c r="AE67" s="1062"/>
      <c r="AF67" s="1085"/>
      <c r="AG67" s="1086"/>
      <c r="AH67" s="1087">
        <v>0</v>
      </c>
      <c r="AI67" s="1087">
        <f t="shared" si="7"/>
        <v>0</v>
      </c>
      <c r="AJ67" s="1088"/>
      <c r="AK67" s="1089">
        <v>33000</v>
      </c>
      <c r="AL67" s="1090">
        <f t="shared" si="10"/>
        <v>132000</v>
      </c>
      <c r="AM67" s="1086"/>
      <c r="AN67" s="1086"/>
      <c r="AO67" s="1087"/>
      <c r="AP67" s="1076"/>
      <c r="AQ67" s="1087"/>
      <c r="AR67" s="1076"/>
      <c r="AS67" s="1076"/>
      <c r="AT67" s="1086"/>
      <c r="AU67" s="1088"/>
      <c r="AV67" s="1067"/>
    </row>
    <row r="68" spans="1:48" ht="16.5" customHeight="1">
      <c r="A68" s="1073"/>
      <c r="B68" s="1082"/>
      <c r="C68" s="1071"/>
      <c r="D68" s="1074"/>
      <c r="E68" s="1204"/>
      <c r="F68" s="1138"/>
      <c r="G68" s="1074"/>
      <c r="H68" s="1077"/>
      <c r="I68" s="1127"/>
      <c r="J68" s="1128"/>
      <c r="K68" s="1067"/>
      <c r="L68" s="1139"/>
      <c r="M68" s="1130"/>
      <c r="N68" s="1074" t="s">
        <v>446</v>
      </c>
      <c r="O68" s="1063" t="s">
        <v>467</v>
      </c>
      <c r="P68" s="1195"/>
      <c r="Q68" s="1196">
        <v>5</v>
      </c>
      <c r="R68" s="1122"/>
      <c r="S68" s="1063"/>
      <c r="T68" s="1075"/>
      <c r="U68" s="1184">
        <v>6</v>
      </c>
      <c r="V68" s="1185" t="s">
        <v>82</v>
      </c>
      <c r="W68" s="1140">
        <v>0</v>
      </c>
      <c r="X68" s="1141">
        <v>0</v>
      </c>
      <c r="Y68" s="1142">
        <v>5</v>
      </c>
      <c r="Z68" s="1143">
        <f t="shared" si="8"/>
        <v>5</v>
      </c>
      <c r="AA68" s="1074"/>
      <c r="AB68" s="1063"/>
      <c r="AC68" s="1075"/>
      <c r="AD68" s="1084"/>
      <c r="AE68" s="1062"/>
      <c r="AF68" s="1085"/>
      <c r="AG68" s="1086"/>
      <c r="AH68" s="1087"/>
      <c r="AI68" s="1087">
        <f t="shared" si="7"/>
        <v>0</v>
      </c>
      <c r="AJ68" s="1088"/>
      <c r="AK68" s="1089">
        <v>41200</v>
      </c>
      <c r="AL68" s="1090">
        <f t="shared" si="10"/>
        <v>206000</v>
      </c>
      <c r="AM68" s="1086"/>
      <c r="AN68" s="1086"/>
      <c r="AO68" s="1087"/>
      <c r="AP68" s="1076"/>
      <c r="AQ68" s="1087"/>
      <c r="AR68" s="1076"/>
      <c r="AS68" s="1076"/>
      <c r="AT68" s="1086"/>
      <c r="AU68" s="1088"/>
      <c r="AV68" s="1067"/>
    </row>
    <row r="69" spans="1:48" ht="16.5" customHeight="1">
      <c r="A69" s="1073"/>
      <c r="B69" s="1082"/>
      <c r="C69" s="1071"/>
      <c r="D69" s="1074"/>
      <c r="E69" s="1204"/>
      <c r="F69" s="1138"/>
      <c r="G69" s="1074"/>
      <c r="H69" s="1077"/>
      <c r="I69" s="1127"/>
      <c r="J69" s="1128"/>
      <c r="K69" s="1067"/>
      <c r="L69" s="1139"/>
      <c r="M69" s="1130"/>
      <c r="N69" s="1074" t="s">
        <v>445</v>
      </c>
      <c r="O69" s="1063" t="s">
        <v>184</v>
      </c>
      <c r="P69" s="1195"/>
      <c r="Q69" s="1196">
        <v>30</v>
      </c>
      <c r="R69" s="1122"/>
      <c r="S69" s="1063"/>
      <c r="T69" s="1075"/>
      <c r="U69" s="1184">
        <v>7</v>
      </c>
      <c r="V69" s="1185" t="s">
        <v>36</v>
      </c>
      <c r="W69" s="1140">
        <v>0</v>
      </c>
      <c r="X69" s="1141">
        <v>0</v>
      </c>
      <c r="Y69" s="1142">
        <v>3</v>
      </c>
      <c r="Z69" s="1143">
        <f t="shared" si="8"/>
        <v>3</v>
      </c>
      <c r="AA69" s="1074"/>
      <c r="AB69" s="1063"/>
      <c r="AC69" s="1075"/>
      <c r="AD69" s="1084"/>
      <c r="AE69" s="1062"/>
      <c r="AF69" s="1085"/>
      <c r="AG69" s="1086"/>
      <c r="AH69" s="1087"/>
      <c r="AI69" s="1087">
        <f t="shared" si="7"/>
        <v>0</v>
      </c>
      <c r="AJ69" s="1088"/>
      <c r="AK69" s="1089">
        <v>49500</v>
      </c>
      <c r="AL69" s="1090">
        <f t="shared" si="10"/>
        <v>148500</v>
      </c>
      <c r="AM69" s="1086"/>
      <c r="AN69" s="1086"/>
      <c r="AO69" s="1087"/>
      <c r="AP69" s="1076"/>
      <c r="AQ69" s="1087"/>
      <c r="AR69" s="1076"/>
      <c r="AS69" s="1076"/>
      <c r="AT69" s="1086"/>
      <c r="AU69" s="1088"/>
      <c r="AV69" s="1067"/>
    </row>
    <row r="70" spans="1:48" ht="16.5" customHeight="1">
      <c r="A70" s="1073"/>
      <c r="B70" s="1082"/>
      <c r="C70" s="1071"/>
      <c r="D70" s="1074"/>
      <c r="E70" s="1204"/>
      <c r="F70" s="1138"/>
      <c r="G70" s="1074"/>
      <c r="H70" s="1077"/>
      <c r="I70" s="1127"/>
      <c r="J70" s="1128"/>
      <c r="K70" s="1067"/>
      <c r="L70" s="1139"/>
      <c r="M70" s="1130"/>
      <c r="N70" s="1074"/>
      <c r="O70" s="1063"/>
      <c r="P70" s="1195"/>
      <c r="Q70" s="1196"/>
      <c r="R70" s="1122"/>
      <c r="S70" s="1063"/>
      <c r="T70" s="1075"/>
      <c r="U70" s="1184">
        <v>8</v>
      </c>
      <c r="V70" s="1185" t="s">
        <v>136</v>
      </c>
      <c r="W70" s="1140">
        <v>2</v>
      </c>
      <c r="X70" s="1141">
        <v>0</v>
      </c>
      <c r="Y70" s="1142">
        <v>0</v>
      </c>
      <c r="Z70" s="1143">
        <f t="shared" si="8"/>
        <v>2</v>
      </c>
      <c r="AA70" s="1074"/>
      <c r="AB70" s="1063"/>
      <c r="AC70" s="1075"/>
      <c r="AD70" s="1084"/>
      <c r="AE70" s="1062"/>
      <c r="AF70" s="1085"/>
      <c r="AG70" s="1086"/>
      <c r="AH70" s="1087"/>
      <c r="AI70" s="1087"/>
      <c r="AJ70" s="1088"/>
      <c r="AK70" s="1089">
        <v>46200</v>
      </c>
      <c r="AL70" s="1090">
        <f>AK70*W70</f>
        <v>92400</v>
      </c>
      <c r="AM70" s="1086"/>
      <c r="AN70" s="1086"/>
      <c r="AO70" s="1087"/>
      <c r="AP70" s="1076"/>
      <c r="AQ70" s="1087"/>
      <c r="AR70" s="1076"/>
      <c r="AS70" s="1076"/>
      <c r="AT70" s="1086"/>
      <c r="AU70" s="1088"/>
      <c r="AV70" s="1067"/>
    </row>
    <row r="71" spans="1:48" ht="16.5" customHeight="1">
      <c r="A71" s="1073"/>
      <c r="B71" s="1082"/>
      <c r="C71" s="1071"/>
      <c r="D71" s="1074"/>
      <c r="E71" s="1204"/>
      <c r="F71" s="1138"/>
      <c r="G71" s="1074"/>
      <c r="H71" s="1077"/>
      <c r="I71" s="1127"/>
      <c r="J71" s="1128"/>
      <c r="K71" s="1067"/>
      <c r="L71" s="1139"/>
      <c r="M71" s="1130"/>
      <c r="N71" s="1074"/>
      <c r="O71" s="1063"/>
      <c r="P71" s="1195"/>
      <c r="Q71" s="1196"/>
      <c r="R71" s="1122"/>
      <c r="S71" s="1063"/>
      <c r="T71" s="1075"/>
      <c r="U71" s="1184">
        <v>9</v>
      </c>
      <c r="V71" s="1185" t="s">
        <v>466</v>
      </c>
      <c r="W71" s="1140">
        <v>2</v>
      </c>
      <c r="X71" s="1141">
        <v>0</v>
      </c>
      <c r="Y71" s="1142">
        <v>0</v>
      </c>
      <c r="Z71" s="1143"/>
      <c r="AA71" s="1074"/>
      <c r="AB71" s="1063"/>
      <c r="AC71" s="1075"/>
      <c r="AD71" s="1084"/>
      <c r="AE71" s="1062"/>
      <c r="AF71" s="1085"/>
      <c r="AG71" s="1086"/>
      <c r="AH71" s="1087"/>
      <c r="AI71" s="1087"/>
      <c r="AJ71" s="1088"/>
      <c r="AK71" s="1089">
        <v>150000</v>
      </c>
      <c r="AL71" s="1090">
        <f>AK71*W71</f>
        <v>300000</v>
      </c>
      <c r="AM71" s="1086"/>
      <c r="AN71" s="1086"/>
      <c r="AO71" s="1087"/>
      <c r="AP71" s="1076"/>
      <c r="AQ71" s="1087"/>
      <c r="AR71" s="1076"/>
      <c r="AS71" s="1076"/>
      <c r="AT71" s="1086"/>
      <c r="AU71" s="1088"/>
      <c r="AV71" s="1067"/>
    </row>
    <row r="72" spans="1:48" ht="16.5" customHeight="1">
      <c r="A72" s="1073"/>
      <c r="B72" s="1082"/>
      <c r="C72" s="1071"/>
      <c r="D72" s="1074"/>
      <c r="E72" s="1204"/>
      <c r="F72" s="1138"/>
      <c r="G72" s="1074"/>
      <c r="H72" s="1077"/>
      <c r="I72" s="1127"/>
      <c r="J72" s="1128"/>
      <c r="K72" s="1067"/>
      <c r="L72" s="1139"/>
      <c r="M72" s="1130"/>
      <c r="N72" s="1095"/>
      <c r="O72" s="1167"/>
      <c r="P72" s="1197"/>
      <c r="Q72" s="1205"/>
      <c r="R72" s="1122"/>
      <c r="S72" s="1063"/>
      <c r="T72" s="1075"/>
      <c r="U72" s="1107"/>
      <c r="V72" s="1107"/>
      <c r="W72" s="1206"/>
      <c r="X72" s="1206"/>
      <c r="Y72" s="1207"/>
      <c r="Z72" s="1208">
        <f>SUM(W71:Y71)</f>
        <v>2</v>
      </c>
      <c r="AA72" s="1074"/>
      <c r="AB72" s="1063"/>
      <c r="AC72" s="1075"/>
      <c r="AD72" s="1084"/>
      <c r="AE72" s="1062"/>
      <c r="AF72" s="1085"/>
      <c r="AG72" s="1116"/>
      <c r="AH72" s="1087"/>
      <c r="AI72" s="1117"/>
      <c r="AJ72" s="1088"/>
      <c r="AK72" s="1209"/>
      <c r="AL72" s="1210"/>
      <c r="AM72" s="1086"/>
      <c r="AN72" s="1116"/>
      <c r="AO72" s="1087"/>
      <c r="AP72" s="1108"/>
      <c r="AQ72" s="1117"/>
      <c r="AR72" s="1108"/>
      <c r="AS72" s="1108"/>
      <c r="AT72" s="1116"/>
      <c r="AU72" s="1118"/>
      <c r="AV72" s="1101"/>
    </row>
    <row r="73" spans="1:48" ht="33" customHeight="1">
      <c r="A73" s="1169">
        <v>6</v>
      </c>
      <c r="B73" s="1033" t="s">
        <v>25</v>
      </c>
      <c r="C73" s="1036" t="s">
        <v>103</v>
      </c>
      <c r="D73" s="1034"/>
      <c r="E73" s="1199"/>
      <c r="F73" s="1171" t="s">
        <v>102</v>
      </c>
      <c r="G73" s="1172" t="s">
        <v>25</v>
      </c>
      <c r="H73" s="1173" t="s">
        <v>42</v>
      </c>
      <c r="I73" s="1174">
        <v>280</v>
      </c>
      <c r="J73" s="1175" t="s">
        <v>41</v>
      </c>
      <c r="K73" s="1041" t="s">
        <v>465</v>
      </c>
      <c r="L73" s="1129" t="s">
        <v>46</v>
      </c>
      <c r="M73" s="1176"/>
      <c r="N73" s="1123" t="s">
        <v>69</v>
      </c>
      <c r="O73" s="1131" t="s">
        <v>26</v>
      </c>
      <c r="P73" s="1132">
        <v>1</v>
      </c>
      <c r="Q73" s="1133">
        <v>69.540000000000006</v>
      </c>
      <c r="R73" s="1033"/>
      <c r="S73" s="1034"/>
      <c r="T73" s="1048"/>
      <c r="U73" s="1180"/>
      <c r="V73" s="1047"/>
      <c r="W73" s="1052"/>
      <c r="X73" s="1051"/>
      <c r="Y73" s="1036"/>
      <c r="Z73" s="1134"/>
      <c r="AA73" s="1170"/>
      <c r="AB73" s="1181"/>
      <c r="AC73" s="1047"/>
      <c r="AD73" s="1055"/>
      <c r="AE73" s="1032"/>
      <c r="AF73" s="1056">
        <f>Resum!F1</f>
        <v>356000</v>
      </c>
      <c r="AG73" s="1086">
        <f>AF73*I73</f>
        <v>99680000</v>
      </c>
      <c r="AH73" s="1058">
        <v>1800000</v>
      </c>
      <c r="AI73" s="1087">
        <f t="shared" ref="AI73:AI74" si="11">AH73*Q73*0.5</f>
        <v>62586000.000000007</v>
      </c>
      <c r="AJ73" s="1182">
        <f>SUM(AI73:AI80)</f>
        <v>68742000</v>
      </c>
      <c r="AK73" s="1060"/>
      <c r="AL73" s="1090"/>
      <c r="AM73" s="1057"/>
      <c r="AN73" s="1086">
        <f>AM73+AJ73+AG73</f>
        <v>168422000</v>
      </c>
      <c r="AO73" s="1058"/>
      <c r="AP73" s="1136">
        <f>(AI73+AG73)*10%</f>
        <v>16226600</v>
      </c>
      <c r="AQ73" s="1087">
        <f>(AG73+AI73)*1%</f>
        <v>1622660</v>
      </c>
      <c r="AR73" s="1136">
        <f>(AG73+AI73)*5%</f>
        <v>8113300</v>
      </c>
      <c r="AS73" s="1087">
        <f>0.5%*(AG73+AI73)*(3)</f>
        <v>2433990</v>
      </c>
      <c r="AT73" s="1086">
        <f>+AS73+AR73+AQ73+AP73+AO73</f>
        <v>28396550</v>
      </c>
      <c r="AU73" s="1137">
        <f>ROUND(AT73+AN73,-3)</f>
        <v>196819000</v>
      </c>
      <c r="AV73" s="1041"/>
    </row>
    <row r="74" spans="1:48" ht="16.5" customHeight="1">
      <c r="A74" s="1073"/>
      <c r="B74" s="1038" t="s">
        <v>16</v>
      </c>
      <c r="C74" s="1071" t="s">
        <v>99</v>
      </c>
      <c r="D74" s="1074"/>
      <c r="E74" s="1204"/>
      <c r="F74" s="1138"/>
      <c r="G74" s="1074" t="s">
        <v>16</v>
      </c>
      <c r="H74" s="1074" t="s">
        <v>22</v>
      </c>
      <c r="I74" s="1127"/>
      <c r="J74" s="1128"/>
      <c r="K74" s="1067"/>
      <c r="L74" s="1139"/>
      <c r="M74" s="1130"/>
      <c r="N74" s="1074" t="s">
        <v>435</v>
      </c>
      <c r="O74" s="1131" t="s">
        <v>21</v>
      </c>
      <c r="P74" s="1132">
        <v>1</v>
      </c>
      <c r="Q74" s="1133">
        <v>17.32</v>
      </c>
      <c r="R74" s="1038"/>
      <c r="S74" s="1074"/>
      <c r="T74" s="1075"/>
      <c r="U74" s="1091"/>
      <c r="V74" s="1073"/>
      <c r="W74" s="1079"/>
      <c r="X74" s="1078"/>
      <c r="Y74" s="1039"/>
      <c r="Z74" s="1183"/>
      <c r="AA74" s="1074"/>
      <c r="AB74" s="1126"/>
      <c r="AC74" s="1073"/>
      <c r="AD74" s="1084"/>
      <c r="AE74" s="1062"/>
      <c r="AF74" s="1085"/>
      <c r="AG74" s="1086"/>
      <c r="AH74" s="1087">
        <v>350000</v>
      </c>
      <c r="AI74" s="1087">
        <f t="shared" si="11"/>
        <v>3031000</v>
      </c>
      <c r="AJ74" s="1088"/>
      <c r="AK74" s="1089"/>
      <c r="AL74" s="1090"/>
      <c r="AM74" s="1086"/>
      <c r="AN74" s="1086"/>
      <c r="AO74" s="1087"/>
      <c r="AP74" s="1076"/>
      <c r="AQ74" s="1087"/>
      <c r="AR74" s="1076"/>
      <c r="AS74" s="1076"/>
      <c r="AT74" s="1086"/>
      <c r="AU74" s="1088"/>
      <c r="AV74" s="1067"/>
    </row>
    <row r="75" spans="1:48" ht="33" customHeight="1">
      <c r="A75" s="1073"/>
      <c r="B75" s="1038" t="s">
        <v>18</v>
      </c>
      <c r="C75" s="1039" t="s">
        <v>60</v>
      </c>
      <c r="D75" s="1074"/>
      <c r="E75" s="1204"/>
      <c r="F75" s="1138"/>
      <c r="G75" s="1074" t="s">
        <v>18</v>
      </c>
      <c r="H75" s="1074" t="s">
        <v>19</v>
      </c>
      <c r="I75" s="1127"/>
      <c r="J75" s="1128"/>
      <c r="K75" s="1067"/>
      <c r="L75" s="1139"/>
      <c r="M75" s="1130"/>
      <c r="N75" s="1074" t="s">
        <v>433</v>
      </c>
      <c r="O75" s="1131" t="s">
        <v>17</v>
      </c>
      <c r="P75" s="1132">
        <v>1</v>
      </c>
      <c r="Q75" s="1133"/>
      <c r="R75" s="1038"/>
      <c r="S75" s="1074"/>
      <c r="T75" s="1075"/>
      <c r="U75" s="1091"/>
      <c r="V75" s="1211"/>
      <c r="W75" s="1079"/>
      <c r="X75" s="1078"/>
      <c r="Y75" s="1039"/>
      <c r="Z75" s="1183"/>
      <c r="AA75" s="1074"/>
      <c r="AB75" s="1126"/>
      <c r="AC75" s="1073"/>
      <c r="AD75" s="1084"/>
      <c r="AE75" s="1062"/>
      <c r="AF75" s="1085"/>
      <c r="AG75" s="1086"/>
      <c r="AH75" s="1087">
        <v>2500000</v>
      </c>
      <c r="AI75" s="1087">
        <f>AH75*P75*0.5</f>
        <v>1250000</v>
      </c>
      <c r="AJ75" s="1088"/>
      <c r="AK75" s="1089"/>
      <c r="AL75" s="1090"/>
      <c r="AM75" s="1086"/>
      <c r="AN75" s="1086"/>
      <c r="AO75" s="1087"/>
      <c r="AP75" s="1076"/>
      <c r="AQ75" s="1087"/>
      <c r="AR75" s="1076"/>
      <c r="AS75" s="1076"/>
      <c r="AT75" s="1086"/>
      <c r="AU75" s="1088"/>
      <c r="AV75" s="1067"/>
    </row>
    <row r="76" spans="1:48" ht="49.5" customHeight="1">
      <c r="A76" s="1073"/>
      <c r="B76" s="1082" t="s">
        <v>12</v>
      </c>
      <c r="C76" s="1083" t="s">
        <v>98</v>
      </c>
      <c r="D76" s="1074"/>
      <c r="E76" s="1204"/>
      <c r="F76" s="1138"/>
      <c r="G76" s="1074"/>
      <c r="H76" s="1077"/>
      <c r="I76" s="1127"/>
      <c r="J76" s="1128"/>
      <c r="K76" s="1067"/>
      <c r="L76" s="1139"/>
      <c r="M76" s="1130"/>
      <c r="N76" s="1074" t="s">
        <v>431</v>
      </c>
      <c r="O76" s="1131" t="s">
        <v>11</v>
      </c>
      <c r="P76" s="1132">
        <v>1</v>
      </c>
      <c r="Q76" s="1133"/>
      <c r="R76" s="1122"/>
      <c r="S76" s="1063"/>
      <c r="T76" s="1075"/>
      <c r="U76" s="1184"/>
      <c r="V76" s="1185"/>
      <c r="W76" s="1079"/>
      <c r="X76" s="1078"/>
      <c r="Y76" s="1039"/>
      <c r="Z76" s="1183"/>
      <c r="AA76" s="1074"/>
      <c r="AB76" s="1063"/>
      <c r="AC76" s="1075"/>
      <c r="AD76" s="1084"/>
      <c r="AE76" s="1062"/>
      <c r="AF76" s="1085"/>
      <c r="AG76" s="1086"/>
      <c r="AH76" s="1087">
        <v>2500000</v>
      </c>
      <c r="AI76" s="1087">
        <f>AH76*P76*0.75</f>
        <v>1875000</v>
      </c>
      <c r="AJ76" s="1088"/>
      <c r="AK76" s="1089"/>
      <c r="AL76" s="1090"/>
      <c r="AM76" s="1086"/>
      <c r="AN76" s="1086"/>
      <c r="AO76" s="1087"/>
      <c r="AP76" s="1076"/>
      <c r="AQ76" s="1087"/>
      <c r="AR76" s="1076"/>
      <c r="AS76" s="1076"/>
      <c r="AT76" s="1086"/>
      <c r="AU76" s="1088"/>
      <c r="AV76" s="1067"/>
    </row>
    <row r="77" spans="1:48" ht="16.5" customHeight="1">
      <c r="A77" s="1073"/>
      <c r="B77" s="1082" t="s">
        <v>25</v>
      </c>
      <c r="C77" s="1147" t="s">
        <v>97</v>
      </c>
      <c r="D77" s="1074"/>
      <c r="E77" s="1204"/>
      <c r="F77" s="1138"/>
      <c r="G77" s="1074"/>
      <c r="H77" s="1077"/>
      <c r="I77" s="1127"/>
      <c r="J77" s="1128"/>
      <c r="K77" s="1067"/>
      <c r="L77" s="1139"/>
      <c r="M77" s="1130"/>
      <c r="N77" s="1074"/>
      <c r="O77" s="1063"/>
      <c r="P77" s="1195"/>
      <c r="Q77" s="1196"/>
      <c r="R77" s="1122"/>
      <c r="S77" s="1063"/>
      <c r="T77" s="1075"/>
      <c r="U77" s="1184"/>
      <c r="V77" s="1185"/>
      <c r="W77" s="1079"/>
      <c r="X77" s="1078"/>
      <c r="Y77" s="1039"/>
      <c r="Z77" s="1183"/>
      <c r="AA77" s="1074"/>
      <c r="AB77" s="1063"/>
      <c r="AC77" s="1075"/>
      <c r="AD77" s="1084"/>
      <c r="AE77" s="1062"/>
      <c r="AF77" s="1085"/>
      <c r="AG77" s="1086"/>
      <c r="AH77" s="1087"/>
      <c r="AI77" s="1087"/>
      <c r="AJ77" s="1088"/>
      <c r="AK77" s="1089"/>
      <c r="AL77" s="1090"/>
      <c r="AM77" s="1086"/>
      <c r="AN77" s="1086"/>
      <c r="AO77" s="1087"/>
      <c r="AP77" s="1076"/>
      <c r="AQ77" s="1087"/>
      <c r="AR77" s="1076"/>
      <c r="AS77" s="1076"/>
      <c r="AT77" s="1086"/>
      <c r="AU77" s="1088"/>
      <c r="AV77" s="1067"/>
    </row>
    <row r="78" spans="1:48" ht="16.5" customHeight="1">
      <c r="A78" s="1073"/>
      <c r="B78" s="1082"/>
      <c r="C78" s="1083"/>
      <c r="D78" s="1074"/>
      <c r="E78" s="1204"/>
      <c r="F78" s="1138"/>
      <c r="G78" s="1074"/>
      <c r="H78" s="1077"/>
      <c r="I78" s="1127"/>
      <c r="J78" s="1128"/>
      <c r="K78" s="1067"/>
      <c r="L78" s="1139"/>
      <c r="M78" s="1130"/>
      <c r="N78" s="1074"/>
      <c r="O78" s="1063"/>
      <c r="P78" s="1195"/>
      <c r="Q78" s="1196"/>
      <c r="R78" s="1122"/>
      <c r="S78" s="1063"/>
      <c r="T78" s="1075"/>
      <c r="U78" s="1184"/>
      <c r="V78" s="1185"/>
      <c r="W78" s="1079"/>
      <c r="X78" s="1078"/>
      <c r="Y78" s="1039"/>
      <c r="Z78" s="1183"/>
      <c r="AA78" s="1074"/>
      <c r="AB78" s="1063"/>
      <c r="AC78" s="1075"/>
      <c r="AD78" s="1084"/>
      <c r="AE78" s="1062"/>
      <c r="AF78" s="1085"/>
      <c r="AG78" s="1086"/>
      <c r="AH78" s="1087"/>
      <c r="AI78" s="1087"/>
      <c r="AJ78" s="1088"/>
      <c r="AK78" s="1089"/>
      <c r="AL78" s="1090"/>
      <c r="AM78" s="1086"/>
      <c r="AN78" s="1086"/>
      <c r="AO78" s="1087"/>
      <c r="AP78" s="1076"/>
      <c r="AQ78" s="1087"/>
      <c r="AR78" s="1076"/>
      <c r="AS78" s="1076"/>
      <c r="AT78" s="1086"/>
      <c r="AU78" s="1088"/>
      <c r="AV78" s="1067"/>
    </row>
    <row r="79" spans="1:48" ht="16.5" customHeight="1">
      <c r="A79" s="1073"/>
      <c r="B79" s="1082"/>
      <c r="C79" s="1083"/>
      <c r="D79" s="1074"/>
      <c r="E79" s="1204"/>
      <c r="F79" s="1138"/>
      <c r="G79" s="1074"/>
      <c r="H79" s="1077"/>
      <c r="I79" s="1127"/>
      <c r="J79" s="1128"/>
      <c r="K79" s="1067"/>
      <c r="L79" s="1139"/>
      <c r="M79" s="1130"/>
      <c r="N79" s="1074"/>
      <c r="O79" s="1063"/>
      <c r="P79" s="1195"/>
      <c r="Q79" s="1196"/>
      <c r="R79" s="1122"/>
      <c r="S79" s="1063"/>
      <c r="T79" s="1075"/>
      <c r="U79" s="1184"/>
      <c r="V79" s="1185"/>
      <c r="W79" s="1079"/>
      <c r="X79" s="1078"/>
      <c r="Y79" s="1039"/>
      <c r="Z79" s="1183"/>
      <c r="AA79" s="1074"/>
      <c r="AB79" s="1063"/>
      <c r="AC79" s="1075"/>
      <c r="AD79" s="1084"/>
      <c r="AE79" s="1062"/>
      <c r="AF79" s="1085"/>
      <c r="AG79" s="1086"/>
      <c r="AH79" s="1087"/>
      <c r="AI79" s="1087"/>
      <c r="AJ79" s="1088"/>
      <c r="AK79" s="1089"/>
      <c r="AL79" s="1090"/>
      <c r="AM79" s="1086"/>
      <c r="AN79" s="1086"/>
      <c r="AO79" s="1087"/>
      <c r="AP79" s="1076"/>
      <c r="AQ79" s="1087"/>
      <c r="AR79" s="1076"/>
      <c r="AS79" s="1076"/>
      <c r="AT79" s="1086"/>
      <c r="AU79" s="1088"/>
      <c r="AV79" s="1067"/>
    </row>
    <row r="80" spans="1:48" ht="16.5" customHeight="1">
      <c r="A80" s="1107"/>
      <c r="B80" s="1095"/>
      <c r="C80" s="1186"/>
      <c r="D80" s="1094"/>
      <c r="E80" s="1149"/>
      <c r="F80" s="1150"/>
      <c r="G80" s="1094"/>
      <c r="H80" s="1151"/>
      <c r="I80" s="1152"/>
      <c r="J80" s="1153"/>
      <c r="K80" s="1101"/>
      <c r="L80" s="1154"/>
      <c r="M80" s="1155"/>
      <c r="N80" s="1094"/>
      <c r="O80" s="1167"/>
      <c r="P80" s="1197"/>
      <c r="Q80" s="1198"/>
      <c r="R80" s="1095"/>
      <c r="S80" s="1094"/>
      <c r="T80" s="1168"/>
      <c r="U80" s="1188"/>
      <c r="V80" s="1189"/>
      <c r="W80" s="1111"/>
      <c r="X80" s="1110"/>
      <c r="Y80" s="1096"/>
      <c r="Z80" s="1166"/>
      <c r="AA80" s="1094"/>
      <c r="AB80" s="1167"/>
      <c r="AC80" s="1168"/>
      <c r="AD80" s="1114"/>
      <c r="AE80" s="1093"/>
      <c r="AF80" s="1115"/>
      <c r="AG80" s="1116"/>
      <c r="AH80" s="1117"/>
      <c r="AI80" s="1117"/>
      <c r="AJ80" s="1118"/>
      <c r="AK80" s="1119"/>
      <c r="AL80" s="1120"/>
      <c r="AM80" s="1116"/>
      <c r="AN80" s="1116"/>
      <c r="AO80" s="1117"/>
      <c r="AP80" s="1108"/>
      <c r="AQ80" s="1117"/>
      <c r="AR80" s="1108"/>
      <c r="AS80" s="1108"/>
      <c r="AT80" s="1116"/>
      <c r="AU80" s="1118"/>
      <c r="AV80" s="1101"/>
    </row>
    <row r="81" spans="1:48" ht="16.5" customHeight="1">
      <c r="A81" s="1169">
        <v>7</v>
      </c>
      <c r="B81" s="1033" t="s">
        <v>25</v>
      </c>
      <c r="C81" s="1036" t="s">
        <v>464</v>
      </c>
      <c r="D81" s="1034"/>
      <c r="E81" s="1199"/>
      <c r="F81" s="1171" t="s">
        <v>463</v>
      </c>
      <c r="G81" s="1172" t="s">
        <v>25</v>
      </c>
      <c r="H81" s="1173" t="s">
        <v>42</v>
      </c>
      <c r="I81" s="1174">
        <v>280</v>
      </c>
      <c r="J81" s="1175" t="s">
        <v>41</v>
      </c>
      <c r="K81" s="1041" t="s">
        <v>462</v>
      </c>
      <c r="L81" s="1129" t="s">
        <v>46</v>
      </c>
      <c r="M81" s="1176"/>
      <c r="N81" s="1170" t="s">
        <v>69</v>
      </c>
      <c r="O81" s="1170" t="s">
        <v>461</v>
      </c>
      <c r="P81" s="1178">
        <v>1</v>
      </c>
      <c r="Q81" s="1212">
        <v>144.1</v>
      </c>
      <c r="R81" s="1033" t="s">
        <v>25</v>
      </c>
      <c r="S81" s="1034" t="s">
        <v>24</v>
      </c>
      <c r="T81" s="1048"/>
      <c r="U81" s="1180"/>
      <c r="V81" s="1047"/>
      <c r="W81" s="1052"/>
      <c r="X81" s="1051"/>
      <c r="Y81" s="1036"/>
      <c r="Z81" s="1134"/>
      <c r="AA81" s="1170"/>
      <c r="AB81" s="1173"/>
      <c r="AC81" s="1047"/>
      <c r="AD81" s="1055"/>
      <c r="AE81" s="1032"/>
      <c r="AF81" s="1056">
        <f>Resum!F1</f>
        <v>356000</v>
      </c>
      <c r="AG81" s="1086">
        <f>AF81*I81</f>
        <v>99680000</v>
      </c>
      <c r="AH81" s="1058">
        <v>2750000</v>
      </c>
      <c r="AI81" s="1087">
        <f>AH81*Q81*0.9</f>
        <v>356647500</v>
      </c>
      <c r="AJ81" s="1182">
        <f>SUM(AI81:AI94)</f>
        <v>385090000</v>
      </c>
      <c r="AK81" s="1060"/>
      <c r="AL81" s="1090"/>
      <c r="AM81" s="1057">
        <f>SUM(AL81:AL94)</f>
        <v>1783500</v>
      </c>
      <c r="AN81" s="1086">
        <f>AM81+AJ81+AG81</f>
        <v>486553500</v>
      </c>
      <c r="AO81" s="1087">
        <f>100000*30*3</f>
        <v>9000000</v>
      </c>
      <c r="AP81" s="1136">
        <f>(AG81+AI81)*(15%)</f>
        <v>68449125</v>
      </c>
      <c r="AQ81" s="1087">
        <f>(AG81+AI81)*1%</f>
        <v>4563275</v>
      </c>
      <c r="AR81" s="1136">
        <f>(AG81+AI81)*5%</f>
        <v>22816375</v>
      </c>
      <c r="AS81" s="1087">
        <f>0.5%*(AG81+AI81)*(3)</f>
        <v>6844912.5</v>
      </c>
      <c r="AT81" s="1086">
        <f>+AS81+AR81+AQ81+AP81+AO81</f>
        <v>111673687.5</v>
      </c>
      <c r="AU81" s="1137">
        <f>ROUND(AT81+AN81,-3)</f>
        <v>598227000</v>
      </c>
      <c r="AV81" s="1041"/>
    </row>
    <row r="82" spans="1:48" ht="33" customHeight="1">
      <c r="A82" s="1073"/>
      <c r="B82" s="1038" t="s">
        <v>16</v>
      </c>
      <c r="C82" s="1071" t="s">
        <v>460</v>
      </c>
      <c r="D82" s="1074"/>
      <c r="E82" s="1204"/>
      <c r="F82" s="1138"/>
      <c r="G82" s="1074" t="s">
        <v>16</v>
      </c>
      <c r="H82" s="1074" t="s">
        <v>22</v>
      </c>
      <c r="I82" s="1127"/>
      <c r="J82" s="1128"/>
      <c r="K82" s="1067"/>
      <c r="L82" s="1139"/>
      <c r="M82" s="1130"/>
      <c r="N82" s="1074" t="s">
        <v>435</v>
      </c>
      <c r="O82" s="1131" t="s">
        <v>62</v>
      </c>
      <c r="P82" s="1132">
        <v>1</v>
      </c>
      <c r="Q82" s="1213">
        <v>28</v>
      </c>
      <c r="R82" s="1038"/>
      <c r="S82" s="1074"/>
      <c r="T82" s="1075"/>
      <c r="U82" s="1091"/>
      <c r="V82" s="1073"/>
      <c r="W82" s="1079"/>
      <c r="X82" s="1078"/>
      <c r="Y82" s="1039"/>
      <c r="Z82" s="1183"/>
      <c r="AA82" s="1074"/>
      <c r="AB82" s="1126"/>
      <c r="AC82" s="1073"/>
      <c r="AD82" s="1084"/>
      <c r="AE82" s="1062"/>
      <c r="AF82" s="1085"/>
      <c r="AG82" s="1086"/>
      <c r="AH82" s="1087">
        <v>430000</v>
      </c>
      <c r="AI82" s="1087">
        <f>AH82*Q82*0.5</f>
        <v>6020000</v>
      </c>
      <c r="AJ82" s="1088"/>
      <c r="AK82" s="1089"/>
      <c r="AL82" s="1090"/>
      <c r="AM82" s="1086"/>
      <c r="AN82" s="1086"/>
      <c r="AO82" s="1087"/>
      <c r="AP82" s="1076"/>
      <c r="AQ82" s="1087"/>
      <c r="AR82" s="1076"/>
      <c r="AS82" s="1076"/>
      <c r="AT82" s="1086"/>
      <c r="AU82" s="1088"/>
      <c r="AV82" s="1067"/>
    </row>
    <row r="83" spans="1:48" ht="16.5" customHeight="1">
      <c r="A83" s="1073"/>
      <c r="B83" s="1038" t="s">
        <v>18</v>
      </c>
      <c r="C83" s="1039" t="s">
        <v>72</v>
      </c>
      <c r="D83" s="1074"/>
      <c r="E83" s="1204"/>
      <c r="F83" s="1138"/>
      <c r="G83" s="1074" t="s">
        <v>18</v>
      </c>
      <c r="H83" s="1074" t="s">
        <v>19</v>
      </c>
      <c r="I83" s="1127"/>
      <c r="J83" s="1128"/>
      <c r="K83" s="1067"/>
      <c r="L83" s="1139"/>
      <c r="M83" s="1130"/>
      <c r="N83" s="1074" t="s">
        <v>433</v>
      </c>
      <c r="O83" s="1131" t="s">
        <v>52</v>
      </c>
      <c r="P83" s="1132">
        <v>1</v>
      </c>
      <c r="Q83" s="1213">
        <v>6.8</v>
      </c>
      <c r="R83" s="1038"/>
      <c r="S83" s="1074"/>
      <c r="T83" s="1075"/>
      <c r="U83" s="1184"/>
      <c r="V83" s="1185"/>
      <c r="W83" s="1079"/>
      <c r="X83" s="1078"/>
      <c r="Y83" s="1039"/>
      <c r="Z83" s="1183"/>
      <c r="AA83" s="1074"/>
      <c r="AB83" s="1126"/>
      <c r="AC83" s="1073"/>
      <c r="AD83" s="1084"/>
      <c r="AE83" s="1062"/>
      <c r="AF83" s="1085"/>
      <c r="AG83" s="1086"/>
      <c r="AH83" s="1087">
        <v>210000</v>
      </c>
      <c r="AI83" s="1087">
        <f t="shared" ref="AI83:AI93" si="12">AH83*Q83*0.5</f>
        <v>714000</v>
      </c>
      <c r="AJ83" s="1088"/>
      <c r="AK83" s="1089"/>
      <c r="AL83" s="1090"/>
      <c r="AM83" s="1086"/>
      <c r="AN83" s="1086"/>
      <c r="AO83" s="1087"/>
      <c r="AP83" s="1076"/>
      <c r="AQ83" s="1087"/>
      <c r="AR83" s="1076"/>
      <c r="AS83" s="1076"/>
      <c r="AT83" s="1086"/>
      <c r="AU83" s="1088"/>
      <c r="AV83" s="1067"/>
    </row>
    <row r="84" spans="1:48" ht="49.5" customHeight="1">
      <c r="A84" s="1073"/>
      <c r="B84" s="1082" t="s">
        <v>12</v>
      </c>
      <c r="C84" s="1083" t="s">
        <v>98</v>
      </c>
      <c r="D84" s="1074"/>
      <c r="E84" s="1204"/>
      <c r="F84" s="1138"/>
      <c r="G84" s="1074"/>
      <c r="H84" s="1077"/>
      <c r="I84" s="1127"/>
      <c r="J84" s="1128"/>
      <c r="K84" s="1067"/>
      <c r="L84" s="1139"/>
      <c r="M84" s="1130"/>
      <c r="N84" s="1074" t="s">
        <v>431</v>
      </c>
      <c r="O84" s="1131" t="s">
        <v>395</v>
      </c>
      <c r="P84" s="1132">
        <v>1</v>
      </c>
      <c r="Q84" s="1213">
        <v>9.75</v>
      </c>
      <c r="R84" s="1038" t="s">
        <v>16</v>
      </c>
      <c r="S84" s="1074" t="s">
        <v>15</v>
      </c>
      <c r="T84" s="1075">
        <v>3</v>
      </c>
      <c r="U84" s="1184">
        <v>1</v>
      </c>
      <c r="V84" s="1185" t="s">
        <v>14</v>
      </c>
      <c r="W84" s="1140">
        <v>0</v>
      </c>
      <c r="X84" s="1141">
        <v>6</v>
      </c>
      <c r="Y84" s="1142">
        <v>0</v>
      </c>
      <c r="Z84" s="1143">
        <f>SUM(W84:Y84)</f>
        <v>6</v>
      </c>
      <c r="AA84" s="1074"/>
      <c r="AB84" s="1063"/>
      <c r="AC84" s="1075"/>
      <c r="AD84" s="1084"/>
      <c r="AE84" s="1062"/>
      <c r="AF84" s="1085"/>
      <c r="AG84" s="1086"/>
      <c r="AH84" s="1087">
        <v>400000</v>
      </c>
      <c r="AI84" s="1087">
        <f>AH84*Q84*0.85</f>
        <v>3315000</v>
      </c>
      <c r="AJ84" s="1088"/>
      <c r="AK84" s="1089">
        <v>231000</v>
      </c>
      <c r="AL84" s="1087">
        <f>AK84*X84</f>
        <v>1386000</v>
      </c>
      <c r="AM84" s="1086"/>
      <c r="AN84" s="1086"/>
      <c r="AO84" s="1087"/>
      <c r="AP84" s="1076"/>
      <c r="AQ84" s="1087"/>
      <c r="AR84" s="1076"/>
      <c r="AS84" s="1076"/>
      <c r="AT84" s="1086"/>
      <c r="AU84" s="1088"/>
      <c r="AV84" s="1067"/>
    </row>
    <row r="85" spans="1:48" ht="16.5" customHeight="1">
      <c r="A85" s="1073"/>
      <c r="B85" s="1082" t="s">
        <v>429</v>
      </c>
      <c r="C85" s="1147" t="s">
        <v>459</v>
      </c>
      <c r="D85" s="1074"/>
      <c r="E85" s="1204"/>
      <c r="F85" s="1138"/>
      <c r="G85" s="1074"/>
      <c r="H85" s="1077"/>
      <c r="I85" s="1127"/>
      <c r="J85" s="1128"/>
      <c r="K85" s="1067"/>
      <c r="L85" s="1139"/>
      <c r="M85" s="1130"/>
      <c r="N85" s="1074" t="s">
        <v>429</v>
      </c>
      <c r="O85" s="1131" t="s">
        <v>17</v>
      </c>
      <c r="P85" s="1132">
        <v>1</v>
      </c>
      <c r="Q85" s="1133"/>
      <c r="R85" s="1038"/>
      <c r="S85" s="1074"/>
      <c r="T85" s="1075"/>
      <c r="U85" s="1184">
        <v>2</v>
      </c>
      <c r="V85" s="1185" t="s">
        <v>36</v>
      </c>
      <c r="W85" s="1140">
        <v>1</v>
      </c>
      <c r="X85" s="1141">
        <v>0</v>
      </c>
      <c r="Y85" s="1142">
        <v>0</v>
      </c>
      <c r="Z85" s="1143">
        <f>SUM(W85:Y85)</f>
        <v>1</v>
      </c>
      <c r="AA85" s="1074"/>
      <c r="AB85" s="1063"/>
      <c r="AC85" s="1075"/>
      <c r="AD85" s="1084"/>
      <c r="AE85" s="1062"/>
      <c r="AF85" s="1085"/>
      <c r="AG85" s="1086"/>
      <c r="AH85" s="1087">
        <v>2500000</v>
      </c>
      <c r="AI85" s="1087">
        <f>AH85*P85*0.5</f>
        <v>1250000</v>
      </c>
      <c r="AJ85" s="1088"/>
      <c r="AK85" s="1089">
        <v>150000</v>
      </c>
      <c r="AL85" s="1090">
        <f t="shared" ref="AL85:AL128" si="13">AK85*W85</f>
        <v>150000</v>
      </c>
      <c r="AM85" s="1086"/>
      <c r="AN85" s="1086"/>
      <c r="AO85" s="1087"/>
      <c r="AP85" s="1076"/>
      <c r="AQ85" s="1087"/>
      <c r="AR85" s="1076"/>
      <c r="AS85" s="1076"/>
      <c r="AT85" s="1086"/>
      <c r="AU85" s="1088"/>
      <c r="AV85" s="1067"/>
    </row>
    <row r="86" spans="1:48" ht="16.5" customHeight="1">
      <c r="A86" s="1073"/>
      <c r="B86" s="1082"/>
      <c r="C86" s="1083"/>
      <c r="D86" s="1074"/>
      <c r="E86" s="1204"/>
      <c r="F86" s="1138"/>
      <c r="G86" s="1074"/>
      <c r="H86" s="1077"/>
      <c r="I86" s="1127"/>
      <c r="J86" s="1128"/>
      <c r="K86" s="1067"/>
      <c r="L86" s="1139"/>
      <c r="M86" s="1130"/>
      <c r="N86" s="1074" t="s">
        <v>428</v>
      </c>
      <c r="O86" s="1131" t="s">
        <v>11</v>
      </c>
      <c r="P86" s="1132">
        <v>1</v>
      </c>
      <c r="Q86" s="1133"/>
      <c r="R86" s="1038"/>
      <c r="S86" s="1074"/>
      <c r="T86" s="1075"/>
      <c r="U86" s="1184">
        <v>3</v>
      </c>
      <c r="V86" s="1185" t="s">
        <v>34</v>
      </c>
      <c r="W86" s="1140">
        <v>0</v>
      </c>
      <c r="X86" s="1141">
        <v>3</v>
      </c>
      <c r="Y86" s="1142">
        <v>0</v>
      </c>
      <c r="Z86" s="1143">
        <f>SUM(W86:Y86)</f>
        <v>3</v>
      </c>
      <c r="AA86" s="1074"/>
      <c r="AB86" s="1063"/>
      <c r="AC86" s="1075"/>
      <c r="AD86" s="1084"/>
      <c r="AE86" s="1062"/>
      <c r="AF86" s="1085"/>
      <c r="AG86" s="1086"/>
      <c r="AH86" s="1087">
        <v>2500000</v>
      </c>
      <c r="AI86" s="1087">
        <f>AH86*P86*0.75</f>
        <v>1875000</v>
      </c>
      <c r="AJ86" s="1088"/>
      <c r="AK86" s="1089">
        <v>82500</v>
      </c>
      <c r="AL86" s="1090">
        <f>AK86*X86</f>
        <v>247500</v>
      </c>
      <c r="AM86" s="1086"/>
      <c r="AN86" s="1086"/>
      <c r="AO86" s="1087"/>
      <c r="AP86" s="1076"/>
      <c r="AQ86" s="1087"/>
      <c r="AR86" s="1076"/>
      <c r="AS86" s="1076"/>
      <c r="AT86" s="1086"/>
      <c r="AU86" s="1088"/>
      <c r="AV86" s="1067"/>
    </row>
    <row r="87" spans="1:48" ht="16.5" customHeight="1">
      <c r="A87" s="1073"/>
      <c r="B87" s="1082"/>
      <c r="C87" s="1083"/>
      <c r="D87" s="1074"/>
      <c r="E87" s="1204"/>
      <c r="F87" s="1138"/>
      <c r="G87" s="1074"/>
      <c r="H87" s="1077"/>
      <c r="I87" s="1127"/>
      <c r="J87" s="1128"/>
      <c r="K87" s="1067"/>
      <c r="L87" s="1139"/>
      <c r="M87" s="1130"/>
      <c r="N87" s="1074" t="s">
        <v>427</v>
      </c>
      <c r="O87" s="1131" t="s">
        <v>458</v>
      </c>
      <c r="P87" s="1075"/>
      <c r="Q87" s="1133">
        <v>87.66</v>
      </c>
      <c r="R87" s="1038"/>
      <c r="S87" s="1074"/>
      <c r="T87" s="1075"/>
      <c r="U87" s="1184"/>
      <c r="V87" s="1185"/>
      <c r="W87" s="1079"/>
      <c r="X87" s="1078"/>
      <c r="Y87" s="1039"/>
      <c r="Z87" s="1183"/>
      <c r="AA87" s="1074"/>
      <c r="AB87" s="1063"/>
      <c r="AC87" s="1075"/>
      <c r="AD87" s="1084"/>
      <c r="AE87" s="1062"/>
      <c r="AF87" s="1085"/>
      <c r="AG87" s="1086"/>
      <c r="AH87" s="1087">
        <v>125000</v>
      </c>
      <c r="AI87" s="1087">
        <f>AH87*Q87*0.6</f>
        <v>6574500</v>
      </c>
      <c r="AJ87" s="1088"/>
      <c r="AK87" s="1089"/>
      <c r="AL87" s="1090"/>
      <c r="AM87" s="1086"/>
      <c r="AN87" s="1086"/>
      <c r="AO87" s="1087"/>
      <c r="AP87" s="1076"/>
      <c r="AQ87" s="1087"/>
      <c r="AR87" s="1076"/>
      <c r="AS87" s="1076"/>
      <c r="AT87" s="1086"/>
      <c r="AU87" s="1088"/>
      <c r="AV87" s="1067"/>
    </row>
    <row r="88" spans="1:48" ht="16.5" customHeight="1">
      <c r="A88" s="1073"/>
      <c r="B88" s="1082"/>
      <c r="C88" s="1083"/>
      <c r="D88" s="1074"/>
      <c r="E88" s="1204"/>
      <c r="F88" s="1138"/>
      <c r="G88" s="1074"/>
      <c r="H88" s="1077"/>
      <c r="I88" s="1127"/>
      <c r="J88" s="1128"/>
      <c r="K88" s="1067"/>
      <c r="L88" s="1139"/>
      <c r="M88" s="1130"/>
      <c r="N88" s="1074" t="s">
        <v>446</v>
      </c>
      <c r="O88" s="1131" t="s">
        <v>121</v>
      </c>
      <c r="P88" s="1075"/>
      <c r="Q88" s="1133">
        <v>18.2</v>
      </c>
      <c r="R88" s="1038"/>
      <c r="S88" s="1074"/>
      <c r="T88" s="1075"/>
      <c r="U88" s="1184"/>
      <c r="V88" s="1185"/>
      <c r="W88" s="1079"/>
      <c r="X88" s="1078"/>
      <c r="Y88" s="1039"/>
      <c r="Z88" s="1183"/>
      <c r="AA88" s="1074"/>
      <c r="AB88" s="1063"/>
      <c r="AC88" s="1075"/>
      <c r="AD88" s="1084"/>
      <c r="AE88" s="1062"/>
      <c r="AF88" s="1085"/>
      <c r="AG88" s="1086"/>
      <c r="AH88" s="1087">
        <v>300000</v>
      </c>
      <c r="AI88" s="1087">
        <f>AH88*Q88*0.6</f>
        <v>3276000</v>
      </c>
      <c r="AJ88" s="1088"/>
      <c r="AK88" s="1089"/>
      <c r="AL88" s="1090"/>
      <c r="AM88" s="1086"/>
      <c r="AN88" s="1086"/>
      <c r="AO88" s="1087"/>
      <c r="AP88" s="1076"/>
      <c r="AQ88" s="1087"/>
      <c r="AR88" s="1076"/>
      <c r="AS88" s="1076"/>
      <c r="AT88" s="1086"/>
      <c r="AU88" s="1088"/>
      <c r="AV88" s="1067"/>
    </row>
    <row r="89" spans="1:48" ht="16.5" customHeight="1">
      <c r="A89" s="1073"/>
      <c r="B89" s="1082"/>
      <c r="C89" s="1083"/>
      <c r="D89" s="1074"/>
      <c r="E89" s="1204"/>
      <c r="F89" s="1138"/>
      <c r="G89" s="1074"/>
      <c r="H89" s="1077"/>
      <c r="I89" s="1127"/>
      <c r="J89" s="1128"/>
      <c r="K89" s="1067"/>
      <c r="L89" s="1139"/>
      <c r="M89" s="1130"/>
      <c r="N89" s="1074" t="s">
        <v>445</v>
      </c>
      <c r="O89" s="1131" t="s">
        <v>188</v>
      </c>
      <c r="P89" s="1075"/>
      <c r="Q89" s="1133">
        <v>8.5</v>
      </c>
      <c r="R89" s="1038"/>
      <c r="S89" s="1074"/>
      <c r="T89" s="1075"/>
      <c r="U89" s="1184"/>
      <c r="V89" s="1185"/>
      <c r="W89" s="1079"/>
      <c r="X89" s="1078"/>
      <c r="Y89" s="1039"/>
      <c r="Z89" s="1183"/>
      <c r="AA89" s="1074"/>
      <c r="AB89" s="1063"/>
      <c r="AC89" s="1075"/>
      <c r="AD89" s="1084"/>
      <c r="AE89" s="1062"/>
      <c r="AF89" s="1085"/>
      <c r="AG89" s="1086"/>
      <c r="AH89" s="1087">
        <v>450000</v>
      </c>
      <c r="AI89" s="1087">
        <f>AH89*Q89*0.7</f>
        <v>2677500</v>
      </c>
      <c r="AJ89" s="1088"/>
      <c r="AK89" s="1089"/>
      <c r="AL89" s="1090"/>
      <c r="AM89" s="1086"/>
      <c r="AN89" s="1086"/>
      <c r="AO89" s="1087"/>
      <c r="AP89" s="1076"/>
      <c r="AQ89" s="1087"/>
      <c r="AR89" s="1076"/>
      <c r="AS89" s="1076"/>
      <c r="AT89" s="1086"/>
      <c r="AU89" s="1088"/>
      <c r="AV89" s="1067"/>
    </row>
    <row r="90" spans="1:48" ht="33" customHeight="1">
      <c r="A90" s="1073"/>
      <c r="B90" s="1082"/>
      <c r="C90" s="1083"/>
      <c r="D90" s="1074"/>
      <c r="E90" s="1204"/>
      <c r="F90" s="1138"/>
      <c r="G90" s="1074"/>
      <c r="H90" s="1077"/>
      <c r="I90" s="1127"/>
      <c r="J90" s="1128"/>
      <c r="K90" s="1067"/>
      <c r="L90" s="1139"/>
      <c r="M90" s="1130"/>
      <c r="N90" s="1074" t="s">
        <v>457</v>
      </c>
      <c r="O90" s="1131" t="s">
        <v>456</v>
      </c>
      <c r="P90" s="1075"/>
      <c r="Q90" s="1133">
        <v>9.9</v>
      </c>
      <c r="R90" s="1038"/>
      <c r="S90" s="1074"/>
      <c r="T90" s="1075"/>
      <c r="U90" s="1184"/>
      <c r="V90" s="1185"/>
      <c r="W90" s="1079"/>
      <c r="X90" s="1078"/>
      <c r="Y90" s="1039"/>
      <c r="Z90" s="1183"/>
      <c r="AA90" s="1074"/>
      <c r="AB90" s="1063"/>
      <c r="AC90" s="1075"/>
      <c r="AD90" s="1084"/>
      <c r="AE90" s="1062"/>
      <c r="AF90" s="1085"/>
      <c r="AG90" s="1086"/>
      <c r="AH90" s="1087">
        <v>150000</v>
      </c>
      <c r="AI90" s="1087">
        <f>AH90*Q90*0.3</f>
        <v>445500</v>
      </c>
      <c r="AJ90" s="1088"/>
      <c r="AK90" s="1089"/>
      <c r="AL90" s="1090"/>
      <c r="AM90" s="1086"/>
      <c r="AN90" s="1086"/>
      <c r="AO90" s="1087"/>
      <c r="AP90" s="1076"/>
      <c r="AQ90" s="1087"/>
      <c r="AR90" s="1076"/>
      <c r="AS90" s="1076"/>
      <c r="AT90" s="1086"/>
      <c r="AU90" s="1088"/>
      <c r="AV90" s="1067"/>
    </row>
    <row r="91" spans="1:48" ht="16.5" customHeight="1">
      <c r="A91" s="1073"/>
      <c r="B91" s="1082"/>
      <c r="C91" s="1083"/>
      <c r="D91" s="1074"/>
      <c r="E91" s="1204"/>
      <c r="F91" s="1138"/>
      <c r="G91" s="1074"/>
      <c r="H91" s="1077"/>
      <c r="I91" s="1127"/>
      <c r="J91" s="1128"/>
      <c r="K91" s="1067"/>
      <c r="L91" s="1139"/>
      <c r="M91" s="1130"/>
      <c r="N91" s="1074" t="s">
        <v>455</v>
      </c>
      <c r="O91" s="1131" t="s">
        <v>399</v>
      </c>
      <c r="P91" s="1075"/>
      <c r="Q91" s="1133">
        <v>3</v>
      </c>
      <c r="R91" s="1038"/>
      <c r="S91" s="1074"/>
      <c r="T91" s="1075"/>
      <c r="U91" s="1184"/>
      <c r="V91" s="1185"/>
      <c r="W91" s="1079"/>
      <c r="X91" s="1078"/>
      <c r="Y91" s="1039"/>
      <c r="Z91" s="1183"/>
      <c r="AA91" s="1074"/>
      <c r="AB91" s="1063"/>
      <c r="AC91" s="1075"/>
      <c r="AD91" s="1084"/>
      <c r="AE91" s="1062"/>
      <c r="AF91" s="1085"/>
      <c r="AG91" s="1086"/>
      <c r="AH91" s="1087">
        <v>450000</v>
      </c>
      <c r="AI91" s="1087">
        <f>AH91*Q91*0.7</f>
        <v>944999.99999999988</v>
      </c>
      <c r="AJ91" s="1088"/>
      <c r="AK91" s="1089"/>
      <c r="AL91" s="1090"/>
      <c r="AM91" s="1086"/>
      <c r="AN91" s="1086"/>
      <c r="AO91" s="1087"/>
      <c r="AP91" s="1076"/>
      <c r="AQ91" s="1087"/>
      <c r="AR91" s="1076"/>
      <c r="AS91" s="1076"/>
      <c r="AT91" s="1086"/>
      <c r="AU91" s="1088"/>
      <c r="AV91" s="1067"/>
    </row>
    <row r="92" spans="1:48" ht="16.5" customHeight="1">
      <c r="A92" s="1073"/>
      <c r="B92" s="1082"/>
      <c r="C92" s="1083"/>
      <c r="D92" s="1074"/>
      <c r="E92" s="1204"/>
      <c r="F92" s="1138"/>
      <c r="G92" s="1074"/>
      <c r="H92" s="1077"/>
      <c r="I92" s="1127"/>
      <c r="J92" s="1128"/>
      <c r="K92" s="1067"/>
      <c r="L92" s="1139"/>
      <c r="M92" s="1130"/>
      <c r="N92" s="1074" t="s">
        <v>454</v>
      </c>
      <c r="O92" s="1131" t="s">
        <v>453</v>
      </c>
      <c r="P92" s="1075"/>
      <c r="Q92" s="1133">
        <v>1.6</v>
      </c>
      <c r="R92" s="1038"/>
      <c r="S92" s="1074"/>
      <c r="T92" s="1075"/>
      <c r="U92" s="1184"/>
      <c r="V92" s="1185"/>
      <c r="W92" s="1079"/>
      <c r="X92" s="1078"/>
      <c r="Y92" s="1039"/>
      <c r="Z92" s="1183"/>
      <c r="AA92" s="1074"/>
      <c r="AB92" s="1063"/>
      <c r="AC92" s="1075"/>
      <c r="AD92" s="1084"/>
      <c r="AE92" s="1062"/>
      <c r="AF92" s="1085"/>
      <c r="AG92" s="1086"/>
      <c r="AH92" s="1087">
        <v>1500000</v>
      </c>
      <c r="AI92" s="1087">
        <f>AH92*Q92*0.5</f>
        <v>1200000</v>
      </c>
      <c r="AJ92" s="1088"/>
      <c r="AK92" s="1089"/>
      <c r="AL92" s="1090"/>
      <c r="AM92" s="1086"/>
      <c r="AN92" s="1086"/>
      <c r="AO92" s="1087"/>
      <c r="AP92" s="1076"/>
      <c r="AQ92" s="1087"/>
      <c r="AR92" s="1076"/>
      <c r="AS92" s="1076"/>
      <c r="AT92" s="1086"/>
      <c r="AU92" s="1088"/>
      <c r="AV92" s="1067"/>
    </row>
    <row r="93" spans="1:48" ht="16.5" customHeight="1">
      <c r="A93" s="1073"/>
      <c r="B93" s="1082"/>
      <c r="C93" s="1083"/>
      <c r="D93" s="1074"/>
      <c r="E93" s="1204"/>
      <c r="F93" s="1138"/>
      <c r="G93" s="1074"/>
      <c r="H93" s="1077"/>
      <c r="I93" s="1127"/>
      <c r="J93" s="1128"/>
      <c r="K93" s="1067"/>
      <c r="L93" s="1139"/>
      <c r="M93" s="1130"/>
      <c r="N93" s="1074" t="s">
        <v>452</v>
      </c>
      <c r="O93" s="1131" t="s">
        <v>184</v>
      </c>
      <c r="P93" s="1075"/>
      <c r="Q93" s="1133">
        <v>3</v>
      </c>
      <c r="R93" s="1038"/>
      <c r="S93" s="1074"/>
      <c r="T93" s="1075"/>
      <c r="U93" s="1184"/>
      <c r="V93" s="1185"/>
      <c r="W93" s="1079"/>
      <c r="X93" s="1078"/>
      <c r="Y93" s="1039"/>
      <c r="Z93" s="1183"/>
      <c r="AA93" s="1074"/>
      <c r="AB93" s="1063"/>
      <c r="AC93" s="1075"/>
      <c r="AD93" s="1084"/>
      <c r="AE93" s="1062"/>
      <c r="AF93" s="1085"/>
      <c r="AG93" s="1086"/>
      <c r="AH93" s="1087">
        <v>100000</v>
      </c>
      <c r="AI93" s="1087">
        <f t="shared" si="12"/>
        <v>150000</v>
      </c>
      <c r="AJ93" s="1088"/>
      <c r="AK93" s="1089"/>
      <c r="AL93" s="1090"/>
      <c r="AM93" s="1086"/>
      <c r="AN93" s="1086"/>
      <c r="AO93" s="1087"/>
      <c r="AP93" s="1076"/>
      <c r="AQ93" s="1087"/>
      <c r="AR93" s="1076"/>
      <c r="AS93" s="1076"/>
      <c r="AT93" s="1086"/>
      <c r="AU93" s="1088"/>
      <c r="AV93" s="1067"/>
    </row>
    <row r="94" spans="1:48" ht="16.5" customHeight="1">
      <c r="A94" s="1107"/>
      <c r="B94" s="1095"/>
      <c r="C94" s="1186"/>
      <c r="D94" s="1094"/>
      <c r="E94" s="1149"/>
      <c r="F94" s="1150"/>
      <c r="G94" s="1094"/>
      <c r="H94" s="1151"/>
      <c r="I94" s="1152"/>
      <c r="J94" s="1153"/>
      <c r="K94" s="1101"/>
      <c r="L94" s="1154"/>
      <c r="M94" s="1155"/>
      <c r="N94" s="1094"/>
      <c r="O94" s="1167"/>
      <c r="P94" s="1112"/>
      <c r="Q94" s="1198"/>
      <c r="R94" s="1095"/>
      <c r="S94" s="1094"/>
      <c r="T94" s="1168"/>
      <c r="U94" s="1188"/>
      <c r="V94" s="1189"/>
      <c r="W94" s="1111"/>
      <c r="X94" s="1110"/>
      <c r="Y94" s="1096"/>
      <c r="Z94" s="1166"/>
      <c r="AA94" s="1094"/>
      <c r="AB94" s="1167"/>
      <c r="AC94" s="1168"/>
      <c r="AD94" s="1114"/>
      <c r="AE94" s="1093"/>
      <c r="AF94" s="1115"/>
      <c r="AG94" s="1116"/>
      <c r="AH94" s="1117"/>
      <c r="AI94" s="1117"/>
      <c r="AJ94" s="1118"/>
      <c r="AK94" s="1119"/>
      <c r="AL94" s="1120"/>
      <c r="AM94" s="1116"/>
      <c r="AN94" s="1116"/>
      <c r="AO94" s="1117"/>
      <c r="AP94" s="1108"/>
      <c r="AQ94" s="1117"/>
      <c r="AR94" s="1108"/>
      <c r="AS94" s="1108"/>
      <c r="AT94" s="1116"/>
      <c r="AU94" s="1118"/>
      <c r="AV94" s="1101"/>
    </row>
    <row r="95" spans="1:48" ht="16.5" customHeight="1">
      <c r="A95" s="1169">
        <v>8</v>
      </c>
      <c r="B95" s="1033" t="s">
        <v>25</v>
      </c>
      <c r="C95" s="1036" t="s">
        <v>1998</v>
      </c>
      <c r="D95" s="1034"/>
      <c r="E95" s="1199"/>
      <c r="F95" s="1171" t="s">
        <v>111</v>
      </c>
      <c r="G95" s="1172" t="s">
        <v>25</v>
      </c>
      <c r="H95" s="1173" t="s">
        <v>42</v>
      </c>
      <c r="I95" s="1174">
        <v>210</v>
      </c>
      <c r="J95" s="1175" t="s">
        <v>41</v>
      </c>
      <c r="K95" s="1041" t="s">
        <v>451</v>
      </c>
      <c r="L95" s="1129" t="s">
        <v>46</v>
      </c>
      <c r="M95" s="1176"/>
      <c r="N95" s="1170" t="s">
        <v>69</v>
      </c>
      <c r="O95" s="1177" t="s">
        <v>26</v>
      </c>
      <c r="P95" s="1178">
        <v>1</v>
      </c>
      <c r="Q95" s="1179">
        <v>96.96</v>
      </c>
      <c r="R95" s="1033"/>
      <c r="S95" s="1034"/>
      <c r="T95" s="1048"/>
      <c r="U95" s="1180"/>
      <c r="V95" s="1047"/>
      <c r="W95" s="1052"/>
      <c r="X95" s="1051"/>
      <c r="Y95" s="1036"/>
      <c r="Z95" s="1203"/>
      <c r="AA95" s="1170"/>
      <c r="AB95" s="1173"/>
      <c r="AC95" s="1047"/>
      <c r="AD95" s="1055"/>
      <c r="AE95" s="1032"/>
      <c r="AF95" s="1056">
        <f>Resum!F1</f>
        <v>356000</v>
      </c>
      <c r="AG95" s="1086">
        <f>AF95*I95</f>
        <v>74760000</v>
      </c>
      <c r="AH95" s="1058">
        <v>2200000</v>
      </c>
      <c r="AI95" s="1087">
        <f>AH95*Q95*0.8</f>
        <v>170649600</v>
      </c>
      <c r="AJ95" s="1182">
        <f>SUM(AI95:AI104)</f>
        <v>195056550</v>
      </c>
      <c r="AK95" s="1060"/>
      <c r="AL95" s="1090"/>
      <c r="AM95" s="1057"/>
      <c r="AN95" s="1086">
        <f>AM95+AJ95+AG95</f>
        <v>269816550</v>
      </c>
      <c r="AO95" s="1058"/>
      <c r="AP95" s="1136">
        <f>(AI95+AG95)*15%</f>
        <v>36811440</v>
      </c>
      <c r="AQ95" s="1087">
        <f>(AG95+AI95)*1%</f>
        <v>2454096</v>
      </c>
      <c r="AR95" s="1136">
        <f>(AG95+AI95)*5%</f>
        <v>12270480</v>
      </c>
      <c r="AS95" s="1087">
        <f>0.5%*(AG95+AI95)*(3)</f>
        <v>3681144</v>
      </c>
      <c r="AT95" s="1086">
        <f>+AS95+AR95+AQ95+AP95+AO95</f>
        <v>55217160</v>
      </c>
      <c r="AU95" s="1137">
        <f>ROUND(AT95+AN95,-3)</f>
        <v>325034000</v>
      </c>
      <c r="AV95" s="1041"/>
    </row>
    <row r="96" spans="1:48" ht="33" customHeight="1">
      <c r="A96" s="1073"/>
      <c r="B96" s="1038" t="s">
        <v>16</v>
      </c>
      <c r="C96" s="1071" t="s">
        <v>450</v>
      </c>
      <c r="D96" s="1074"/>
      <c r="E96" s="1204"/>
      <c r="F96" s="1138"/>
      <c r="G96" s="1074" t="s">
        <v>16</v>
      </c>
      <c r="H96" s="1074" t="s">
        <v>22</v>
      </c>
      <c r="I96" s="1127"/>
      <c r="J96" s="1128"/>
      <c r="K96" s="1067"/>
      <c r="L96" s="1139"/>
      <c r="M96" s="1130"/>
      <c r="N96" s="1074" t="s">
        <v>435</v>
      </c>
      <c r="O96" s="1131" t="s">
        <v>191</v>
      </c>
      <c r="P96" s="1132">
        <v>1</v>
      </c>
      <c r="Q96" s="1133">
        <v>32.479999999999997</v>
      </c>
      <c r="R96" s="1038"/>
      <c r="S96" s="1074"/>
      <c r="T96" s="1075"/>
      <c r="U96" s="1091"/>
      <c r="V96" s="1073"/>
      <c r="W96" s="1079"/>
      <c r="X96" s="1078"/>
      <c r="Y96" s="1039"/>
      <c r="Z96" s="1183"/>
      <c r="AA96" s="1074"/>
      <c r="AB96" s="1126"/>
      <c r="AC96" s="1073"/>
      <c r="AD96" s="1084"/>
      <c r="AE96" s="1062"/>
      <c r="AF96" s="1085"/>
      <c r="AG96" s="1086"/>
      <c r="AH96" s="1087">
        <v>430000</v>
      </c>
      <c r="AI96" s="1087">
        <f>AH96*Q96*0.5</f>
        <v>6983199.9999999991</v>
      </c>
      <c r="AJ96" s="1088"/>
      <c r="AK96" s="1089"/>
      <c r="AL96" s="1090"/>
      <c r="AM96" s="1086"/>
      <c r="AN96" s="1086"/>
      <c r="AO96" s="1087"/>
      <c r="AP96" s="1076"/>
      <c r="AQ96" s="1087"/>
      <c r="AR96" s="1076"/>
      <c r="AS96" s="1076"/>
      <c r="AT96" s="1086"/>
      <c r="AU96" s="1088"/>
      <c r="AV96" s="1067"/>
    </row>
    <row r="97" spans="1:48" ht="16.5" customHeight="1">
      <c r="A97" s="1073"/>
      <c r="B97" s="1038" t="s">
        <v>18</v>
      </c>
      <c r="C97" s="1039" t="s">
        <v>449</v>
      </c>
      <c r="D97" s="1074"/>
      <c r="E97" s="1204"/>
      <c r="F97" s="1138"/>
      <c r="G97" s="1074" t="s">
        <v>18</v>
      </c>
      <c r="H97" s="1074" t="s">
        <v>19</v>
      </c>
      <c r="I97" s="1127"/>
      <c r="J97" s="1128"/>
      <c r="K97" s="1067"/>
      <c r="L97" s="1139"/>
      <c r="M97" s="1130"/>
      <c r="N97" s="1074" t="s">
        <v>433</v>
      </c>
      <c r="O97" s="1123" t="s">
        <v>52</v>
      </c>
      <c r="P97" s="1132">
        <v>1</v>
      </c>
      <c r="Q97" s="1133">
        <v>10.75</v>
      </c>
      <c r="R97" s="1038"/>
      <c r="S97" s="1074"/>
      <c r="T97" s="1075"/>
      <c r="U97" s="1184"/>
      <c r="V97" s="1185"/>
      <c r="W97" s="1079"/>
      <c r="X97" s="1078"/>
      <c r="Y97" s="1039"/>
      <c r="Z97" s="1183"/>
      <c r="AA97" s="1074"/>
      <c r="AB97" s="1126"/>
      <c r="AC97" s="1073"/>
      <c r="AD97" s="1084"/>
      <c r="AE97" s="1062"/>
      <c r="AF97" s="1085"/>
      <c r="AG97" s="1086"/>
      <c r="AH97" s="1087">
        <v>210000</v>
      </c>
      <c r="AI97" s="1087">
        <f>AH97*Q97*0.5</f>
        <v>1128750</v>
      </c>
      <c r="AJ97" s="1088"/>
      <c r="AK97" s="1089"/>
      <c r="AL97" s="1090"/>
      <c r="AM97" s="1086"/>
      <c r="AN97" s="1086"/>
      <c r="AO97" s="1087"/>
      <c r="AP97" s="1076"/>
      <c r="AQ97" s="1087"/>
      <c r="AR97" s="1076"/>
      <c r="AS97" s="1076"/>
      <c r="AT97" s="1086"/>
      <c r="AU97" s="1088"/>
      <c r="AV97" s="1067"/>
    </row>
    <row r="98" spans="1:48" ht="49.5" customHeight="1">
      <c r="A98" s="1073"/>
      <c r="B98" s="1082" t="s">
        <v>12</v>
      </c>
      <c r="C98" s="1083" t="s">
        <v>98</v>
      </c>
      <c r="D98" s="1074"/>
      <c r="E98" s="1204"/>
      <c r="F98" s="1138"/>
      <c r="G98" s="1074"/>
      <c r="H98" s="1077"/>
      <c r="I98" s="1127"/>
      <c r="J98" s="1128"/>
      <c r="K98" s="1067"/>
      <c r="L98" s="1139"/>
      <c r="M98" s="1130"/>
      <c r="N98" s="1074" t="s">
        <v>431</v>
      </c>
      <c r="O98" s="1131" t="s">
        <v>21</v>
      </c>
      <c r="P98" s="1132">
        <v>1</v>
      </c>
      <c r="Q98" s="1133">
        <v>6</v>
      </c>
      <c r="R98" s="1038"/>
      <c r="S98" s="1074"/>
      <c r="T98" s="1075"/>
      <c r="U98" s="1184"/>
      <c r="V98" s="1185"/>
      <c r="W98" s="1079"/>
      <c r="X98" s="1078"/>
      <c r="Y98" s="1039"/>
      <c r="Z98" s="1183"/>
      <c r="AA98" s="1074"/>
      <c r="AB98" s="1126"/>
      <c r="AC98" s="1073"/>
      <c r="AD98" s="1084"/>
      <c r="AE98" s="1062"/>
      <c r="AF98" s="1085"/>
      <c r="AG98" s="1086"/>
      <c r="AH98" s="1087">
        <v>350000</v>
      </c>
      <c r="AI98" s="1087">
        <f>AH98*Q98*0.7</f>
        <v>1470000</v>
      </c>
      <c r="AJ98" s="1088"/>
      <c r="AK98" s="1089"/>
      <c r="AL98" s="1090"/>
      <c r="AM98" s="1086"/>
      <c r="AN98" s="1086"/>
      <c r="AO98" s="1087"/>
      <c r="AP98" s="1076"/>
      <c r="AQ98" s="1087"/>
      <c r="AR98" s="1076"/>
      <c r="AS98" s="1076"/>
      <c r="AT98" s="1086"/>
      <c r="AU98" s="1088"/>
      <c r="AV98" s="1067"/>
    </row>
    <row r="99" spans="1:48" ht="16.5" customHeight="1">
      <c r="A99" s="1073"/>
      <c r="B99" s="1082" t="s">
        <v>429</v>
      </c>
      <c r="C99" s="1147" t="s">
        <v>448</v>
      </c>
      <c r="D99" s="1074"/>
      <c r="E99" s="1204"/>
      <c r="F99" s="1138"/>
      <c r="G99" s="1074"/>
      <c r="H99" s="1077"/>
      <c r="I99" s="1127"/>
      <c r="J99" s="1128"/>
      <c r="K99" s="1067"/>
      <c r="L99" s="1139"/>
      <c r="M99" s="1130"/>
      <c r="N99" s="1074" t="s">
        <v>429</v>
      </c>
      <c r="O99" s="1131" t="s">
        <v>17</v>
      </c>
      <c r="P99" s="1132">
        <v>1</v>
      </c>
      <c r="Q99" s="1133"/>
      <c r="R99" s="1038"/>
      <c r="S99" s="1074"/>
      <c r="T99" s="1075"/>
      <c r="U99" s="1184"/>
      <c r="V99" s="1185"/>
      <c r="W99" s="1079"/>
      <c r="X99" s="1078"/>
      <c r="Y99" s="1039"/>
      <c r="Z99" s="1183"/>
      <c r="AA99" s="1074"/>
      <c r="AB99" s="1126"/>
      <c r="AC99" s="1073"/>
      <c r="AD99" s="1084"/>
      <c r="AE99" s="1062"/>
      <c r="AF99" s="1085"/>
      <c r="AG99" s="1086"/>
      <c r="AH99" s="1087">
        <v>2500000</v>
      </c>
      <c r="AI99" s="1087">
        <f>AH99*P99*0.5</f>
        <v>1250000</v>
      </c>
      <c r="AJ99" s="1088"/>
      <c r="AK99" s="1089"/>
      <c r="AL99" s="1090"/>
      <c r="AM99" s="1086"/>
      <c r="AN99" s="1086"/>
      <c r="AO99" s="1087"/>
      <c r="AP99" s="1076"/>
      <c r="AQ99" s="1087"/>
      <c r="AR99" s="1076"/>
      <c r="AS99" s="1076"/>
      <c r="AT99" s="1086"/>
      <c r="AU99" s="1088"/>
      <c r="AV99" s="1067"/>
    </row>
    <row r="100" spans="1:48" ht="16.5" customHeight="1">
      <c r="A100" s="1073"/>
      <c r="B100" s="1082"/>
      <c r="C100" s="1083"/>
      <c r="D100" s="1074"/>
      <c r="E100" s="1204"/>
      <c r="F100" s="1138"/>
      <c r="G100" s="1074"/>
      <c r="H100" s="1077"/>
      <c r="I100" s="1127"/>
      <c r="J100" s="1128"/>
      <c r="K100" s="1067"/>
      <c r="L100" s="1139"/>
      <c r="M100" s="1130"/>
      <c r="N100" s="1074" t="s">
        <v>428</v>
      </c>
      <c r="O100" s="1131" t="s">
        <v>11</v>
      </c>
      <c r="P100" s="1132">
        <v>1</v>
      </c>
      <c r="Q100" s="1133"/>
      <c r="R100" s="1038"/>
      <c r="S100" s="1074"/>
      <c r="T100" s="1075"/>
      <c r="U100" s="1184"/>
      <c r="V100" s="1185"/>
      <c r="W100" s="1079"/>
      <c r="X100" s="1078"/>
      <c r="Y100" s="1039"/>
      <c r="Z100" s="1183"/>
      <c r="AA100" s="1074"/>
      <c r="AB100" s="1126"/>
      <c r="AC100" s="1073"/>
      <c r="AD100" s="1084"/>
      <c r="AE100" s="1062"/>
      <c r="AF100" s="1085"/>
      <c r="AG100" s="1086"/>
      <c r="AH100" s="1087">
        <v>2500000</v>
      </c>
      <c r="AI100" s="1087">
        <f>AH100*P100*0.75</f>
        <v>1875000</v>
      </c>
      <c r="AJ100" s="1088"/>
      <c r="AK100" s="1089"/>
      <c r="AL100" s="1090"/>
      <c r="AM100" s="1086"/>
      <c r="AN100" s="1086"/>
      <c r="AO100" s="1087"/>
      <c r="AP100" s="1076"/>
      <c r="AQ100" s="1087"/>
      <c r="AR100" s="1076"/>
      <c r="AS100" s="1076"/>
      <c r="AT100" s="1086"/>
      <c r="AU100" s="1088"/>
      <c r="AV100" s="1067"/>
    </row>
    <row r="101" spans="1:48" ht="16.5" customHeight="1">
      <c r="A101" s="1073"/>
      <c r="B101" s="1082"/>
      <c r="C101" s="1083"/>
      <c r="D101" s="1074"/>
      <c r="E101" s="1204"/>
      <c r="F101" s="1138"/>
      <c r="G101" s="1074"/>
      <c r="H101" s="1077"/>
      <c r="I101" s="1127"/>
      <c r="J101" s="1128"/>
      <c r="K101" s="1067"/>
      <c r="L101" s="1139"/>
      <c r="M101" s="1130"/>
      <c r="N101" s="1074" t="s">
        <v>427</v>
      </c>
      <c r="O101" s="1131" t="s">
        <v>447</v>
      </c>
      <c r="P101" s="1132"/>
      <c r="Q101" s="1133">
        <v>40</v>
      </c>
      <c r="R101" s="1038"/>
      <c r="S101" s="1074"/>
      <c r="T101" s="1075"/>
      <c r="U101" s="1184"/>
      <c r="V101" s="1185"/>
      <c r="W101" s="1079"/>
      <c r="X101" s="1078"/>
      <c r="Y101" s="1039"/>
      <c r="Z101" s="1183"/>
      <c r="AA101" s="1074"/>
      <c r="AB101" s="1126"/>
      <c r="AC101" s="1073"/>
      <c r="AD101" s="1084"/>
      <c r="AE101" s="1062"/>
      <c r="AF101" s="1085"/>
      <c r="AG101" s="1086"/>
      <c r="AH101" s="1087">
        <v>500000</v>
      </c>
      <c r="AI101" s="1087">
        <f>AH101*Q101*0.5</f>
        <v>10000000</v>
      </c>
      <c r="AJ101" s="1088"/>
      <c r="AK101" s="1089"/>
      <c r="AL101" s="1090"/>
      <c r="AM101" s="1086"/>
      <c r="AN101" s="1086"/>
      <c r="AO101" s="1087"/>
      <c r="AP101" s="1076"/>
      <c r="AQ101" s="1087"/>
      <c r="AR101" s="1076"/>
      <c r="AS101" s="1076"/>
      <c r="AT101" s="1086"/>
      <c r="AU101" s="1088"/>
      <c r="AV101" s="1067"/>
    </row>
    <row r="102" spans="1:48" ht="16.5" customHeight="1">
      <c r="A102" s="1073"/>
      <c r="B102" s="1082"/>
      <c r="C102" s="1083"/>
      <c r="D102" s="1074"/>
      <c r="E102" s="1204"/>
      <c r="F102" s="1138"/>
      <c r="G102" s="1074"/>
      <c r="H102" s="1077"/>
      <c r="I102" s="1127"/>
      <c r="J102" s="1128"/>
      <c r="K102" s="1067"/>
      <c r="L102" s="1139"/>
      <c r="M102" s="1130"/>
      <c r="N102" s="1074" t="s">
        <v>446</v>
      </c>
      <c r="O102" s="1131" t="s">
        <v>120</v>
      </c>
      <c r="P102" s="1132"/>
      <c r="Q102" s="1133">
        <v>2</v>
      </c>
      <c r="R102" s="1038"/>
      <c r="S102" s="1074"/>
      <c r="T102" s="1075"/>
      <c r="U102" s="1184"/>
      <c r="V102" s="1185"/>
      <c r="W102" s="1079"/>
      <c r="X102" s="1078"/>
      <c r="Y102" s="1039"/>
      <c r="Z102" s="1183"/>
      <c r="AA102" s="1074"/>
      <c r="AB102" s="1126"/>
      <c r="AC102" s="1073"/>
      <c r="AD102" s="1084"/>
      <c r="AE102" s="1062"/>
      <c r="AF102" s="1085"/>
      <c r="AG102" s="1086"/>
      <c r="AH102" s="1087">
        <v>200000</v>
      </c>
      <c r="AI102" s="1087">
        <f>AH102*Q102*0.5</f>
        <v>200000</v>
      </c>
      <c r="AJ102" s="1088"/>
      <c r="AK102" s="1089"/>
      <c r="AL102" s="1090"/>
      <c r="AM102" s="1086"/>
      <c r="AN102" s="1086"/>
      <c r="AO102" s="1087"/>
      <c r="AP102" s="1076"/>
      <c r="AQ102" s="1087"/>
      <c r="AR102" s="1076"/>
      <c r="AS102" s="1076"/>
      <c r="AT102" s="1086"/>
      <c r="AU102" s="1088"/>
      <c r="AV102" s="1067"/>
    </row>
    <row r="103" spans="1:48" ht="16.5" customHeight="1">
      <c r="A103" s="1073"/>
      <c r="B103" s="1082"/>
      <c r="C103" s="1083"/>
      <c r="D103" s="1074"/>
      <c r="E103" s="1204"/>
      <c r="F103" s="1138"/>
      <c r="G103" s="1074"/>
      <c r="H103" s="1077"/>
      <c r="I103" s="1127"/>
      <c r="J103" s="1128"/>
      <c r="K103" s="1067"/>
      <c r="L103" s="1139"/>
      <c r="M103" s="1130"/>
      <c r="N103" s="1074" t="s">
        <v>445</v>
      </c>
      <c r="O103" s="1131" t="s">
        <v>184</v>
      </c>
      <c r="P103" s="1132"/>
      <c r="Q103" s="1133">
        <v>30</v>
      </c>
      <c r="R103" s="1038"/>
      <c r="S103" s="1074"/>
      <c r="T103" s="1075"/>
      <c r="U103" s="1184"/>
      <c r="V103" s="1185"/>
      <c r="W103" s="1079"/>
      <c r="X103" s="1078"/>
      <c r="Y103" s="1039"/>
      <c r="Z103" s="1183"/>
      <c r="AA103" s="1074"/>
      <c r="AB103" s="1126"/>
      <c r="AC103" s="1073"/>
      <c r="AD103" s="1084"/>
      <c r="AE103" s="1062"/>
      <c r="AF103" s="1085"/>
      <c r="AG103" s="1086"/>
      <c r="AH103" s="1087">
        <v>100000</v>
      </c>
      <c r="AI103" s="1087">
        <f>AH103*Q103*0.5</f>
        <v>1500000</v>
      </c>
      <c r="AJ103" s="1088"/>
      <c r="AK103" s="1089"/>
      <c r="AL103" s="1090"/>
      <c r="AM103" s="1086"/>
      <c r="AN103" s="1086"/>
      <c r="AO103" s="1087"/>
      <c r="AP103" s="1076"/>
      <c r="AQ103" s="1087"/>
      <c r="AR103" s="1076"/>
      <c r="AS103" s="1076"/>
      <c r="AT103" s="1086"/>
      <c r="AU103" s="1088"/>
      <c r="AV103" s="1067"/>
    </row>
    <row r="104" spans="1:48" ht="16.5" customHeight="1">
      <c r="A104" s="1107"/>
      <c r="B104" s="1095"/>
      <c r="C104" s="1186"/>
      <c r="D104" s="1094"/>
      <c r="E104" s="1149"/>
      <c r="F104" s="1150"/>
      <c r="G104" s="1094"/>
      <c r="H104" s="1151"/>
      <c r="I104" s="1152"/>
      <c r="J104" s="1153"/>
      <c r="K104" s="1101"/>
      <c r="L104" s="1154"/>
      <c r="M104" s="1155"/>
      <c r="N104" s="1094"/>
      <c r="O104" s="1156"/>
      <c r="P104" s="1157"/>
      <c r="Q104" s="1158"/>
      <c r="R104" s="1095"/>
      <c r="S104" s="1094"/>
      <c r="T104" s="1168"/>
      <c r="U104" s="1188"/>
      <c r="V104" s="1189"/>
      <c r="W104" s="1111"/>
      <c r="X104" s="1110"/>
      <c r="Y104" s="1096"/>
      <c r="Z104" s="1166"/>
      <c r="AA104" s="1094"/>
      <c r="AB104" s="1156"/>
      <c r="AC104" s="1107"/>
      <c r="AD104" s="1114"/>
      <c r="AE104" s="1093"/>
      <c r="AF104" s="1115"/>
      <c r="AG104" s="1116"/>
      <c r="AH104" s="1117"/>
      <c r="AI104" s="1117"/>
      <c r="AJ104" s="1118"/>
      <c r="AK104" s="1119"/>
      <c r="AL104" s="1120"/>
      <c r="AM104" s="1116"/>
      <c r="AN104" s="1116"/>
      <c r="AO104" s="1117"/>
      <c r="AP104" s="1108"/>
      <c r="AQ104" s="1117"/>
      <c r="AR104" s="1108"/>
      <c r="AS104" s="1108"/>
      <c r="AT104" s="1116"/>
      <c r="AU104" s="1118"/>
      <c r="AV104" s="1101"/>
    </row>
    <row r="105" spans="1:48" ht="33" customHeight="1">
      <c r="A105" s="1169">
        <v>9</v>
      </c>
      <c r="B105" s="1033" t="s">
        <v>25</v>
      </c>
      <c r="C105" s="1036" t="s">
        <v>444</v>
      </c>
      <c r="D105" s="1034"/>
      <c r="E105" s="1199"/>
      <c r="F105" s="1214" t="s">
        <v>443</v>
      </c>
      <c r="G105" s="1172" t="s">
        <v>25</v>
      </c>
      <c r="H105" s="1173" t="s">
        <v>29</v>
      </c>
      <c r="I105" s="1174">
        <v>583.82500000000005</v>
      </c>
      <c r="J105" s="1175" t="s">
        <v>41</v>
      </c>
      <c r="K105" s="1041" t="s">
        <v>442</v>
      </c>
      <c r="L105" s="1215"/>
      <c r="M105" s="1216"/>
      <c r="N105" s="1170" t="s">
        <v>69</v>
      </c>
      <c r="O105" s="1217" t="s">
        <v>62</v>
      </c>
      <c r="P105" s="1218">
        <v>3</v>
      </c>
      <c r="Q105" s="1219">
        <v>205.6</v>
      </c>
      <c r="R105" s="1033" t="s">
        <v>25</v>
      </c>
      <c r="S105" s="1034" t="s">
        <v>24</v>
      </c>
      <c r="T105" s="1048"/>
      <c r="U105" s="1180"/>
      <c r="V105" s="1047"/>
      <c r="W105" s="1052"/>
      <c r="X105" s="1051"/>
      <c r="Y105" s="1036"/>
      <c r="Z105" s="1203"/>
      <c r="AA105" s="1170"/>
      <c r="AB105" s="1173"/>
      <c r="AC105" s="1047"/>
      <c r="AD105" s="1180"/>
      <c r="AE105" s="1049"/>
      <c r="AF105" s="1056">
        <f>Resum!F1</f>
        <v>356000</v>
      </c>
      <c r="AG105" s="1086">
        <f>AF105*I105</f>
        <v>207841700.00000003</v>
      </c>
      <c r="AH105" s="1058">
        <v>2200000</v>
      </c>
      <c r="AI105" s="1087">
        <f>AH105*Q105*0.85</f>
        <v>384472000</v>
      </c>
      <c r="AJ105" s="1182">
        <f>SUM(AI105:AI115)</f>
        <v>389342400</v>
      </c>
      <c r="AK105" s="1060"/>
      <c r="AL105" s="1090"/>
      <c r="AM105" s="1057">
        <f>SUM(AL105:AL115)</f>
        <v>1031700</v>
      </c>
      <c r="AN105" s="1086">
        <f>AM105+AJ105+AG105</f>
        <v>598215800</v>
      </c>
      <c r="AO105" s="1087">
        <f>250000*30*3</f>
        <v>22500000</v>
      </c>
      <c r="AP105" s="1136">
        <f>(AI105+AG105)*15%</f>
        <v>88847055</v>
      </c>
      <c r="AQ105" s="1087">
        <f>(AG105+AI105)*1%</f>
        <v>5923137</v>
      </c>
      <c r="AR105" s="1136">
        <f>(AG105+AI105)*5%</f>
        <v>29615685</v>
      </c>
      <c r="AS105" s="1087">
        <f>0.5%*(AG105+AI105)*(3)</f>
        <v>8884705.5</v>
      </c>
      <c r="AT105" s="1086">
        <f>+AS105+AR105+AQ105+AP105+AO105</f>
        <v>155770582.5</v>
      </c>
      <c r="AU105" s="1137">
        <f>ROUND(AT105+AN105,-3)</f>
        <v>753986000</v>
      </c>
      <c r="AV105" s="1041"/>
    </row>
    <row r="106" spans="1:48" ht="16.5" customHeight="1">
      <c r="A106" s="1073"/>
      <c r="B106" s="1038" t="s">
        <v>16</v>
      </c>
      <c r="C106" s="1071" t="s">
        <v>441</v>
      </c>
      <c r="D106" s="1074"/>
      <c r="E106" s="1204"/>
      <c r="F106" s="1220"/>
      <c r="G106" s="1074" t="s">
        <v>16</v>
      </c>
      <c r="H106" s="1074" t="s">
        <v>22</v>
      </c>
      <c r="I106" s="1127"/>
      <c r="J106" s="1128"/>
      <c r="K106" s="1067"/>
      <c r="L106" s="1221"/>
      <c r="M106" s="1075"/>
      <c r="N106" s="1074" t="s">
        <v>435</v>
      </c>
      <c r="O106" s="1063" t="s">
        <v>106</v>
      </c>
      <c r="P106" s="1132">
        <v>3</v>
      </c>
      <c r="Q106" s="1133">
        <v>38</v>
      </c>
      <c r="R106" s="1038"/>
      <c r="S106" s="1074"/>
      <c r="T106" s="1075"/>
      <c r="U106" s="1091"/>
      <c r="V106" s="1073"/>
      <c r="W106" s="1079"/>
      <c r="X106" s="1078"/>
      <c r="Y106" s="1039"/>
      <c r="Z106" s="1183"/>
      <c r="AA106" s="1074"/>
      <c r="AB106" s="1126"/>
      <c r="AC106" s="1073"/>
      <c r="AD106" s="1091"/>
      <c r="AE106" s="1076"/>
      <c r="AF106" s="1085"/>
      <c r="AG106" s="1086"/>
      <c r="AH106" s="1087">
        <v>180000</v>
      </c>
      <c r="AI106" s="1087">
        <f>AH106*Q106*0.5</f>
        <v>3420000</v>
      </c>
      <c r="AJ106" s="1088"/>
      <c r="AK106" s="1089"/>
      <c r="AL106" s="1090"/>
      <c r="AM106" s="1086"/>
      <c r="AN106" s="1086"/>
      <c r="AO106" s="1087"/>
      <c r="AP106" s="1076"/>
      <c r="AQ106" s="1087"/>
      <c r="AR106" s="1076"/>
      <c r="AS106" s="1076"/>
      <c r="AT106" s="1086"/>
      <c r="AU106" s="1088"/>
      <c r="AV106" s="1067"/>
    </row>
    <row r="107" spans="1:48" ht="16.5" customHeight="1">
      <c r="A107" s="1073"/>
      <c r="B107" s="1038" t="s">
        <v>18</v>
      </c>
      <c r="C107" s="1039" t="s">
        <v>60</v>
      </c>
      <c r="D107" s="1074"/>
      <c r="E107" s="1204"/>
      <c r="F107" s="1220"/>
      <c r="G107" s="1074" t="s">
        <v>18</v>
      </c>
      <c r="H107" s="1074" t="s">
        <v>19</v>
      </c>
      <c r="I107" s="1127"/>
      <c r="J107" s="1128"/>
      <c r="K107" s="1067"/>
      <c r="L107" s="1221"/>
      <c r="M107" s="1075"/>
      <c r="N107" s="1074" t="s">
        <v>433</v>
      </c>
      <c r="O107" s="1126" t="s">
        <v>21</v>
      </c>
      <c r="P107" s="1192"/>
      <c r="Q107" s="1193">
        <v>20.72</v>
      </c>
      <c r="R107" s="1038" t="s">
        <v>16</v>
      </c>
      <c r="S107" s="1074" t="s">
        <v>15</v>
      </c>
      <c r="T107" s="1075">
        <v>7</v>
      </c>
      <c r="U107" s="1184">
        <v>1</v>
      </c>
      <c r="V107" s="1185" t="s">
        <v>36</v>
      </c>
      <c r="W107" s="1140">
        <v>1</v>
      </c>
      <c r="X107" s="1141">
        <v>0</v>
      </c>
      <c r="Y107" s="1142">
        <v>0</v>
      </c>
      <c r="Z107" s="1143">
        <f t="shared" ref="Z107:Z113" si="14">SUM(W107:Y107)</f>
        <v>1</v>
      </c>
      <c r="AA107" s="1074"/>
      <c r="AB107" s="1126"/>
      <c r="AC107" s="1073"/>
      <c r="AD107" s="1091"/>
      <c r="AE107" s="1076"/>
      <c r="AF107" s="1085"/>
      <c r="AG107" s="1086"/>
      <c r="AH107" s="1087">
        <v>100000</v>
      </c>
      <c r="AI107" s="1087">
        <f>AH107*Q107*0.7</f>
        <v>1450400</v>
      </c>
      <c r="AJ107" s="1088"/>
      <c r="AK107" s="1089">
        <v>150000</v>
      </c>
      <c r="AL107" s="1090">
        <f t="shared" si="13"/>
        <v>150000</v>
      </c>
      <c r="AM107" s="1086"/>
      <c r="AN107" s="1086"/>
      <c r="AO107" s="1087"/>
      <c r="AP107" s="1076"/>
      <c r="AQ107" s="1087"/>
      <c r="AR107" s="1076"/>
      <c r="AS107" s="1076"/>
      <c r="AT107" s="1086"/>
      <c r="AU107" s="1088"/>
      <c r="AV107" s="1067"/>
    </row>
    <row r="108" spans="1:48" ht="49.5" customHeight="1">
      <c r="A108" s="1073"/>
      <c r="B108" s="1082" t="s">
        <v>12</v>
      </c>
      <c r="C108" s="1083" t="s">
        <v>13</v>
      </c>
      <c r="D108" s="1074"/>
      <c r="E108" s="1204"/>
      <c r="F108" s="1220"/>
      <c r="G108" s="1074"/>
      <c r="H108" s="1077"/>
      <c r="I108" s="1127"/>
      <c r="J108" s="1128"/>
      <c r="K108" s="1067"/>
      <c r="L108" s="1221"/>
      <c r="M108" s="1075"/>
      <c r="N108" s="1074"/>
      <c r="O108" s="1126"/>
      <c r="P108" s="1192"/>
      <c r="Q108" s="1193"/>
      <c r="R108" s="1038"/>
      <c r="S108" s="1074"/>
      <c r="T108" s="1075"/>
      <c r="U108" s="1184">
        <v>2</v>
      </c>
      <c r="V108" s="1185" t="s">
        <v>14</v>
      </c>
      <c r="W108" s="1140">
        <v>2</v>
      </c>
      <c r="X108" s="1141">
        <v>0</v>
      </c>
      <c r="Y108" s="1142">
        <v>0</v>
      </c>
      <c r="Z108" s="1143">
        <f t="shared" si="14"/>
        <v>2</v>
      </c>
      <c r="AA108" s="1074"/>
      <c r="AB108" s="1063"/>
      <c r="AC108" s="1075"/>
      <c r="AD108" s="1091"/>
      <c r="AE108" s="1076"/>
      <c r="AF108" s="1085"/>
      <c r="AG108" s="1086"/>
      <c r="AH108" s="1087"/>
      <c r="AI108" s="1087"/>
      <c r="AJ108" s="1088"/>
      <c r="AK108" s="1089">
        <v>350000</v>
      </c>
      <c r="AL108" s="1087">
        <f t="shared" si="13"/>
        <v>700000</v>
      </c>
      <c r="AM108" s="1086"/>
      <c r="AN108" s="1086"/>
      <c r="AO108" s="1087"/>
      <c r="AP108" s="1076"/>
      <c r="AQ108" s="1087"/>
      <c r="AR108" s="1076"/>
      <c r="AS108" s="1076"/>
      <c r="AT108" s="1086"/>
      <c r="AU108" s="1088"/>
      <c r="AV108" s="1067"/>
    </row>
    <row r="109" spans="1:48" ht="16.5" customHeight="1">
      <c r="A109" s="1073"/>
      <c r="B109" s="1082" t="s">
        <v>8</v>
      </c>
      <c r="C109" s="1083" t="s">
        <v>440</v>
      </c>
      <c r="D109" s="1074"/>
      <c r="E109" s="1204"/>
      <c r="F109" s="1220"/>
      <c r="G109" s="1074"/>
      <c r="H109" s="1077"/>
      <c r="I109" s="1127"/>
      <c r="J109" s="1128"/>
      <c r="K109" s="1067"/>
      <c r="L109" s="1221"/>
      <c r="M109" s="1075"/>
      <c r="N109" s="1074"/>
      <c r="O109" s="1126"/>
      <c r="P109" s="1192"/>
      <c r="Q109" s="1193"/>
      <c r="R109" s="1038"/>
      <c r="S109" s="1074"/>
      <c r="T109" s="1075"/>
      <c r="U109" s="1184">
        <v>3</v>
      </c>
      <c r="V109" s="1185" t="s">
        <v>34</v>
      </c>
      <c r="W109" s="1140">
        <v>0</v>
      </c>
      <c r="X109" s="1141">
        <v>1</v>
      </c>
      <c r="Y109" s="1142">
        <v>0</v>
      </c>
      <c r="Z109" s="1143">
        <f t="shared" si="14"/>
        <v>1</v>
      </c>
      <c r="AA109" s="1074"/>
      <c r="AB109" s="1063"/>
      <c r="AC109" s="1075"/>
      <c r="AD109" s="1091"/>
      <c r="AE109" s="1076"/>
      <c r="AF109" s="1085"/>
      <c r="AG109" s="1086"/>
      <c r="AH109" s="1087"/>
      <c r="AI109" s="1087"/>
      <c r="AJ109" s="1088"/>
      <c r="AK109" s="1089">
        <v>82500</v>
      </c>
      <c r="AL109" s="1090">
        <f>AK109*X109</f>
        <v>82500</v>
      </c>
      <c r="AM109" s="1086"/>
      <c r="AN109" s="1086"/>
      <c r="AO109" s="1087"/>
      <c r="AP109" s="1076"/>
      <c r="AQ109" s="1087"/>
      <c r="AR109" s="1076"/>
      <c r="AS109" s="1076"/>
      <c r="AT109" s="1086"/>
      <c r="AU109" s="1088"/>
      <c r="AV109" s="1067"/>
    </row>
    <row r="110" spans="1:48" ht="16.5" customHeight="1">
      <c r="A110" s="1073"/>
      <c r="B110" s="1082"/>
      <c r="C110" s="1083"/>
      <c r="D110" s="1074"/>
      <c r="E110" s="1204"/>
      <c r="F110" s="1220"/>
      <c r="G110" s="1074"/>
      <c r="H110" s="1077"/>
      <c r="I110" s="1127"/>
      <c r="J110" s="1128"/>
      <c r="K110" s="1067"/>
      <c r="L110" s="1221"/>
      <c r="M110" s="1075"/>
      <c r="N110" s="1074"/>
      <c r="O110" s="1126"/>
      <c r="P110" s="1192"/>
      <c r="Q110" s="1193"/>
      <c r="R110" s="1038"/>
      <c r="S110" s="1074"/>
      <c r="T110" s="1075"/>
      <c r="U110" s="1184">
        <v>4</v>
      </c>
      <c r="V110" s="1185" t="s">
        <v>244</v>
      </c>
      <c r="W110" s="1140">
        <v>0</v>
      </c>
      <c r="X110" s="1141">
        <v>4</v>
      </c>
      <c r="Y110" s="1142">
        <v>0</v>
      </c>
      <c r="Z110" s="1143">
        <f t="shared" si="14"/>
        <v>4</v>
      </c>
      <c r="AA110" s="1074"/>
      <c r="AB110" s="1063"/>
      <c r="AC110" s="1075"/>
      <c r="AD110" s="1091"/>
      <c r="AE110" s="1076"/>
      <c r="AF110" s="1085"/>
      <c r="AG110" s="1086"/>
      <c r="AH110" s="1087"/>
      <c r="AI110" s="1087"/>
      <c r="AJ110" s="1088"/>
      <c r="AK110" s="1089">
        <v>4000</v>
      </c>
      <c r="AL110" s="1090">
        <f>AK110*X110</f>
        <v>16000</v>
      </c>
      <c r="AM110" s="1086"/>
      <c r="AN110" s="1086"/>
      <c r="AO110" s="1087"/>
      <c r="AP110" s="1076"/>
      <c r="AQ110" s="1087"/>
      <c r="AR110" s="1076"/>
      <c r="AS110" s="1076"/>
      <c r="AT110" s="1086"/>
      <c r="AU110" s="1088"/>
      <c r="AV110" s="1067"/>
    </row>
    <row r="111" spans="1:48" ht="16.5" customHeight="1">
      <c r="A111" s="1073"/>
      <c r="B111" s="1082"/>
      <c r="C111" s="1083"/>
      <c r="D111" s="1074"/>
      <c r="E111" s="1204"/>
      <c r="F111" s="1220"/>
      <c r="G111" s="1074"/>
      <c r="H111" s="1077"/>
      <c r="I111" s="1127"/>
      <c r="J111" s="1128"/>
      <c r="K111" s="1067"/>
      <c r="L111" s="1221"/>
      <c r="M111" s="1075"/>
      <c r="N111" s="1074"/>
      <c r="O111" s="1126"/>
      <c r="P111" s="1192"/>
      <c r="Q111" s="1193"/>
      <c r="R111" s="1038"/>
      <c r="S111" s="1074"/>
      <c r="T111" s="1075"/>
      <c r="U111" s="1184">
        <v>5</v>
      </c>
      <c r="V111" s="1185" t="s">
        <v>419</v>
      </c>
      <c r="W111" s="1140">
        <v>0</v>
      </c>
      <c r="X111" s="1141">
        <v>3</v>
      </c>
      <c r="Y111" s="1142">
        <v>0</v>
      </c>
      <c r="Z111" s="1143">
        <f t="shared" si="14"/>
        <v>3</v>
      </c>
      <c r="AA111" s="1074"/>
      <c r="AB111" s="1063"/>
      <c r="AC111" s="1075"/>
      <c r="AD111" s="1091"/>
      <c r="AE111" s="1076"/>
      <c r="AF111" s="1085"/>
      <c r="AG111" s="1086"/>
      <c r="AH111" s="1087"/>
      <c r="AI111" s="1087"/>
      <c r="AJ111" s="1088"/>
      <c r="AK111" s="1089">
        <v>10000</v>
      </c>
      <c r="AL111" s="1090">
        <f>AK111*X111</f>
        <v>30000</v>
      </c>
      <c r="AM111" s="1086"/>
      <c r="AN111" s="1086"/>
      <c r="AO111" s="1087"/>
      <c r="AP111" s="1076"/>
      <c r="AQ111" s="1087"/>
      <c r="AR111" s="1076"/>
      <c r="AS111" s="1076"/>
      <c r="AT111" s="1086"/>
      <c r="AU111" s="1088"/>
      <c r="AV111" s="1067"/>
    </row>
    <row r="112" spans="1:48" ht="16.5" customHeight="1">
      <c r="A112" s="1073"/>
      <c r="B112" s="1082"/>
      <c r="C112" s="1083"/>
      <c r="D112" s="1074"/>
      <c r="E112" s="1204"/>
      <c r="F112" s="1220"/>
      <c r="G112" s="1074"/>
      <c r="H112" s="1077"/>
      <c r="I112" s="1127"/>
      <c r="J112" s="1128"/>
      <c r="K112" s="1067"/>
      <c r="L112" s="1221"/>
      <c r="M112" s="1075"/>
      <c r="N112" s="1074"/>
      <c r="O112" s="1126"/>
      <c r="P112" s="1192"/>
      <c r="Q112" s="1193"/>
      <c r="R112" s="1038"/>
      <c r="S112" s="1074"/>
      <c r="T112" s="1075"/>
      <c r="U112" s="1184">
        <v>6</v>
      </c>
      <c r="V112" s="1185" t="s">
        <v>143</v>
      </c>
      <c r="W112" s="1140">
        <v>0</v>
      </c>
      <c r="X112" s="1141">
        <v>2</v>
      </c>
      <c r="Y112" s="1142">
        <v>0</v>
      </c>
      <c r="Z112" s="1143">
        <f t="shared" si="14"/>
        <v>2</v>
      </c>
      <c r="AA112" s="1074"/>
      <c r="AB112" s="1063"/>
      <c r="AC112" s="1075"/>
      <c r="AD112" s="1091"/>
      <c r="AE112" s="1076"/>
      <c r="AF112" s="1085"/>
      <c r="AG112" s="1086"/>
      <c r="AH112" s="1087"/>
      <c r="AI112" s="1087"/>
      <c r="AJ112" s="1088"/>
      <c r="AK112" s="1089">
        <v>6650</v>
      </c>
      <c r="AL112" s="1090">
        <f>AK112*X112</f>
        <v>13300</v>
      </c>
      <c r="AM112" s="1086"/>
      <c r="AN112" s="1086"/>
      <c r="AO112" s="1087"/>
      <c r="AP112" s="1076"/>
      <c r="AQ112" s="1087"/>
      <c r="AR112" s="1076"/>
      <c r="AS112" s="1076"/>
      <c r="AT112" s="1086"/>
      <c r="AU112" s="1088"/>
      <c r="AV112" s="1067"/>
    </row>
    <row r="113" spans="1:48" ht="16.5" customHeight="1">
      <c r="A113" s="1073"/>
      <c r="B113" s="1082"/>
      <c r="C113" s="1083"/>
      <c r="D113" s="1074"/>
      <c r="E113" s="1204"/>
      <c r="F113" s="1220"/>
      <c r="G113" s="1074"/>
      <c r="H113" s="1077"/>
      <c r="I113" s="1127"/>
      <c r="J113" s="1128"/>
      <c r="K113" s="1067"/>
      <c r="L113" s="1221"/>
      <c r="M113" s="1075"/>
      <c r="N113" s="1074"/>
      <c r="O113" s="1126"/>
      <c r="P113" s="1192"/>
      <c r="Q113" s="1193"/>
      <c r="R113" s="1038"/>
      <c r="S113" s="1074"/>
      <c r="T113" s="1075"/>
      <c r="U113" s="1184">
        <v>7</v>
      </c>
      <c r="V113" s="1185" t="s">
        <v>1</v>
      </c>
      <c r="W113" s="1140">
        <v>0</v>
      </c>
      <c r="X113" s="1141">
        <v>6</v>
      </c>
      <c r="Y113" s="1142">
        <v>0</v>
      </c>
      <c r="Z113" s="1143">
        <f t="shared" si="14"/>
        <v>6</v>
      </c>
      <c r="AA113" s="1074"/>
      <c r="AB113" s="1063"/>
      <c r="AC113" s="1075"/>
      <c r="AD113" s="1091"/>
      <c r="AE113" s="1076"/>
      <c r="AF113" s="1085"/>
      <c r="AG113" s="1086"/>
      <c r="AH113" s="1087"/>
      <c r="AI113" s="1087"/>
      <c r="AJ113" s="1088"/>
      <c r="AK113" s="1089">
        <v>6650</v>
      </c>
      <c r="AL113" s="1090">
        <f>AK113*X113</f>
        <v>39900</v>
      </c>
      <c r="AM113" s="1086"/>
      <c r="AN113" s="1086"/>
      <c r="AO113" s="1087"/>
      <c r="AP113" s="1076"/>
      <c r="AQ113" s="1087"/>
      <c r="AR113" s="1076"/>
      <c r="AS113" s="1076"/>
      <c r="AT113" s="1086"/>
      <c r="AU113" s="1088"/>
      <c r="AV113" s="1067"/>
    </row>
    <row r="114" spans="1:48" ht="16.5" customHeight="1">
      <c r="A114" s="1073"/>
      <c r="B114" s="1082"/>
      <c r="C114" s="1083"/>
      <c r="D114" s="1074"/>
      <c r="E114" s="1204"/>
      <c r="F114" s="1220"/>
      <c r="G114" s="1074"/>
      <c r="H114" s="1077"/>
      <c r="I114" s="1127"/>
      <c r="J114" s="1128"/>
      <c r="K114" s="1067"/>
      <c r="L114" s="1221"/>
      <c r="M114" s="1075"/>
      <c r="N114" s="1074"/>
      <c r="O114" s="1126"/>
      <c r="P114" s="1192"/>
      <c r="Q114" s="1193"/>
      <c r="R114" s="1038"/>
      <c r="S114" s="1074"/>
      <c r="T114" s="1075"/>
      <c r="U114" s="1184"/>
      <c r="V114" s="1185"/>
      <c r="W114" s="1222"/>
      <c r="X114" s="1110"/>
      <c r="Y114" s="1096"/>
      <c r="Z114" s="1166"/>
      <c r="AA114" s="1094"/>
      <c r="AB114" s="1167"/>
      <c r="AC114" s="1168"/>
      <c r="AD114" s="1109"/>
      <c r="AE114" s="1108"/>
      <c r="AF114" s="1115"/>
      <c r="AG114" s="1116"/>
      <c r="AH114" s="1117"/>
      <c r="AI114" s="1087"/>
      <c r="AJ114" s="1118"/>
      <c r="AK114" s="1119"/>
      <c r="AL114" s="1120"/>
      <c r="AM114" s="1086"/>
      <c r="AN114" s="1086"/>
      <c r="AO114" s="1087"/>
      <c r="AP114" s="1076"/>
      <c r="AQ114" s="1087"/>
      <c r="AR114" s="1076"/>
      <c r="AS114" s="1076"/>
      <c r="AT114" s="1086"/>
      <c r="AU114" s="1088"/>
      <c r="AV114" s="1067"/>
    </row>
    <row r="115" spans="1:48" ht="1.5" customHeight="1">
      <c r="A115" s="1107"/>
      <c r="B115" s="1095"/>
      <c r="C115" s="1186"/>
      <c r="D115" s="1094"/>
      <c r="E115" s="1149"/>
      <c r="F115" s="1223"/>
      <c r="G115" s="1094"/>
      <c r="H115" s="1151"/>
      <c r="I115" s="1152"/>
      <c r="J115" s="1153"/>
      <c r="K115" s="1101"/>
      <c r="L115" s="1224"/>
      <c r="M115" s="1168"/>
      <c r="N115" s="1094"/>
      <c r="O115" s="1156"/>
      <c r="P115" s="1157"/>
      <c r="Q115" s="1158"/>
      <c r="R115" s="1095"/>
      <c r="S115" s="1094"/>
      <c r="T115" s="1168"/>
      <c r="U115" s="1188"/>
      <c r="V115" s="1189"/>
      <c r="W115" s="1111"/>
      <c r="X115" s="1110"/>
      <c r="Y115" s="1096"/>
      <c r="Z115" s="1166"/>
      <c r="AA115" s="1094"/>
      <c r="AB115" s="1167"/>
      <c r="AC115" s="1168"/>
      <c r="AD115" s="1109"/>
      <c r="AE115" s="1108"/>
      <c r="AF115" s="1115"/>
      <c r="AG115" s="1116"/>
      <c r="AH115" s="1117"/>
      <c r="AI115" s="1117"/>
      <c r="AJ115" s="1118"/>
      <c r="AK115" s="1119"/>
      <c r="AL115" s="1090">
        <f t="shared" si="13"/>
        <v>0</v>
      </c>
      <c r="AM115" s="1116"/>
      <c r="AN115" s="1116"/>
      <c r="AO115" s="1117"/>
      <c r="AP115" s="1108"/>
      <c r="AQ115" s="1117"/>
      <c r="AR115" s="1108"/>
      <c r="AS115" s="1108"/>
      <c r="AT115" s="1116"/>
      <c r="AU115" s="1118"/>
      <c r="AV115" s="1101"/>
    </row>
    <row r="116" spans="1:48" ht="16.5" customHeight="1">
      <c r="A116" s="1169">
        <v>10</v>
      </c>
      <c r="B116" s="1033" t="s">
        <v>25</v>
      </c>
      <c r="C116" s="1039" t="s">
        <v>439</v>
      </c>
      <c r="D116" s="1170"/>
      <c r="E116" s="1034"/>
      <c r="F116" s="1171" t="s">
        <v>438</v>
      </c>
      <c r="G116" s="1172" t="s">
        <v>25</v>
      </c>
      <c r="H116" s="1126" t="s">
        <v>29</v>
      </c>
      <c r="I116" s="1174">
        <v>229</v>
      </c>
      <c r="J116" s="1175" t="s">
        <v>41</v>
      </c>
      <c r="K116" s="1067" t="s">
        <v>437</v>
      </c>
      <c r="L116" s="1129" t="s">
        <v>46</v>
      </c>
      <c r="M116" s="1130"/>
      <c r="N116" s="1170" t="s">
        <v>69</v>
      </c>
      <c r="O116" s="1177" t="s">
        <v>26</v>
      </c>
      <c r="P116" s="1178">
        <v>1</v>
      </c>
      <c r="Q116" s="1179">
        <v>52.5</v>
      </c>
      <c r="R116" s="1033"/>
      <c r="S116" s="1034"/>
      <c r="T116" s="1048"/>
      <c r="U116" s="1180"/>
      <c r="V116" s="1047"/>
      <c r="W116" s="1052"/>
      <c r="X116" s="1051"/>
      <c r="Y116" s="1036"/>
      <c r="Z116" s="1134"/>
      <c r="AA116" s="1170"/>
      <c r="AB116" s="1173"/>
      <c r="AC116" s="1047"/>
      <c r="AD116" s="1055"/>
      <c r="AE116" s="1032"/>
      <c r="AF116" s="1056">
        <f>Resum!F1</f>
        <v>356000</v>
      </c>
      <c r="AG116" s="1086">
        <f>AF116*I116</f>
        <v>81524000</v>
      </c>
      <c r="AH116" s="1058">
        <v>2200000</v>
      </c>
      <c r="AI116" s="1087">
        <f>AH116*Q116*0.85</f>
        <v>98175000</v>
      </c>
      <c r="AJ116" s="1182">
        <f>SUM(AI116:AI123)</f>
        <v>112844750</v>
      </c>
      <c r="AK116" s="1060"/>
      <c r="AL116" s="1090"/>
      <c r="AM116" s="1057"/>
      <c r="AN116" s="1086">
        <f>AM116+AJ116+AG116</f>
        <v>194368750</v>
      </c>
      <c r="AO116" s="1087">
        <f>100000*30*3</f>
        <v>9000000</v>
      </c>
      <c r="AP116" s="1136">
        <f>(AI116+AG116)*15%</f>
        <v>26954850</v>
      </c>
      <c r="AQ116" s="1087">
        <f>(AG116+AI116)*1%</f>
        <v>1796990</v>
      </c>
      <c r="AR116" s="1136">
        <f>(AG116+AI116)*5%</f>
        <v>8984950</v>
      </c>
      <c r="AS116" s="1087">
        <f>0.5%*(AG116+AI116)*(3)</f>
        <v>2695485</v>
      </c>
      <c r="AT116" s="1086">
        <f>+AS116+AR116+AQ116+AP116+AO116</f>
        <v>49432275</v>
      </c>
      <c r="AU116" s="1137">
        <f>ROUND(AT116+AN116,-3)</f>
        <v>243801000</v>
      </c>
      <c r="AV116" s="1041"/>
    </row>
    <row r="117" spans="1:48" ht="33" customHeight="1">
      <c r="A117" s="1073"/>
      <c r="B117" s="1038" t="s">
        <v>16</v>
      </c>
      <c r="C117" s="1071" t="s">
        <v>436</v>
      </c>
      <c r="D117" s="1074"/>
      <c r="E117" s="1063"/>
      <c r="F117" s="1138"/>
      <c r="G117" s="1074" t="s">
        <v>16</v>
      </c>
      <c r="H117" s="1074" t="s">
        <v>22</v>
      </c>
      <c r="I117" s="1127"/>
      <c r="J117" s="1128"/>
      <c r="K117" s="1067"/>
      <c r="L117" s="1139"/>
      <c r="M117" s="1130"/>
      <c r="N117" s="1074" t="s">
        <v>435</v>
      </c>
      <c r="O117" s="1131" t="s">
        <v>434</v>
      </c>
      <c r="P117" s="1132">
        <v>2</v>
      </c>
      <c r="Q117" s="1213">
        <v>75.150000000000006</v>
      </c>
      <c r="R117" s="1038"/>
      <c r="S117" s="1074"/>
      <c r="T117" s="1075"/>
      <c r="U117" s="1091"/>
      <c r="V117" s="1073"/>
      <c r="W117" s="1079"/>
      <c r="X117" s="1078"/>
      <c r="Y117" s="1039"/>
      <c r="Z117" s="1183"/>
      <c r="AA117" s="1074"/>
      <c r="AB117" s="1126"/>
      <c r="AC117" s="1073"/>
      <c r="AD117" s="1084"/>
      <c r="AE117" s="1062"/>
      <c r="AF117" s="1085"/>
      <c r="AG117" s="1086"/>
      <c r="AH117" s="1087">
        <v>210000</v>
      </c>
      <c r="AI117" s="1087">
        <f>AH117*Q117*0.5</f>
        <v>7890750.0000000009</v>
      </c>
      <c r="AJ117" s="1088"/>
      <c r="AK117" s="1089"/>
      <c r="AL117" s="1090"/>
      <c r="AM117" s="1086"/>
      <c r="AN117" s="1086"/>
      <c r="AO117" s="1087"/>
      <c r="AP117" s="1076"/>
      <c r="AQ117" s="1087"/>
      <c r="AR117" s="1076"/>
      <c r="AS117" s="1076"/>
      <c r="AT117" s="1086"/>
      <c r="AU117" s="1088"/>
      <c r="AV117" s="1067"/>
    </row>
    <row r="118" spans="1:48" ht="16.5" customHeight="1">
      <c r="A118" s="1073"/>
      <c r="B118" s="1038" t="s">
        <v>18</v>
      </c>
      <c r="C118" s="1039" t="s">
        <v>124</v>
      </c>
      <c r="D118" s="1074"/>
      <c r="E118" s="1074"/>
      <c r="F118" s="1138"/>
      <c r="G118" s="1074" t="s">
        <v>18</v>
      </c>
      <c r="H118" s="1074" t="s">
        <v>19</v>
      </c>
      <c r="I118" s="1127"/>
      <c r="J118" s="1128"/>
      <c r="K118" s="1067"/>
      <c r="L118" s="1139"/>
      <c r="M118" s="1130"/>
      <c r="N118" s="1074" t="s">
        <v>433</v>
      </c>
      <c r="O118" s="1131" t="s">
        <v>21</v>
      </c>
      <c r="P118" s="1132">
        <v>1</v>
      </c>
      <c r="Q118" s="1213">
        <v>23.3</v>
      </c>
      <c r="R118" s="1038"/>
      <c r="S118" s="1074"/>
      <c r="T118" s="1069"/>
      <c r="U118" s="1184"/>
      <c r="V118" s="1185"/>
      <c r="W118" s="1079"/>
      <c r="X118" s="1078"/>
      <c r="Y118" s="1039"/>
      <c r="Z118" s="1183"/>
      <c r="AA118" s="1074"/>
      <c r="AB118" s="1126"/>
      <c r="AC118" s="1073"/>
      <c r="AD118" s="1084"/>
      <c r="AE118" s="1062"/>
      <c r="AF118" s="1085"/>
      <c r="AG118" s="1086"/>
      <c r="AH118" s="1087">
        <v>200000</v>
      </c>
      <c r="AI118" s="1087">
        <f>AH118*Q118*0.65</f>
        <v>3029000</v>
      </c>
      <c r="AJ118" s="1088"/>
      <c r="AK118" s="1089"/>
      <c r="AL118" s="1090"/>
      <c r="AM118" s="1086"/>
      <c r="AN118" s="1086"/>
      <c r="AO118" s="1087"/>
      <c r="AP118" s="1076"/>
      <c r="AQ118" s="1087"/>
      <c r="AR118" s="1076"/>
      <c r="AS118" s="1076"/>
      <c r="AT118" s="1086"/>
      <c r="AU118" s="1088"/>
      <c r="AV118" s="1067"/>
    </row>
    <row r="119" spans="1:48" ht="49.5" customHeight="1">
      <c r="A119" s="1073"/>
      <c r="B119" s="1082" t="s">
        <v>12</v>
      </c>
      <c r="C119" s="1083" t="s">
        <v>432</v>
      </c>
      <c r="D119" s="1074"/>
      <c r="E119" s="1126"/>
      <c r="F119" s="1138"/>
      <c r="G119" s="1074"/>
      <c r="H119" s="1077"/>
      <c r="I119" s="1127"/>
      <c r="J119" s="1128"/>
      <c r="K119" s="1067"/>
      <c r="L119" s="1139"/>
      <c r="M119" s="1130"/>
      <c r="N119" s="1074" t="s">
        <v>431</v>
      </c>
      <c r="O119" s="1131" t="s">
        <v>17</v>
      </c>
      <c r="P119" s="1225">
        <v>1</v>
      </c>
      <c r="Q119" s="1133"/>
      <c r="R119" s="1038"/>
      <c r="S119" s="1074"/>
      <c r="T119" s="1069"/>
      <c r="U119" s="1184"/>
      <c r="V119" s="1185"/>
      <c r="W119" s="1079"/>
      <c r="X119" s="1078"/>
      <c r="Y119" s="1039"/>
      <c r="Z119" s="1183"/>
      <c r="AA119" s="1074"/>
      <c r="AB119" s="1126"/>
      <c r="AC119" s="1073"/>
      <c r="AD119" s="1084"/>
      <c r="AE119" s="1062"/>
      <c r="AF119" s="1085"/>
      <c r="AG119" s="1086"/>
      <c r="AH119" s="1087">
        <v>2500000</v>
      </c>
      <c r="AI119" s="1087">
        <f>AH119*P119*0.5</f>
        <v>1250000</v>
      </c>
      <c r="AJ119" s="1088"/>
      <c r="AK119" s="1089"/>
      <c r="AL119" s="1090"/>
      <c r="AM119" s="1086"/>
      <c r="AN119" s="1086"/>
      <c r="AO119" s="1087"/>
      <c r="AP119" s="1076"/>
      <c r="AQ119" s="1087"/>
      <c r="AR119" s="1076"/>
      <c r="AS119" s="1076"/>
      <c r="AT119" s="1086"/>
      <c r="AU119" s="1088"/>
      <c r="AV119" s="1067"/>
    </row>
    <row r="120" spans="1:48" ht="16.5" customHeight="1">
      <c r="A120" s="1073"/>
      <c r="B120" s="1082" t="s">
        <v>8</v>
      </c>
      <c r="C120" s="1083" t="s">
        <v>430</v>
      </c>
      <c r="D120" s="1074"/>
      <c r="E120" s="1126"/>
      <c r="F120" s="1138"/>
      <c r="G120" s="1074"/>
      <c r="H120" s="1077"/>
      <c r="I120" s="1127"/>
      <c r="J120" s="1128"/>
      <c r="K120" s="1067"/>
      <c r="L120" s="1139"/>
      <c r="M120" s="1130"/>
      <c r="N120" s="1074" t="s">
        <v>429</v>
      </c>
      <c r="O120" s="1131" t="s">
        <v>11</v>
      </c>
      <c r="P120" s="1132">
        <v>1</v>
      </c>
      <c r="Q120" s="1133"/>
      <c r="R120" s="1038"/>
      <c r="S120" s="1074"/>
      <c r="T120" s="1069"/>
      <c r="U120" s="1184"/>
      <c r="V120" s="1185"/>
      <c r="W120" s="1079"/>
      <c r="X120" s="1078"/>
      <c r="Y120" s="1039"/>
      <c r="Z120" s="1183"/>
      <c r="AA120" s="1074"/>
      <c r="AB120" s="1126"/>
      <c r="AC120" s="1073"/>
      <c r="AD120" s="1084"/>
      <c r="AE120" s="1062"/>
      <c r="AF120" s="1085"/>
      <c r="AG120" s="1086"/>
      <c r="AH120" s="1085">
        <v>2500000</v>
      </c>
      <c r="AI120" s="1087">
        <f>AH120*P120*0.75</f>
        <v>1875000</v>
      </c>
      <c r="AJ120" s="1088"/>
      <c r="AK120" s="1089"/>
      <c r="AL120" s="1090"/>
      <c r="AM120" s="1086"/>
      <c r="AN120" s="1086"/>
      <c r="AO120" s="1087"/>
      <c r="AP120" s="1076"/>
      <c r="AQ120" s="1087"/>
      <c r="AR120" s="1076"/>
      <c r="AS120" s="1076"/>
      <c r="AT120" s="1086"/>
      <c r="AU120" s="1088"/>
      <c r="AV120" s="1067"/>
    </row>
    <row r="121" spans="1:48" ht="16.5" customHeight="1">
      <c r="A121" s="1073"/>
      <c r="B121" s="1082"/>
      <c r="C121" s="1083"/>
      <c r="D121" s="1074"/>
      <c r="E121" s="1126"/>
      <c r="F121" s="1138"/>
      <c r="G121" s="1074"/>
      <c r="H121" s="1077"/>
      <c r="I121" s="1127"/>
      <c r="J121" s="1128"/>
      <c r="K121" s="1067"/>
      <c r="L121" s="1139"/>
      <c r="M121" s="1130"/>
      <c r="N121" s="1074" t="s">
        <v>428</v>
      </c>
      <c r="O121" s="1131" t="s">
        <v>120</v>
      </c>
      <c r="P121" s="1075"/>
      <c r="Q121" s="1133">
        <v>0.8</v>
      </c>
      <c r="R121" s="1038"/>
      <c r="S121" s="1074"/>
      <c r="T121" s="1069"/>
      <c r="U121" s="1184"/>
      <c r="V121" s="1185"/>
      <c r="W121" s="1079"/>
      <c r="X121" s="1078"/>
      <c r="Y121" s="1039"/>
      <c r="Z121" s="1183"/>
      <c r="AA121" s="1074"/>
      <c r="AB121" s="1126"/>
      <c r="AC121" s="1073"/>
      <c r="AD121" s="1084"/>
      <c r="AE121" s="1062"/>
      <c r="AF121" s="1085"/>
      <c r="AG121" s="1086"/>
      <c r="AH121" s="1087">
        <v>200000</v>
      </c>
      <c r="AI121" s="1087">
        <f>AH121*Q121*0.5</f>
        <v>80000</v>
      </c>
      <c r="AJ121" s="1088"/>
      <c r="AK121" s="1089"/>
      <c r="AL121" s="1090"/>
      <c r="AM121" s="1086"/>
      <c r="AN121" s="1086"/>
      <c r="AO121" s="1087"/>
      <c r="AP121" s="1076"/>
      <c r="AQ121" s="1087"/>
      <c r="AR121" s="1076"/>
      <c r="AS121" s="1076"/>
      <c r="AT121" s="1086"/>
      <c r="AU121" s="1088"/>
      <c r="AV121" s="1067"/>
    </row>
    <row r="122" spans="1:48" ht="16.5" customHeight="1">
      <c r="A122" s="1073"/>
      <c r="B122" s="1082"/>
      <c r="C122" s="1083"/>
      <c r="D122" s="1074"/>
      <c r="E122" s="1126"/>
      <c r="F122" s="1138"/>
      <c r="G122" s="1074"/>
      <c r="H122" s="1077"/>
      <c r="I122" s="1127"/>
      <c r="J122" s="1128"/>
      <c r="K122" s="1067"/>
      <c r="L122" s="1139"/>
      <c r="M122" s="1130"/>
      <c r="N122" s="1038" t="s">
        <v>427</v>
      </c>
      <c r="O122" s="1131" t="s">
        <v>184</v>
      </c>
      <c r="P122" s="1075"/>
      <c r="Q122" s="1226">
        <v>10.9</v>
      </c>
      <c r="R122" s="1038"/>
      <c r="S122" s="1074"/>
      <c r="T122" s="1069"/>
      <c r="U122" s="1184"/>
      <c r="V122" s="1185"/>
      <c r="W122" s="1079"/>
      <c r="X122" s="1078"/>
      <c r="Y122" s="1039"/>
      <c r="Z122" s="1183"/>
      <c r="AA122" s="1074"/>
      <c r="AB122" s="1126"/>
      <c r="AC122" s="1073"/>
      <c r="AD122" s="1084"/>
      <c r="AE122" s="1062"/>
      <c r="AF122" s="1085"/>
      <c r="AG122" s="1086"/>
      <c r="AH122" s="1087">
        <v>100000</v>
      </c>
      <c r="AI122" s="1087">
        <f>AH122*Q122*0.5</f>
        <v>545000</v>
      </c>
      <c r="AJ122" s="1088"/>
      <c r="AK122" s="1089"/>
      <c r="AL122" s="1090"/>
      <c r="AM122" s="1086"/>
      <c r="AN122" s="1086"/>
      <c r="AO122" s="1087"/>
      <c r="AP122" s="1076"/>
      <c r="AQ122" s="1087"/>
      <c r="AR122" s="1076"/>
      <c r="AS122" s="1076"/>
      <c r="AT122" s="1086"/>
      <c r="AU122" s="1088"/>
      <c r="AV122" s="1067"/>
    </row>
    <row r="123" spans="1:48" ht="16.5" customHeight="1">
      <c r="A123" s="1107"/>
      <c r="B123" s="1098"/>
      <c r="C123" s="1148"/>
      <c r="D123" s="1094"/>
      <c r="E123" s="1227"/>
      <c r="F123" s="1150"/>
      <c r="G123" s="1094"/>
      <c r="H123" s="1151"/>
      <c r="I123" s="1152"/>
      <c r="J123" s="1153"/>
      <c r="K123" s="1101"/>
      <c r="L123" s="1154"/>
      <c r="M123" s="1155"/>
      <c r="N123" s="1094"/>
      <c r="O123" s="1156"/>
      <c r="P123" s="1107"/>
      <c r="Q123" s="1151"/>
      <c r="R123" s="1095"/>
      <c r="S123" s="1094"/>
      <c r="T123" s="1103"/>
      <c r="U123" s="1188"/>
      <c r="V123" s="1189"/>
      <c r="W123" s="1111"/>
      <c r="X123" s="1110"/>
      <c r="Y123" s="1096"/>
      <c r="Z123" s="1166"/>
      <c r="AA123" s="1094"/>
      <c r="AB123" s="1156"/>
      <c r="AC123" s="1107"/>
      <c r="AD123" s="1114"/>
      <c r="AE123" s="1093"/>
      <c r="AF123" s="1115"/>
      <c r="AG123" s="1116"/>
      <c r="AH123" s="1117"/>
      <c r="AI123" s="1117"/>
      <c r="AJ123" s="1118"/>
      <c r="AK123" s="1119"/>
      <c r="AL123" s="1120"/>
      <c r="AM123" s="1116"/>
      <c r="AN123" s="1116"/>
      <c r="AO123" s="1117"/>
      <c r="AP123" s="1108"/>
      <c r="AQ123" s="1117"/>
      <c r="AR123" s="1108"/>
      <c r="AS123" s="1108"/>
      <c r="AT123" s="1116"/>
      <c r="AU123" s="1118"/>
      <c r="AV123" s="1101"/>
    </row>
    <row r="124" spans="1:48" ht="16.5" customHeight="1">
      <c r="A124" s="1121">
        <v>11</v>
      </c>
      <c r="B124" s="1122" t="s">
        <v>25</v>
      </c>
      <c r="C124" s="1039" t="s">
        <v>426</v>
      </c>
      <c r="D124" s="1123"/>
      <c r="E124" s="1074"/>
      <c r="F124" s="1124" t="s">
        <v>425</v>
      </c>
      <c r="G124" s="1125" t="s">
        <v>25</v>
      </c>
      <c r="H124" s="1126" t="s">
        <v>29</v>
      </c>
      <c r="I124" s="1127">
        <v>298.13499999999999</v>
      </c>
      <c r="J124" s="1128" t="s">
        <v>41</v>
      </c>
      <c r="K124" s="1067" t="s">
        <v>424</v>
      </c>
      <c r="L124" s="1139" t="s">
        <v>46</v>
      </c>
      <c r="M124" s="1130"/>
      <c r="N124" s="1123"/>
      <c r="O124" s="1123" t="s">
        <v>423</v>
      </c>
      <c r="P124" s="1132"/>
      <c r="Q124" s="1133"/>
      <c r="R124" s="1122" t="s">
        <v>25</v>
      </c>
      <c r="S124" s="1074" t="s">
        <v>24</v>
      </c>
      <c r="T124" s="1075"/>
      <c r="U124" s="1091"/>
      <c r="V124" s="1073"/>
      <c r="W124" s="1079"/>
      <c r="X124" s="1078"/>
      <c r="Y124" s="1039"/>
      <c r="Z124" s="1134"/>
      <c r="AA124" s="1123"/>
      <c r="AB124" s="1126"/>
      <c r="AC124" s="1073"/>
      <c r="AD124" s="1084"/>
      <c r="AE124" s="1062"/>
      <c r="AF124" s="1085">
        <f>+Resum!F4</f>
        <v>204000</v>
      </c>
      <c r="AG124" s="1086">
        <f>AF124*I124</f>
        <v>60819540</v>
      </c>
      <c r="AH124" s="1087"/>
      <c r="AI124" s="1087"/>
      <c r="AJ124" s="1135">
        <f>SUM(AI124:AI128)</f>
        <v>33045000</v>
      </c>
      <c r="AK124" s="1089"/>
      <c r="AL124" s="1090"/>
      <c r="AM124" s="1057">
        <f>SUM(AL126:AL135)</f>
        <v>1858835</v>
      </c>
      <c r="AN124" s="1086">
        <f>AM124+AJ124+AG124</f>
        <v>95723375</v>
      </c>
      <c r="AO124" s="1087"/>
      <c r="AP124" s="1136">
        <f>(AI125+AG124)*15%</f>
        <v>13606431</v>
      </c>
      <c r="AQ124" s="1087">
        <f>(AG124+AI125)*1%</f>
        <v>907095.4</v>
      </c>
      <c r="AR124" s="1136">
        <f>(AG124+AI125)*5%</f>
        <v>4535477</v>
      </c>
      <c r="AS124" s="1087">
        <f>0.5%*(AG124+AI125)*(3)</f>
        <v>1360643.1</v>
      </c>
      <c r="AT124" s="1086">
        <f>+AS124+AR124+AQ124+AP124+AO124</f>
        <v>20409646.5</v>
      </c>
      <c r="AU124" s="1137">
        <f>ROUND(AT124+AN124,-3)</f>
        <v>116133000</v>
      </c>
      <c r="AV124" s="1041"/>
    </row>
    <row r="125" spans="1:48" ht="16.5" customHeight="1">
      <c r="A125" s="1073"/>
      <c r="B125" s="1038" t="s">
        <v>16</v>
      </c>
      <c r="C125" s="1071" t="s">
        <v>422</v>
      </c>
      <c r="D125" s="1074"/>
      <c r="E125" s="1063"/>
      <c r="F125" s="1138"/>
      <c r="G125" s="1074" t="s">
        <v>16</v>
      </c>
      <c r="H125" s="1074" t="s">
        <v>22</v>
      </c>
      <c r="I125" s="1127"/>
      <c r="J125" s="1128"/>
      <c r="K125" s="1067"/>
      <c r="L125" s="1139"/>
      <c r="M125" s="1130"/>
      <c r="N125" s="1074" t="s">
        <v>25</v>
      </c>
      <c r="O125" s="1131" t="s">
        <v>26</v>
      </c>
      <c r="P125" s="1132">
        <v>1</v>
      </c>
      <c r="Q125" s="1133">
        <v>98</v>
      </c>
      <c r="R125" s="1038"/>
      <c r="S125" s="1074"/>
      <c r="T125" s="1075"/>
      <c r="U125" s="1091"/>
      <c r="V125" s="1073"/>
      <c r="W125" s="1079"/>
      <c r="X125" s="1078"/>
      <c r="Y125" s="1039"/>
      <c r="Z125" s="1183"/>
      <c r="AA125" s="1074"/>
      <c r="AB125" s="1126"/>
      <c r="AC125" s="1073"/>
      <c r="AD125" s="1084"/>
      <c r="AE125" s="1062"/>
      <c r="AF125" s="1085"/>
      <c r="AG125" s="1086"/>
      <c r="AH125" s="1087">
        <v>610000</v>
      </c>
      <c r="AI125" s="1087">
        <f>AH125*Q125*0.5</f>
        <v>29890000</v>
      </c>
      <c r="AJ125" s="1088"/>
      <c r="AK125" s="1089"/>
      <c r="AL125" s="1090"/>
      <c r="AM125" s="1086"/>
      <c r="AN125" s="1086"/>
      <c r="AO125" s="1087"/>
      <c r="AP125" s="1076"/>
      <c r="AQ125" s="1087"/>
      <c r="AR125" s="1076"/>
      <c r="AS125" s="1076"/>
      <c r="AT125" s="1086"/>
      <c r="AU125" s="1088"/>
      <c r="AV125" s="1067"/>
    </row>
    <row r="126" spans="1:48" ht="16.5" customHeight="1">
      <c r="A126" s="1073"/>
      <c r="B126" s="1038" t="s">
        <v>18</v>
      </c>
      <c r="C126" s="1039" t="s">
        <v>60</v>
      </c>
      <c r="D126" s="1074"/>
      <c r="E126" s="1074"/>
      <c r="F126" s="1138"/>
      <c r="G126" s="1074" t="s">
        <v>18</v>
      </c>
      <c r="H126" s="1074" t="s">
        <v>19</v>
      </c>
      <c r="I126" s="1127"/>
      <c r="J126" s="1128"/>
      <c r="K126" s="1067"/>
      <c r="L126" s="1139"/>
      <c r="M126" s="1130"/>
      <c r="N126" s="1074" t="s">
        <v>16</v>
      </c>
      <c r="O126" s="1131" t="s">
        <v>21</v>
      </c>
      <c r="P126" s="1132">
        <v>1</v>
      </c>
      <c r="Q126" s="1133">
        <v>10.5</v>
      </c>
      <c r="R126" s="1038" t="s">
        <v>16</v>
      </c>
      <c r="S126" s="1074" t="s">
        <v>15</v>
      </c>
      <c r="T126" s="1080">
        <v>7</v>
      </c>
      <c r="U126" s="1184">
        <v>1</v>
      </c>
      <c r="V126" s="1185" t="s">
        <v>14</v>
      </c>
      <c r="W126" s="1140">
        <v>2</v>
      </c>
      <c r="X126" s="1141">
        <v>0</v>
      </c>
      <c r="Y126" s="1142">
        <v>0</v>
      </c>
      <c r="Z126" s="1143">
        <f t="shared" ref="Z126:Z132" si="15">SUM(W126:Y126)</f>
        <v>2</v>
      </c>
      <c r="AA126" s="1074"/>
      <c r="AB126" s="1126"/>
      <c r="AC126" s="1073"/>
      <c r="AD126" s="1084"/>
      <c r="AE126" s="1062"/>
      <c r="AF126" s="1085"/>
      <c r="AG126" s="1086"/>
      <c r="AH126" s="1087">
        <v>100000</v>
      </c>
      <c r="AI126" s="1087">
        <f>AH126*P126*0.3</f>
        <v>30000</v>
      </c>
      <c r="AJ126" s="1088"/>
      <c r="AK126" s="1089">
        <v>350000</v>
      </c>
      <c r="AL126" s="1087">
        <f t="shared" si="13"/>
        <v>700000</v>
      </c>
      <c r="AM126" s="1086"/>
      <c r="AN126" s="1086"/>
      <c r="AO126" s="1087"/>
      <c r="AP126" s="1076"/>
      <c r="AQ126" s="1087"/>
      <c r="AR126" s="1076"/>
      <c r="AS126" s="1076"/>
      <c r="AT126" s="1086"/>
      <c r="AU126" s="1088"/>
      <c r="AV126" s="1067"/>
    </row>
    <row r="127" spans="1:48" ht="49.5" customHeight="1">
      <c r="A127" s="1073"/>
      <c r="B127" s="1082" t="s">
        <v>12</v>
      </c>
      <c r="C127" s="1083" t="s">
        <v>98</v>
      </c>
      <c r="D127" s="1074"/>
      <c r="E127" s="1126"/>
      <c r="F127" s="1138"/>
      <c r="G127" s="1074"/>
      <c r="H127" s="1077"/>
      <c r="I127" s="1127"/>
      <c r="J127" s="1128"/>
      <c r="K127" s="1067"/>
      <c r="L127" s="1139"/>
      <c r="M127" s="1130"/>
      <c r="N127" s="1074" t="s">
        <v>18</v>
      </c>
      <c r="O127" s="1131" t="s">
        <v>17</v>
      </c>
      <c r="P127" s="1132">
        <v>1</v>
      </c>
      <c r="Q127" s="1133"/>
      <c r="R127" s="1038"/>
      <c r="S127" s="1074"/>
      <c r="T127" s="1080"/>
      <c r="U127" s="1091">
        <v>2</v>
      </c>
      <c r="V127" s="1073" t="s">
        <v>268</v>
      </c>
      <c r="W127" s="1140">
        <v>0</v>
      </c>
      <c r="X127" s="1141">
        <v>5</v>
      </c>
      <c r="Y127" s="1142">
        <v>0</v>
      </c>
      <c r="Z127" s="1143">
        <f t="shared" si="15"/>
        <v>5</v>
      </c>
      <c r="AA127" s="1074"/>
      <c r="AB127" s="1063"/>
      <c r="AC127" s="1075"/>
      <c r="AD127" s="1084"/>
      <c r="AE127" s="1062"/>
      <c r="AF127" s="1085"/>
      <c r="AG127" s="1086"/>
      <c r="AH127" s="1087">
        <v>2500000</v>
      </c>
      <c r="AI127" s="1087">
        <f>AH127*P127*0.5</f>
        <v>1250000</v>
      </c>
      <c r="AJ127" s="1088"/>
      <c r="AK127" s="1089">
        <v>132000</v>
      </c>
      <c r="AL127" s="1090">
        <f>AK127*X127</f>
        <v>660000</v>
      </c>
      <c r="AM127" s="1086"/>
      <c r="AN127" s="1086"/>
      <c r="AO127" s="1087"/>
      <c r="AP127" s="1076"/>
      <c r="AQ127" s="1087"/>
      <c r="AR127" s="1076"/>
      <c r="AS127" s="1076"/>
      <c r="AT127" s="1086"/>
      <c r="AU127" s="1088"/>
      <c r="AV127" s="1067"/>
    </row>
    <row r="128" spans="1:48" ht="16.5" customHeight="1">
      <c r="A128" s="1073"/>
      <c r="B128" s="1082" t="s">
        <v>8</v>
      </c>
      <c r="C128" s="1083" t="s">
        <v>421</v>
      </c>
      <c r="D128" s="1074"/>
      <c r="E128" s="1126"/>
      <c r="F128" s="1138"/>
      <c r="G128" s="1074"/>
      <c r="H128" s="1077"/>
      <c r="I128" s="1127"/>
      <c r="J128" s="1128"/>
      <c r="K128" s="1067"/>
      <c r="L128" s="1139"/>
      <c r="M128" s="1130"/>
      <c r="N128" s="1074" t="s">
        <v>12</v>
      </c>
      <c r="O128" s="1131" t="s">
        <v>11</v>
      </c>
      <c r="P128" s="1132">
        <v>1</v>
      </c>
      <c r="Q128" s="1133"/>
      <c r="R128" s="1038"/>
      <c r="S128" s="1074"/>
      <c r="T128" s="1080"/>
      <c r="U128" s="1184">
        <v>3</v>
      </c>
      <c r="V128" s="1073" t="s">
        <v>48</v>
      </c>
      <c r="W128" s="1140">
        <v>5</v>
      </c>
      <c r="X128" s="1141"/>
      <c r="Y128" s="1142">
        <v>0</v>
      </c>
      <c r="Z128" s="1143">
        <f t="shared" si="15"/>
        <v>5</v>
      </c>
      <c r="AA128" s="1074"/>
      <c r="AB128" s="1063"/>
      <c r="AC128" s="1075"/>
      <c r="AD128" s="1084"/>
      <c r="AE128" s="1062"/>
      <c r="AF128" s="1085"/>
      <c r="AG128" s="1086"/>
      <c r="AH128" s="1087">
        <v>2500000</v>
      </c>
      <c r="AI128" s="1087">
        <f>AH128*P128*0.75</f>
        <v>1875000</v>
      </c>
      <c r="AJ128" s="1088"/>
      <c r="AK128" s="1089">
        <v>15000</v>
      </c>
      <c r="AL128" s="1090">
        <f t="shared" si="13"/>
        <v>75000</v>
      </c>
      <c r="AM128" s="1086"/>
      <c r="AN128" s="1086"/>
      <c r="AO128" s="1087"/>
      <c r="AP128" s="1076"/>
      <c r="AQ128" s="1087"/>
      <c r="AR128" s="1076"/>
      <c r="AS128" s="1076"/>
      <c r="AT128" s="1086"/>
      <c r="AU128" s="1088"/>
      <c r="AV128" s="1067"/>
    </row>
    <row r="129" spans="1:48" ht="16.5" customHeight="1">
      <c r="A129" s="1073"/>
      <c r="B129" s="1082"/>
      <c r="C129" s="1083"/>
      <c r="D129" s="1074"/>
      <c r="E129" s="1126"/>
      <c r="F129" s="1138"/>
      <c r="G129" s="1074"/>
      <c r="H129" s="1077"/>
      <c r="I129" s="1127"/>
      <c r="J129" s="1128"/>
      <c r="K129" s="1067"/>
      <c r="L129" s="1139"/>
      <c r="M129" s="1130"/>
      <c r="N129" s="1074"/>
      <c r="O129" s="1131"/>
      <c r="P129" s="1132"/>
      <c r="Q129" s="1133"/>
      <c r="R129" s="1038"/>
      <c r="S129" s="1074"/>
      <c r="T129" s="1080"/>
      <c r="U129" s="1184"/>
      <c r="V129" s="1073" t="s">
        <v>48</v>
      </c>
      <c r="W129" s="1140"/>
      <c r="X129" s="1141">
        <v>25</v>
      </c>
      <c r="Y129" s="1142">
        <v>0</v>
      </c>
      <c r="Z129" s="1143">
        <f t="shared" si="15"/>
        <v>25</v>
      </c>
      <c r="AA129" s="1074"/>
      <c r="AB129" s="1063"/>
      <c r="AC129" s="1075"/>
      <c r="AD129" s="1084"/>
      <c r="AE129" s="1062"/>
      <c r="AF129" s="1085"/>
      <c r="AG129" s="1086"/>
      <c r="AH129" s="1087"/>
      <c r="AI129" s="1087"/>
      <c r="AJ129" s="1088"/>
      <c r="AK129" s="1089">
        <v>10000</v>
      </c>
      <c r="AL129" s="1090">
        <f>AK129*X129</f>
        <v>250000</v>
      </c>
      <c r="AM129" s="1086"/>
      <c r="AN129" s="1086"/>
      <c r="AO129" s="1087"/>
      <c r="AP129" s="1076"/>
      <c r="AQ129" s="1087"/>
      <c r="AR129" s="1076"/>
      <c r="AS129" s="1076"/>
      <c r="AT129" s="1086"/>
      <c r="AU129" s="1088"/>
      <c r="AV129" s="1067"/>
    </row>
    <row r="130" spans="1:48" ht="16.5" customHeight="1">
      <c r="A130" s="1073"/>
      <c r="B130" s="1082"/>
      <c r="C130" s="1083"/>
      <c r="D130" s="1074"/>
      <c r="E130" s="1126"/>
      <c r="F130" s="1138"/>
      <c r="G130" s="1074"/>
      <c r="H130" s="1077"/>
      <c r="I130" s="1127"/>
      <c r="J130" s="1128"/>
      <c r="K130" s="1067"/>
      <c r="L130" s="1139"/>
      <c r="M130" s="1130"/>
      <c r="N130" s="1074"/>
      <c r="O130" s="1131" t="s">
        <v>420</v>
      </c>
      <c r="P130" s="1132"/>
      <c r="Q130" s="1133"/>
      <c r="R130" s="1038"/>
      <c r="S130" s="1074"/>
      <c r="T130" s="1080"/>
      <c r="U130" s="1091">
        <v>4</v>
      </c>
      <c r="V130" s="1073" t="s">
        <v>2</v>
      </c>
      <c r="W130" s="1140">
        <v>0</v>
      </c>
      <c r="X130" s="1141">
        <v>30</v>
      </c>
      <c r="Y130" s="1142">
        <v>0</v>
      </c>
      <c r="Z130" s="1143">
        <f t="shared" si="15"/>
        <v>30</v>
      </c>
      <c r="AA130" s="1074"/>
      <c r="AB130" s="1063"/>
      <c r="AC130" s="1075"/>
      <c r="AD130" s="1084"/>
      <c r="AE130" s="1062"/>
      <c r="AF130" s="1085"/>
      <c r="AG130" s="1086"/>
      <c r="AH130" s="1087"/>
      <c r="AI130" s="1087"/>
      <c r="AJ130" s="1088"/>
      <c r="AK130" s="1089">
        <v>6650</v>
      </c>
      <c r="AL130" s="1090">
        <f>AK130*X131</f>
        <v>39900</v>
      </c>
      <c r="AM130" s="1086"/>
      <c r="AN130" s="1086"/>
      <c r="AO130" s="1087"/>
      <c r="AP130" s="1076"/>
      <c r="AQ130" s="1087"/>
      <c r="AR130" s="1076"/>
      <c r="AS130" s="1076"/>
      <c r="AT130" s="1086"/>
      <c r="AU130" s="1088"/>
      <c r="AV130" s="1067"/>
    </row>
    <row r="131" spans="1:48">
      <c r="A131" s="1073"/>
      <c r="B131" s="1082"/>
      <c r="C131" s="1083"/>
      <c r="D131" s="1074"/>
      <c r="E131" s="1126"/>
      <c r="F131" s="1138"/>
      <c r="G131" s="1074"/>
      <c r="H131" s="1077"/>
      <c r="I131" s="1127"/>
      <c r="J131" s="1128"/>
      <c r="K131" s="1067"/>
      <c r="L131" s="1139"/>
      <c r="M131" s="1130"/>
      <c r="N131" s="1074" t="s">
        <v>25</v>
      </c>
      <c r="O131" s="1131" t="s">
        <v>17</v>
      </c>
      <c r="P131" s="1132">
        <v>1</v>
      </c>
      <c r="Q131" s="1133"/>
      <c r="R131" s="1038"/>
      <c r="S131" s="1074"/>
      <c r="T131" s="1080"/>
      <c r="U131" s="1184">
        <v>5</v>
      </c>
      <c r="V131" s="1073" t="s">
        <v>419</v>
      </c>
      <c r="W131" s="1140">
        <v>0</v>
      </c>
      <c r="X131" s="1141">
        <v>6</v>
      </c>
      <c r="Y131" s="1142">
        <v>0</v>
      </c>
      <c r="Z131" s="1143">
        <f t="shared" si="15"/>
        <v>6</v>
      </c>
      <c r="AA131" s="1074"/>
      <c r="AB131" s="1063"/>
      <c r="AC131" s="1075"/>
      <c r="AD131" s="1084"/>
      <c r="AE131" s="1062"/>
      <c r="AF131" s="1085"/>
      <c r="AG131" s="1086"/>
      <c r="AH131" s="1087"/>
      <c r="AI131" s="1087"/>
      <c r="AJ131" s="1088"/>
      <c r="AK131" s="1089">
        <v>10000</v>
      </c>
      <c r="AL131" s="1090">
        <f>AK131*X131</f>
        <v>60000</v>
      </c>
      <c r="AM131" s="1086"/>
      <c r="AN131" s="1086"/>
      <c r="AO131" s="1087"/>
      <c r="AP131" s="1076"/>
      <c r="AQ131" s="1087"/>
      <c r="AR131" s="1076"/>
      <c r="AS131" s="1076"/>
      <c r="AT131" s="1086"/>
      <c r="AU131" s="1088"/>
      <c r="AV131" s="1067"/>
    </row>
    <row r="132" spans="1:48" ht="16.5" customHeight="1">
      <c r="A132" s="1073"/>
      <c r="B132" s="1082"/>
      <c r="C132" s="1083"/>
      <c r="D132" s="1074"/>
      <c r="E132" s="1126"/>
      <c r="F132" s="1138"/>
      <c r="G132" s="1074"/>
      <c r="H132" s="1077"/>
      <c r="I132" s="1127"/>
      <c r="J132" s="1128"/>
      <c r="K132" s="1067"/>
      <c r="L132" s="1139"/>
      <c r="M132" s="1130"/>
      <c r="N132" s="1074" t="s">
        <v>16</v>
      </c>
      <c r="O132" s="1131" t="s">
        <v>11</v>
      </c>
      <c r="P132" s="1132">
        <v>1</v>
      </c>
      <c r="Q132" s="1133"/>
      <c r="R132" s="1038"/>
      <c r="S132" s="1074"/>
      <c r="T132" s="1080"/>
      <c r="U132" s="1091">
        <v>6</v>
      </c>
      <c r="V132" s="1073" t="s">
        <v>418</v>
      </c>
      <c r="W132" s="1140">
        <v>0</v>
      </c>
      <c r="X132" s="1141">
        <v>2</v>
      </c>
      <c r="Y132" s="1142">
        <v>0</v>
      </c>
      <c r="Z132" s="1143">
        <f t="shared" si="15"/>
        <v>2</v>
      </c>
      <c r="AA132" s="1074"/>
      <c r="AB132" s="1063"/>
      <c r="AC132" s="1075"/>
      <c r="AD132" s="1084"/>
      <c r="AE132" s="1062"/>
      <c r="AF132" s="1085"/>
      <c r="AG132" s="1086"/>
      <c r="AH132" s="1087"/>
      <c r="AI132" s="1087"/>
      <c r="AJ132" s="1088"/>
      <c r="AK132" s="1089">
        <v>33000</v>
      </c>
      <c r="AL132" s="1090">
        <f>AK132*X132</f>
        <v>66000</v>
      </c>
      <c r="AM132" s="1086"/>
      <c r="AN132" s="1086"/>
      <c r="AO132" s="1087"/>
      <c r="AP132" s="1076"/>
      <c r="AQ132" s="1087"/>
      <c r="AR132" s="1076"/>
      <c r="AS132" s="1076"/>
      <c r="AT132" s="1086"/>
      <c r="AU132" s="1088"/>
      <c r="AV132" s="1067"/>
    </row>
    <row r="133" spans="1:48">
      <c r="A133" s="1073"/>
      <c r="B133" s="1082"/>
      <c r="C133" s="1083"/>
      <c r="D133" s="1074"/>
      <c r="E133" s="1126"/>
      <c r="F133" s="1138"/>
      <c r="G133" s="1074"/>
      <c r="H133" s="1077"/>
      <c r="I133" s="1127"/>
      <c r="J133" s="1128"/>
      <c r="K133" s="1067"/>
      <c r="L133" s="1139"/>
      <c r="M133" s="1130"/>
      <c r="N133" s="1074"/>
      <c r="O133" s="1131"/>
      <c r="P133" s="1132"/>
      <c r="Q133" s="1133"/>
      <c r="R133" s="1038"/>
      <c r="S133" s="1074"/>
      <c r="T133" s="1080"/>
      <c r="U133" s="1184">
        <v>7</v>
      </c>
      <c r="V133" s="1073" t="s">
        <v>133</v>
      </c>
      <c r="W133" s="1140">
        <v>3</v>
      </c>
      <c r="X133" s="1141">
        <v>0</v>
      </c>
      <c r="Y133" s="1039"/>
      <c r="Z133" s="1183"/>
      <c r="AA133" s="1074"/>
      <c r="AB133" s="1063"/>
      <c r="AC133" s="1075"/>
      <c r="AD133" s="1084"/>
      <c r="AE133" s="1062"/>
      <c r="AF133" s="1085"/>
      <c r="AG133" s="1086"/>
      <c r="AH133" s="1087"/>
      <c r="AI133" s="1087"/>
      <c r="AJ133" s="1088"/>
      <c r="AK133" s="1089">
        <v>2645</v>
      </c>
      <c r="AL133" s="1090">
        <f>AK133*W133</f>
        <v>7935</v>
      </c>
      <c r="AM133" s="1086"/>
      <c r="AN133" s="1086"/>
      <c r="AO133" s="1087"/>
      <c r="AP133" s="1076"/>
      <c r="AQ133" s="1087"/>
      <c r="AR133" s="1076"/>
      <c r="AS133" s="1076"/>
      <c r="AT133" s="1086"/>
      <c r="AU133" s="1088"/>
      <c r="AV133" s="1067"/>
    </row>
    <row r="134" spans="1:48" ht="16.5" customHeight="1">
      <c r="A134" s="1073"/>
      <c r="B134" s="1082"/>
      <c r="C134" s="1083"/>
      <c r="D134" s="1074"/>
      <c r="E134" s="1126"/>
      <c r="F134" s="1138"/>
      <c r="G134" s="1074"/>
      <c r="H134" s="1077"/>
      <c r="I134" s="1127"/>
      <c r="J134" s="1128"/>
      <c r="K134" s="1067"/>
      <c r="L134" s="1139"/>
      <c r="M134" s="1130"/>
      <c r="N134" s="1074"/>
      <c r="O134" s="1126"/>
      <c r="P134" s="1192"/>
      <c r="Q134" s="1193"/>
      <c r="R134" s="1038"/>
      <c r="S134" s="1074"/>
      <c r="T134" s="1080"/>
      <c r="U134" s="1091"/>
      <c r="V134" s="1073"/>
      <c r="W134" s="1079"/>
      <c r="X134" s="1078"/>
      <c r="Y134" s="1039"/>
      <c r="Z134" s="1183"/>
      <c r="AA134" s="1074"/>
      <c r="AB134" s="1063"/>
      <c r="AC134" s="1075"/>
      <c r="AD134" s="1084"/>
      <c r="AE134" s="1062"/>
      <c r="AF134" s="1085"/>
      <c r="AG134" s="1086"/>
      <c r="AH134" s="1087"/>
      <c r="AI134" s="1087"/>
      <c r="AJ134" s="1088"/>
      <c r="AK134" s="1089"/>
      <c r="AL134" s="1090"/>
      <c r="AM134" s="1086"/>
      <c r="AN134" s="1086"/>
      <c r="AO134" s="1087"/>
      <c r="AP134" s="1076"/>
      <c r="AQ134" s="1087"/>
      <c r="AR134" s="1076"/>
      <c r="AS134" s="1076"/>
      <c r="AT134" s="1086"/>
      <c r="AU134" s="1088"/>
      <c r="AV134" s="1067"/>
    </row>
    <row r="135" spans="1:48" ht="16.5" customHeight="1">
      <c r="A135" s="1073"/>
      <c r="B135" s="1082"/>
      <c r="C135" s="1083"/>
      <c r="D135" s="1074"/>
      <c r="E135" s="1126"/>
      <c r="F135" s="1138"/>
      <c r="G135" s="1074"/>
      <c r="H135" s="1077"/>
      <c r="I135" s="1127"/>
      <c r="J135" s="1128"/>
      <c r="K135" s="1067"/>
      <c r="L135" s="1139"/>
      <c r="M135" s="1130"/>
      <c r="N135" s="1074"/>
      <c r="O135" s="1126"/>
      <c r="P135" s="1192"/>
      <c r="Q135" s="1193"/>
      <c r="R135" s="1038"/>
      <c r="S135" s="1074"/>
      <c r="T135" s="1080"/>
      <c r="U135" s="1091"/>
      <c r="V135" s="1073"/>
      <c r="W135" s="1079"/>
      <c r="X135" s="1078"/>
      <c r="Y135" s="1039"/>
      <c r="Z135" s="1183"/>
      <c r="AA135" s="1074"/>
      <c r="AB135" s="1063"/>
      <c r="AC135" s="1075"/>
      <c r="AD135" s="1084"/>
      <c r="AE135" s="1062"/>
      <c r="AF135" s="1085"/>
      <c r="AG135" s="1086"/>
      <c r="AH135" s="1087"/>
      <c r="AI135" s="1087"/>
      <c r="AJ135" s="1088"/>
      <c r="AK135" s="1089"/>
      <c r="AL135" s="1090"/>
      <c r="AM135" s="1086"/>
      <c r="AN135" s="1086"/>
      <c r="AO135" s="1087"/>
      <c r="AP135" s="1076"/>
      <c r="AQ135" s="1087"/>
      <c r="AR135" s="1076"/>
      <c r="AS135" s="1076"/>
      <c r="AT135" s="1086"/>
      <c r="AU135" s="1088"/>
      <c r="AV135" s="1067"/>
    </row>
    <row r="136" spans="1:48" ht="16.5" customHeight="1">
      <c r="A136" s="1073"/>
      <c r="B136" s="1082"/>
      <c r="C136" s="1083"/>
      <c r="D136" s="1074"/>
      <c r="E136" s="1126"/>
      <c r="F136" s="1138"/>
      <c r="G136" s="1074"/>
      <c r="H136" s="1077"/>
      <c r="I136" s="1127"/>
      <c r="J136" s="1128"/>
      <c r="K136" s="1067"/>
      <c r="L136" s="1139"/>
      <c r="M136" s="1130"/>
      <c r="N136" s="1095"/>
      <c r="O136" s="1156"/>
      <c r="P136" s="1157"/>
      <c r="Q136" s="1228"/>
      <c r="R136" s="1038"/>
      <c r="S136" s="1074"/>
      <c r="T136" s="1080"/>
      <c r="U136" s="1091"/>
      <c r="V136" s="1073"/>
      <c r="W136" s="1079"/>
      <c r="X136" s="1078"/>
      <c r="Y136" s="1039"/>
      <c r="Z136" s="1183"/>
      <c r="AA136" s="1074"/>
      <c r="AB136" s="1063"/>
      <c r="AC136" s="1075"/>
      <c r="AD136" s="1084"/>
      <c r="AE136" s="1062"/>
      <c r="AF136" s="1085"/>
      <c r="AG136" s="1116"/>
      <c r="AH136" s="1087"/>
      <c r="AI136" s="1117"/>
      <c r="AJ136" s="1088"/>
      <c r="AK136" s="1089"/>
      <c r="AL136" s="1120"/>
      <c r="AM136" s="1086"/>
      <c r="AN136" s="1116"/>
      <c r="AO136" s="1087"/>
      <c r="AP136" s="1108"/>
      <c r="AQ136" s="1117"/>
      <c r="AR136" s="1108"/>
      <c r="AS136" s="1108"/>
      <c r="AT136" s="1116"/>
      <c r="AU136" s="1118"/>
      <c r="AV136" s="1101"/>
    </row>
    <row r="137" spans="1:48" ht="16.5" customHeight="1">
      <c r="A137" s="1169">
        <v>12</v>
      </c>
      <c r="B137" s="1033" t="s">
        <v>25</v>
      </c>
      <c r="C137" s="1036" t="s">
        <v>44</v>
      </c>
      <c r="D137" s="1170"/>
      <c r="E137" s="1034"/>
      <c r="F137" s="1171" t="s">
        <v>417</v>
      </c>
      <c r="G137" s="1172" t="s">
        <v>25</v>
      </c>
      <c r="H137" s="1173" t="s">
        <v>29</v>
      </c>
      <c r="I137" s="1174">
        <v>1624</v>
      </c>
      <c r="J137" s="1175" t="s">
        <v>41</v>
      </c>
      <c r="K137" s="1041" t="s">
        <v>416</v>
      </c>
      <c r="L137" s="1129" t="s">
        <v>46</v>
      </c>
      <c r="M137" s="1176"/>
      <c r="N137" s="1074" t="s">
        <v>25</v>
      </c>
      <c r="O137" s="1131" t="s">
        <v>26</v>
      </c>
      <c r="P137" s="1132">
        <v>1</v>
      </c>
      <c r="Q137" s="1133">
        <v>119.03</v>
      </c>
      <c r="R137" s="1033" t="s">
        <v>25</v>
      </c>
      <c r="S137" s="1034" t="s">
        <v>24</v>
      </c>
      <c r="T137" s="1048">
        <v>2</v>
      </c>
      <c r="U137" s="1180">
        <v>1</v>
      </c>
      <c r="V137" s="1047" t="s">
        <v>415</v>
      </c>
      <c r="W137" s="1200">
        <v>3</v>
      </c>
      <c r="X137" s="1201">
        <v>0</v>
      </c>
      <c r="Y137" s="1202">
        <v>0</v>
      </c>
      <c r="Z137" s="1229"/>
      <c r="AA137" s="1170"/>
      <c r="AB137" s="1173"/>
      <c r="AC137" s="1047"/>
      <c r="AD137" s="1230"/>
      <c r="AE137" s="1032"/>
      <c r="AF137" s="1056">
        <f>Resum!F1</f>
        <v>356000</v>
      </c>
      <c r="AG137" s="1086">
        <f>AF137*I137</f>
        <v>578144000</v>
      </c>
      <c r="AH137" s="1058">
        <v>2530000</v>
      </c>
      <c r="AI137" s="1087">
        <f>AH137*Q137*0.8</f>
        <v>240916720</v>
      </c>
      <c r="AJ137" s="1182">
        <f>SUM(AI137:AI144)</f>
        <v>259622120</v>
      </c>
      <c r="AK137" s="1060"/>
      <c r="AL137" s="1090"/>
      <c r="AM137" s="1057">
        <f>SUM(AL137:AL161)</f>
        <v>14201280</v>
      </c>
      <c r="AN137" s="1086">
        <f>AM137+AJ137+AG137</f>
        <v>851967400</v>
      </c>
      <c r="AO137" s="1058">
        <f>150000*30*3</f>
        <v>13500000</v>
      </c>
      <c r="AP137" s="1136">
        <f>(AI137+127092000)*15%</f>
        <v>55201308</v>
      </c>
      <c r="AQ137" s="1087">
        <f>(AG137+AI137)*1%</f>
        <v>8190607.2000000002</v>
      </c>
      <c r="AR137" s="1136">
        <f>(AG137+AI137)*5%</f>
        <v>40953036</v>
      </c>
      <c r="AS137" s="1087">
        <f>0.5%*(AG137+AI137)*(3)</f>
        <v>12285910.800000001</v>
      </c>
      <c r="AT137" s="1086">
        <f>+AS137+AR137+AQ137+AP137+AO137</f>
        <v>130130862</v>
      </c>
      <c r="AU137" s="1137">
        <f>ROUND(AT137+AN137,-3)</f>
        <v>982098000</v>
      </c>
      <c r="AV137" s="1041"/>
    </row>
    <row r="138" spans="1:48" ht="16.5" customHeight="1">
      <c r="A138" s="1073"/>
      <c r="B138" s="1038" t="s">
        <v>16</v>
      </c>
      <c r="C138" s="1071" t="s">
        <v>39</v>
      </c>
      <c r="D138" s="1074"/>
      <c r="E138" s="1063"/>
      <c r="F138" s="1138"/>
      <c r="G138" s="1074" t="s">
        <v>16</v>
      </c>
      <c r="H138" s="1074" t="s">
        <v>22</v>
      </c>
      <c r="I138" s="1127"/>
      <c r="J138" s="1128"/>
      <c r="K138" s="1067"/>
      <c r="L138" s="1139"/>
      <c r="M138" s="1130"/>
      <c r="N138" s="1074" t="s">
        <v>16</v>
      </c>
      <c r="O138" s="1131" t="s">
        <v>62</v>
      </c>
      <c r="P138" s="1132">
        <v>1</v>
      </c>
      <c r="Q138" s="1133">
        <v>25.2</v>
      </c>
      <c r="R138" s="1038"/>
      <c r="S138" s="1074"/>
      <c r="T138" s="1144"/>
      <c r="U138" s="1091">
        <v>2</v>
      </c>
      <c r="V138" s="1073" t="s">
        <v>56</v>
      </c>
      <c r="W138" s="1140">
        <v>3</v>
      </c>
      <c r="X138" s="1141">
        <v>0</v>
      </c>
      <c r="Y138" s="1142">
        <v>0</v>
      </c>
      <c r="Z138" s="1143"/>
      <c r="AA138" s="1074"/>
      <c r="AB138" s="1126"/>
      <c r="AC138" s="1073"/>
      <c r="AD138" s="1231"/>
      <c r="AE138" s="1062"/>
      <c r="AF138" s="1085"/>
      <c r="AG138" s="1086"/>
      <c r="AH138" s="1087">
        <v>500000</v>
      </c>
      <c r="AI138" s="1087">
        <f>AH138*Q138*0.5</f>
        <v>6300000</v>
      </c>
      <c r="AJ138" s="1088"/>
      <c r="AK138" s="1089">
        <v>40000</v>
      </c>
      <c r="AL138" s="1090">
        <f t="shared" ref="AL138:AL209" si="16">AK138*W138</f>
        <v>120000</v>
      </c>
      <c r="AM138" s="1086"/>
      <c r="AN138" s="1086"/>
      <c r="AO138" s="1087"/>
      <c r="AP138" s="1076"/>
      <c r="AQ138" s="1087"/>
      <c r="AR138" s="1076"/>
      <c r="AS138" s="1076"/>
      <c r="AT138" s="1086"/>
      <c r="AU138" s="1088"/>
      <c r="AV138" s="1067"/>
    </row>
    <row r="139" spans="1:48" ht="16.5" customHeight="1">
      <c r="A139" s="1073"/>
      <c r="B139" s="1038" t="s">
        <v>18</v>
      </c>
      <c r="C139" s="1039" t="s">
        <v>38</v>
      </c>
      <c r="D139" s="1074"/>
      <c r="E139" s="1074"/>
      <c r="F139" s="1138"/>
      <c r="G139" s="1074" t="s">
        <v>18</v>
      </c>
      <c r="H139" s="1074" t="s">
        <v>19</v>
      </c>
      <c r="I139" s="1127"/>
      <c r="J139" s="1128"/>
      <c r="K139" s="1067"/>
      <c r="L139" s="1139"/>
      <c r="M139" s="1130"/>
      <c r="N139" s="1074" t="s">
        <v>18</v>
      </c>
      <c r="O139" s="1131" t="s">
        <v>59</v>
      </c>
      <c r="P139" s="1132">
        <v>1</v>
      </c>
      <c r="Q139" s="1133">
        <v>3.89</v>
      </c>
      <c r="R139" s="1038"/>
      <c r="S139" s="1074"/>
      <c r="T139" s="1075"/>
      <c r="U139" s="1184"/>
      <c r="V139" s="1073"/>
      <c r="W139" s="1140"/>
      <c r="X139" s="1141"/>
      <c r="Y139" s="1142"/>
      <c r="Z139" s="1143"/>
      <c r="AA139" s="1074"/>
      <c r="AB139" s="1126"/>
      <c r="AC139" s="1073"/>
      <c r="AD139" s="1231"/>
      <c r="AE139" s="1062"/>
      <c r="AF139" s="1085"/>
      <c r="AG139" s="1086"/>
      <c r="AH139" s="1087">
        <v>180000</v>
      </c>
      <c r="AI139" s="1087">
        <f>AH139*Q139*0.5</f>
        <v>350100</v>
      </c>
      <c r="AJ139" s="1088"/>
      <c r="AK139" s="1089"/>
      <c r="AL139" s="1090"/>
      <c r="AM139" s="1086"/>
      <c r="AN139" s="1086"/>
      <c r="AO139" s="1087"/>
      <c r="AP139" s="1076"/>
      <c r="AQ139" s="1087"/>
      <c r="AR139" s="1076"/>
      <c r="AS139" s="1076"/>
      <c r="AT139" s="1086"/>
      <c r="AU139" s="1088"/>
      <c r="AV139" s="1067"/>
    </row>
    <row r="140" spans="1:48" ht="49.5" customHeight="1">
      <c r="A140" s="1073"/>
      <c r="B140" s="1082" t="s">
        <v>12</v>
      </c>
      <c r="C140" s="1083" t="s">
        <v>37</v>
      </c>
      <c r="D140" s="1074"/>
      <c r="E140" s="1126"/>
      <c r="F140" s="1138"/>
      <c r="G140" s="1074"/>
      <c r="H140" s="1077"/>
      <c r="I140" s="1127"/>
      <c r="J140" s="1128"/>
      <c r="K140" s="1067"/>
      <c r="L140" s="1139"/>
      <c r="M140" s="1130"/>
      <c r="N140" s="1074" t="s">
        <v>12</v>
      </c>
      <c r="O140" s="1131" t="s">
        <v>52</v>
      </c>
      <c r="P140" s="1132">
        <v>1</v>
      </c>
      <c r="Q140" s="1133">
        <v>53.46</v>
      </c>
      <c r="R140" s="1038"/>
      <c r="S140" s="1074"/>
      <c r="T140" s="1075"/>
      <c r="U140" s="1184"/>
      <c r="V140" s="1073"/>
      <c r="W140" s="1140"/>
      <c r="X140" s="1141"/>
      <c r="Y140" s="1142"/>
      <c r="Z140" s="1143"/>
      <c r="AA140" s="1074"/>
      <c r="AB140" s="1126"/>
      <c r="AC140" s="1073"/>
      <c r="AD140" s="1231"/>
      <c r="AE140" s="1062"/>
      <c r="AF140" s="1085"/>
      <c r="AG140" s="1086"/>
      <c r="AH140" s="1087">
        <v>210000</v>
      </c>
      <c r="AI140" s="1087">
        <f>AH140*Q140*0.5</f>
        <v>5613300</v>
      </c>
      <c r="AJ140" s="1088"/>
      <c r="AK140" s="1089"/>
      <c r="AL140" s="1090"/>
      <c r="AM140" s="1086"/>
      <c r="AN140" s="1086"/>
      <c r="AO140" s="1087"/>
      <c r="AP140" s="1076"/>
      <c r="AQ140" s="1087"/>
      <c r="AR140" s="1076"/>
      <c r="AS140" s="1076"/>
      <c r="AT140" s="1086"/>
      <c r="AU140" s="1088"/>
      <c r="AV140" s="1067"/>
    </row>
    <row r="141" spans="1:48" ht="16.5" customHeight="1">
      <c r="A141" s="1073"/>
      <c r="B141" s="1082" t="s">
        <v>8</v>
      </c>
      <c r="C141" s="1083" t="s">
        <v>414</v>
      </c>
      <c r="D141" s="1074"/>
      <c r="E141" s="1126"/>
      <c r="F141" s="1138"/>
      <c r="G141" s="1074"/>
      <c r="H141" s="1077"/>
      <c r="I141" s="1127"/>
      <c r="J141" s="1128"/>
      <c r="K141" s="1067"/>
      <c r="L141" s="1139"/>
      <c r="M141" s="1130"/>
      <c r="N141" s="1074" t="s">
        <v>8</v>
      </c>
      <c r="O141" s="1131" t="s">
        <v>17</v>
      </c>
      <c r="P141" s="1132">
        <v>1</v>
      </c>
      <c r="Q141" s="1133"/>
      <c r="R141" s="1038" t="s">
        <v>16</v>
      </c>
      <c r="S141" s="1074" t="s">
        <v>15</v>
      </c>
      <c r="T141" s="1075">
        <v>15</v>
      </c>
      <c r="U141" s="1184">
        <v>1</v>
      </c>
      <c r="V141" s="1073" t="s">
        <v>144</v>
      </c>
      <c r="W141" s="1140">
        <v>3</v>
      </c>
      <c r="X141" s="1141">
        <v>0</v>
      </c>
      <c r="Y141" s="1142"/>
      <c r="Z141" s="1143">
        <f t="shared" ref="Z141:Z159" si="17">SUM(W141:Y141)</f>
        <v>3</v>
      </c>
      <c r="AA141" s="1074"/>
      <c r="AB141" s="1126"/>
      <c r="AC141" s="1073"/>
      <c r="AD141" s="1231"/>
      <c r="AE141" s="1062"/>
      <c r="AF141" s="1085"/>
      <c r="AG141" s="1086"/>
      <c r="AH141" s="1087">
        <v>2500000</v>
      </c>
      <c r="AI141" s="1087">
        <f>AH141*P141*0.5</f>
        <v>1250000</v>
      </c>
      <c r="AJ141" s="1088"/>
      <c r="AK141" s="1089">
        <v>20100</v>
      </c>
      <c r="AL141" s="1090">
        <f t="shared" si="16"/>
        <v>60300</v>
      </c>
      <c r="AM141" s="1086"/>
      <c r="AN141" s="1086"/>
      <c r="AO141" s="1087"/>
      <c r="AP141" s="1076"/>
      <c r="AQ141" s="1087"/>
      <c r="AR141" s="1076"/>
      <c r="AS141" s="1076"/>
      <c r="AT141" s="1086"/>
      <c r="AU141" s="1088"/>
      <c r="AV141" s="1067"/>
    </row>
    <row r="142" spans="1:48" ht="16.5" customHeight="1">
      <c r="A142" s="1073"/>
      <c r="B142" s="1082"/>
      <c r="C142" s="1083"/>
      <c r="D142" s="1074"/>
      <c r="E142" s="1126"/>
      <c r="F142" s="1138"/>
      <c r="G142" s="1074"/>
      <c r="H142" s="1077"/>
      <c r="I142" s="1127"/>
      <c r="J142" s="1128"/>
      <c r="K142" s="1067"/>
      <c r="L142" s="1139"/>
      <c r="M142" s="1130"/>
      <c r="N142" s="1074" t="s">
        <v>54</v>
      </c>
      <c r="O142" s="1131" t="s">
        <v>11</v>
      </c>
      <c r="P142" s="1132">
        <v>1</v>
      </c>
      <c r="Q142" s="1133"/>
      <c r="R142" s="1038"/>
      <c r="S142" s="1074"/>
      <c r="T142" s="1075"/>
      <c r="U142" s="1184">
        <v>1</v>
      </c>
      <c r="V142" s="1073" t="s">
        <v>144</v>
      </c>
      <c r="W142" s="1140"/>
      <c r="X142" s="1141">
        <v>0</v>
      </c>
      <c r="Y142" s="1142">
        <v>5</v>
      </c>
      <c r="Z142" s="1143"/>
      <c r="AA142" s="1074"/>
      <c r="AB142" s="1126"/>
      <c r="AC142" s="1073"/>
      <c r="AD142" s="1231"/>
      <c r="AE142" s="1062"/>
      <c r="AF142" s="1085"/>
      <c r="AG142" s="1086"/>
      <c r="AH142" s="1087">
        <v>2500000</v>
      </c>
      <c r="AI142" s="1087">
        <f>AH142*P142*0.75</f>
        <v>1875000</v>
      </c>
      <c r="AJ142" s="1088"/>
      <c r="AK142" s="1089">
        <v>6600</v>
      </c>
      <c r="AL142" s="1090">
        <f>AK142*Y142</f>
        <v>33000</v>
      </c>
      <c r="AM142" s="1086"/>
      <c r="AN142" s="1086"/>
      <c r="AO142" s="1087"/>
      <c r="AP142" s="1076"/>
      <c r="AQ142" s="1087"/>
      <c r="AR142" s="1076"/>
      <c r="AS142" s="1076"/>
      <c r="AT142" s="1086"/>
      <c r="AU142" s="1088"/>
      <c r="AV142" s="1067"/>
    </row>
    <row r="143" spans="1:48" ht="16.5" customHeight="1">
      <c r="A143" s="1073"/>
      <c r="B143" s="1082"/>
      <c r="C143" s="1083"/>
      <c r="D143" s="1074"/>
      <c r="E143" s="1126"/>
      <c r="F143" s="1138"/>
      <c r="G143" s="1074"/>
      <c r="H143" s="1077"/>
      <c r="I143" s="1127"/>
      <c r="J143" s="1128"/>
      <c r="K143" s="1067"/>
      <c r="L143" s="1139"/>
      <c r="M143" s="1130"/>
      <c r="N143" s="1074" t="s">
        <v>53</v>
      </c>
      <c r="O143" s="1131" t="s">
        <v>1979</v>
      </c>
      <c r="P143" s="1132">
        <v>1</v>
      </c>
      <c r="Q143" s="1133">
        <v>51.12</v>
      </c>
      <c r="R143" s="1038"/>
      <c r="S143" s="1074"/>
      <c r="T143" s="1075"/>
      <c r="U143" s="1184">
        <v>2</v>
      </c>
      <c r="V143" s="1073" t="s">
        <v>413</v>
      </c>
      <c r="W143" s="1140">
        <v>3</v>
      </c>
      <c r="X143" s="1141">
        <v>0</v>
      </c>
      <c r="Y143" s="1142">
        <v>0</v>
      </c>
      <c r="Z143" s="1143">
        <f t="shared" si="17"/>
        <v>3</v>
      </c>
      <c r="AA143" s="1074"/>
      <c r="AB143" s="1126"/>
      <c r="AC143" s="1073"/>
      <c r="AD143" s="1231"/>
      <c r="AE143" s="1062"/>
      <c r="AF143" s="1085"/>
      <c r="AG143" s="1086"/>
      <c r="AH143" s="1087">
        <v>125000</v>
      </c>
      <c r="AI143" s="1087">
        <f>AH143*Q143*0.5</f>
        <v>3195000</v>
      </c>
      <c r="AJ143" s="1088"/>
      <c r="AK143" s="1089">
        <v>90000</v>
      </c>
      <c r="AL143" s="1090">
        <f>AK143*W143</f>
        <v>270000</v>
      </c>
      <c r="AM143" s="1086"/>
      <c r="AN143" s="1086"/>
      <c r="AO143" s="1087"/>
      <c r="AP143" s="1076"/>
      <c r="AQ143" s="1087"/>
      <c r="AR143" s="1076"/>
      <c r="AS143" s="1076"/>
      <c r="AT143" s="1086"/>
      <c r="AU143" s="1088"/>
      <c r="AV143" s="1067"/>
    </row>
    <row r="144" spans="1:48" ht="16.5" customHeight="1">
      <c r="A144" s="1073"/>
      <c r="B144" s="1082"/>
      <c r="C144" s="1083"/>
      <c r="D144" s="1074"/>
      <c r="E144" s="1126"/>
      <c r="F144" s="1138"/>
      <c r="G144" s="1074"/>
      <c r="H144" s="1077"/>
      <c r="I144" s="1127"/>
      <c r="J144" s="1128"/>
      <c r="K144" s="1067"/>
      <c r="L144" s="1139"/>
      <c r="M144" s="1130"/>
      <c r="N144" s="1074" t="s">
        <v>51</v>
      </c>
      <c r="O144" s="1131" t="s">
        <v>120</v>
      </c>
      <c r="P144" s="1132">
        <v>1</v>
      </c>
      <c r="Q144" s="1133">
        <v>1.22</v>
      </c>
      <c r="R144" s="1038"/>
      <c r="S144" s="1074"/>
      <c r="T144" s="1075"/>
      <c r="U144" s="1184">
        <v>3</v>
      </c>
      <c r="V144" s="1073" t="s">
        <v>221</v>
      </c>
      <c r="W144" s="1140">
        <v>13</v>
      </c>
      <c r="X144" s="1141">
        <v>0</v>
      </c>
      <c r="Y144" s="1142">
        <v>0</v>
      </c>
      <c r="Z144" s="1143">
        <f t="shared" si="17"/>
        <v>13</v>
      </c>
      <c r="AA144" s="1074"/>
      <c r="AB144" s="1126"/>
      <c r="AC144" s="1073"/>
      <c r="AD144" s="1231"/>
      <c r="AE144" s="1062"/>
      <c r="AF144" s="1085"/>
      <c r="AG144" s="1086"/>
      <c r="AH144" s="1087">
        <v>200000</v>
      </c>
      <c r="AI144" s="1087">
        <f>AH144*Q144*0.5</f>
        <v>122000</v>
      </c>
      <c r="AJ144" s="1088"/>
      <c r="AK144" s="1089">
        <v>4810</v>
      </c>
      <c r="AL144" s="1090">
        <f>AK144*W144</f>
        <v>62530</v>
      </c>
      <c r="AM144" s="1086"/>
      <c r="AN144" s="1086"/>
      <c r="AO144" s="1087"/>
      <c r="AP144" s="1076"/>
      <c r="AQ144" s="1087"/>
      <c r="AR144" s="1076"/>
      <c r="AS144" s="1076"/>
      <c r="AT144" s="1086"/>
      <c r="AU144" s="1088"/>
      <c r="AV144" s="1067"/>
    </row>
    <row r="145" spans="1:48" ht="16.5" customHeight="1">
      <c r="A145" s="1073"/>
      <c r="B145" s="1082"/>
      <c r="C145" s="1083"/>
      <c r="D145" s="1074"/>
      <c r="E145" s="1126"/>
      <c r="F145" s="1138"/>
      <c r="G145" s="1074"/>
      <c r="H145" s="1077"/>
      <c r="I145" s="1127"/>
      <c r="J145" s="1128"/>
      <c r="K145" s="1067"/>
      <c r="L145" s="1139"/>
      <c r="M145" s="1130"/>
      <c r="N145" s="1074"/>
      <c r="O145" s="1126"/>
      <c r="P145" s="1192"/>
      <c r="Q145" s="1193"/>
      <c r="R145" s="1038"/>
      <c r="S145" s="1074"/>
      <c r="T145" s="1075"/>
      <c r="U145" s="1184">
        <v>4</v>
      </c>
      <c r="V145" s="1073" t="s">
        <v>412</v>
      </c>
      <c r="W145" s="1140">
        <v>6</v>
      </c>
      <c r="X145" s="1141">
        <v>0</v>
      </c>
      <c r="Y145" s="1142">
        <v>0</v>
      </c>
      <c r="Z145" s="1143">
        <f t="shared" si="17"/>
        <v>6</v>
      </c>
      <c r="AA145" s="1074"/>
      <c r="AB145" s="1126"/>
      <c r="AC145" s="1073"/>
      <c r="AD145" s="1231"/>
      <c r="AE145" s="1062"/>
      <c r="AF145" s="1085"/>
      <c r="AG145" s="1086"/>
      <c r="AH145" s="1087"/>
      <c r="AI145" s="1087">
        <f t="shared" ref="AI145" si="18">AH145*Q145*0.3</f>
        <v>0</v>
      </c>
      <c r="AJ145" s="1088"/>
      <c r="AK145" s="1089">
        <v>6000</v>
      </c>
      <c r="AL145" s="1090">
        <f>AK145*W145</f>
        <v>36000</v>
      </c>
      <c r="AM145" s="1086"/>
      <c r="AN145" s="1086"/>
      <c r="AO145" s="1087"/>
      <c r="AP145" s="1076"/>
      <c r="AQ145" s="1087"/>
      <c r="AR145" s="1076"/>
      <c r="AS145" s="1076"/>
      <c r="AT145" s="1086"/>
      <c r="AU145" s="1088"/>
      <c r="AV145" s="1067"/>
    </row>
    <row r="146" spans="1:48" ht="16.5" customHeight="1">
      <c r="A146" s="1073"/>
      <c r="B146" s="1082"/>
      <c r="C146" s="1083"/>
      <c r="D146" s="1074"/>
      <c r="E146" s="1126"/>
      <c r="F146" s="1138"/>
      <c r="G146" s="1074"/>
      <c r="H146" s="1077"/>
      <c r="I146" s="1127"/>
      <c r="J146" s="1128"/>
      <c r="K146" s="1067"/>
      <c r="L146" s="1139"/>
      <c r="M146" s="1130"/>
      <c r="N146" s="1074"/>
      <c r="O146" s="1126"/>
      <c r="P146" s="1192"/>
      <c r="Q146" s="1193"/>
      <c r="R146" s="1038"/>
      <c r="S146" s="1074"/>
      <c r="T146" s="1075"/>
      <c r="U146" s="1184">
        <v>5</v>
      </c>
      <c r="V146" s="1073" t="s">
        <v>265</v>
      </c>
      <c r="W146" s="1140">
        <v>3</v>
      </c>
      <c r="X146" s="1141">
        <v>0</v>
      </c>
      <c r="Y146" s="1142">
        <v>0</v>
      </c>
      <c r="Z146" s="1143">
        <f t="shared" si="17"/>
        <v>3</v>
      </c>
      <c r="AA146" s="1074"/>
      <c r="AB146" s="1126"/>
      <c r="AC146" s="1073"/>
      <c r="AD146" s="1231"/>
      <c r="AE146" s="1062"/>
      <c r="AF146" s="1085"/>
      <c r="AG146" s="1086"/>
      <c r="AH146" s="1087"/>
      <c r="AI146" s="1087"/>
      <c r="AJ146" s="1088"/>
      <c r="AK146" s="1089">
        <v>100000</v>
      </c>
      <c r="AL146" s="1090">
        <f>AK146*W146</f>
        <v>300000</v>
      </c>
      <c r="AM146" s="1086"/>
      <c r="AN146" s="1086"/>
      <c r="AO146" s="1087"/>
      <c r="AP146" s="1076"/>
      <c r="AQ146" s="1087"/>
      <c r="AR146" s="1076"/>
      <c r="AS146" s="1076"/>
      <c r="AT146" s="1086"/>
      <c r="AU146" s="1088"/>
      <c r="AV146" s="1067"/>
    </row>
    <row r="147" spans="1:48" ht="16.5" customHeight="1">
      <c r="A147" s="1073"/>
      <c r="B147" s="1082"/>
      <c r="C147" s="1083"/>
      <c r="D147" s="1074"/>
      <c r="E147" s="1126"/>
      <c r="F147" s="1138"/>
      <c r="G147" s="1074"/>
      <c r="H147" s="1077"/>
      <c r="I147" s="1127"/>
      <c r="J147" s="1128"/>
      <c r="K147" s="1067"/>
      <c r="L147" s="1139"/>
      <c r="M147" s="1130"/>
      <c r="N147" s="1074"/>
      <c r="O147" s="1126"/>
      <c r="P147" s="1192"/>
      <c r="Q147" s="1193"/>
      <c r="R147" s="1038"/>
      <c r="S147" s="1074"/>
      <c r="T147" s="1075"/>
      <c r="U147" s="1184">
        <v>6</v>
      </c>
      <c r="V147" s="1073" t="s">
        <v>390</v>
      </c>
      <c r="W147" s="1140">
        <v>12</v>
      </c>
      <c r="X147" s="1141">
        <v>0</v>
      </c>
      <c r="Y147" s="1142">
        <v>0</v>
      </c>
      <c r="Z147" s="1143">
        <f t="shared" si="17"/>
        <v>12</v>
      </c>
      <c r="AA147" s="1074"/>
      <c r="AB147" s="1126"/>
      <c r="AC147" s="1073"/>
      <c r="AD147" s="1231"/>
      <c r="AE147" s="1062"/>
      <c r="AF147" s="1085"/>
      <c r="AG147" s="1086"/>
      <c r="AH147" s="1087"/>
      <c r="AI147" s="1087"/>
      <c r="AJ147" s="1088"/>
      <c r="AK147" s="1089">
        <v>5250</v>
      </c>
      <c r="AL147" s="1090">
        <f>AK147*W147</f>
        <v>63000</v>
      </c>
      <c r="AM147" s="1086"/>
      <c r="AN147" s="1086"/>
      <c r="AO147" s="1087"/>
      <c r="AP147" s="1076"/>
      <c r="AQ147" s="1087"/>
      <c r="AR147" s="1076"/>
      <c r="AS147" s="1076"/>
      <c r="AT147" s="1086"/>
      <c r="AU147" s="1088"/>
      <c r="AV147" s="1067"/>
    </row>
    <row r="148" spans="1:48" ht="16.5" customHeight="1">
      <c r="A148" s="1073"/>
      <c r="B148" s="1082"/>
      <c r="C148" s="1083"/>
      <c r="D148" s="1074"/>
      <c r="E148" s="1126"/>
      <c r="F148" s="1138"/>
      <c r="G148" s="1074"/>
      <c r="H148" s="1077"/>
      <c r="I148" s="1127"/>
      <c r="J148" s="1128"/>
      <c r="K148" s="1067"/>
      <c r="L148" s="1139"/>
      <c r="M148" s="1130"/>
      <c r="N148" s="1074"/>
      <c r="O148" s="1126"/>
      <c r="P148" s="1192"/>
      <c r="Q148" s="1193"/>
      <c r="R148" s="1038"/>
      <c r="S148" s="1074"/>
      <c r="T148" s="1075"/>
      <c r="U148" s="1184">
        <v>7</v>
      </c>
      <c r="V148" s="1073" t="s">
        <v>264</v>
      </c>
      <c r="W148" s="1140">
        <v>0</v>
      </c>
      <c r="X148" s="1141">
        <v>0</v>
      </c>
      <c r="Y148" s="1142">
        <v>2</v>
      </c>
      <c r="Z148" s="1143">
        <f t="shared" si="17"/>
        <v>2</v>
      </c>
      <c r="AA148" s="1074"/>
      <c r="AB148" s="1126"/>
      <c r="AC148" s="1073"/>
      <c r="AD148" s="1231"/>
      <c r="AE148" s="1062"/>
      <c r="AF148" s="1085"/>
      <c r="AG148" s="1086"/>
      <c r="AH148" s="1087"/>
      <c r="AI148" s="1087"/>
      <c r="AJ148" s="1088"/>
      <c r="AK148" s="1089">
        <v>24750</v>
      </c>
      <c r="AL148" s="1090">
        <f>AK148*Y148</f>
        <v>49500</v>
      </c>
      <c r="AM148" s="1086"/>
      <c r="AN148" s="1086"/>
      <c r="AO148" s="1087"/>
      <c r="AP148" s="1076"/>
      <c r="AQ148" s="1087"/>
      <c r="AR148" s="1076"/>
      <c r="AS148" s="1076"/>
      <c r="AT148" s="1086"/>
      <c r="AU148" s="1088"/>
      <c r="AV148" s="1067"/>
    </row>
    <row r="149" spans="1:48" ht="16.5" customHeight="1">
      <c r="A149" s="1073"/>
      <c r="B149" s="1082"/>
      <c r="C149" s="1083"/>
      <c r="D149" s="1074"/>
      <c r="E149" s="1126"/>
      <c r="F149" s="1138"/>
      <c r="G149" s="1074"/>
      <c r="H149" s="1077"/>
      <c r="I149" s="1127"/>
      <c r="J149" s="1128"/>
      <c r="K149" s="1067"/>
      <c r="L149" s="1139"/>
      <c r="M149" s="1130"/>
      <c r="N149" s="1074"/>
      <c r="O149" s="1126"/>
      <c r="P149" s="1192"/>
      <c r="Q149" s="1193"/>
      <c r="R149" s="1038"/>
      <c r="S149" s="1074"/>
      <c r="T149" s="1075"/>
      <c r="U149" s="1184">
        <v>8</v>
      </c>
      <c r="V149" s="1073" t="s">
        <v>6</v>
      </c>
      <c r="W149" s="1140">
        <v>3</v>
      </c>
      <c r="X149" s="1141">
        <v>0</v>
      </c>
      <c r="Y149" s="1194">
        <v>0</v>
      </c>
      <c r="Z149" s="1143">
        <f t="shared" si="17"/>
        <v>3</v>
      </c>
      <c r="AA149" s="1074"/>
      <c r="AB149" s="1126"/>
      <c r="AC149" s="1073"/>
      <c r="AD149" s="1231"/>
      <c r="AE149" s="1062"/>
      <c r="AF149" s="1085"/>
      <c r="AG149" s="1086"/>
      <c r="AH149" s="1087"/>
      <c r="AI149" s="1087"/>
      <c r="AJ149" s="1088"/>
      <c r="AK149" s="1089">
        <v>10000</v>
      </c>
      <c r="AL149" s="1090">
        <f t="shared" si="16"/>
        <v>30000</v>
      </c>
      <c r="AM149" s="1086"/>
      <c r="AN149" s="1086"/>
      <c r="AO149" s="1087"/>
      <c r="AP149" s="1076"/>
      <c r="AQ149" s="1087"/>
      <c r="AR149" s="1076"/>
      <c r="AS149" s="1076"/>
      <c r="AT149" s="1086"/>
      <c r="AU149" s="1088"/>
      <c r="AV149" s="1067"/>
    </row>
    <row r="150" spans="1:48" ht="33" customHeight="1">
      <c r="A150" s="1073"/>
      <c r="B150" s="1082"/>
      <c r="C150" s="1083"/>
      <c r="D150" s="1074"/>
      <c r="E150" s="1126"/>
      <c r="F150" s="1138"/>
      <c r="G150" s="1074"/>
      <c r="H150" s="1077"/>
      <c r="I150" s="1127"/>
      <c r="J150" s="1128"/>
      <c r="K150" s="1067"/>
      <c r="L150" s="1139"/>
      <c r="M150" s="1130"/>
      <c r="N150" s="1074"/>
      <c r="O150" s="1126"/>
      <c r="P150" s="1192"/>
      <c r="Q150" s="1193"/>
      <c r="R150" s="1038"/>
      <c r="S150" s="1074"/>
      <c r="T150" s="1075"/>
      <c r="U150" s="1184">
        <v>9</v>
      </c>
      <c r="V150" s="1073" t="s">
        <v>313</v>
      </c>
      <c r="W150" s="1140">
        <v>0</v>
      </c>
      <c r="X150" s="1141">
        <v>0</v>
      </c>
      <c r="Y150" s="1142">
        <v>1</v>
      </c>
      <c r="Z150" s="1143">
        <f t="shared" si="17"/>
        <v>1</v>
      </c>
      <c r="AA150" s="1074"/>
      <c r="AB150" s="1126"/>
      <c r="AC150" s="1073"/>
      <c r="AD150" s="1231"/>
      <c r="AE150" s="1062"/>
      <c r="AF150" s="1085"/>
      <c r="AG150" s="1086"/>
      <c r="AH150" s="1087"/>
      <c r="AI150" s="1087"/>
      <c r="AJ150" s="1088"/>
      <c r="AK150" s="1089">
        <v>53000</v>
      </c>
      <c r="AL150" s="1090">
        <f>AK150*Y150</f>
        <v>53000</v>
      </c>
      <c r="AM150" s="1086"/>
      <c r="AN150" s="1086"/>
      <c r="AO150" s="1087"/>
      <c r="AP150" s="1076"/>
      <c r="AQ150" s="1087"/>
      <c r="AR150" s="1076"/>
      <c r="AS150" s="1076"/>
      <c r="AT150" s="1086"/>
      <c r="AU150" s="1088"/>
      <c r="AV150" s="1067"/>
    </row>
    <row r="151" spans="1:48" ht="16.5" customHeight="1">
      <c r="A151" s="1073"/>
      <c r="B151" s="1082"/>
      <c r="C151" s="1083"/>
      <c r="D151" s="1074"/>
      <c r="E151" s="1126"/>
      <c r="F151" s="1138"/>
      <c r="G151" s="1074"/>
      <c r="H151" s="1077"/>
      <c r="I151" s="1127"/>
      <c r="J151" s="1128"/>
      <c r="K151" s="1067"/>
      <c r="L151" s="1139"/>
      <c r="M151" s="1130"/>
      <c r="N151" s="1074"/>
      <c r="O151" s="1126"/>
      <c r="P151" s="1192"/>
      <c r="Q151" s="1193"/>
      <c r="R151" s="1038"/>
      <c r="S151" s="1074"/>
      <c r="T151" s="1075"/>
      <c r="U151" s="1184">
        <v>10</v>
      </c>
      <c r="V151" s="1073" t="s">
        <v>411</v>
      </c>
      <c r="W151" s="1140">
        <v>2</v>
      </c>
      <c r="X151" s="1141">
        <v>0</v>
      </c>
      <c r="Y151" s="1142">
        <v>0</v>
      </c>
      <c r="Z151" s="1143">
        <f t="shared" si="17"/>
        <v>2</v>
      </c>
      <c r="AA151" s="1074"/>
      <c r="AB151" s="1126"/>
      <c r="AC151" s="1073"/>
      <c r="AD151" s="1231"/>
      <c r="AE151" s="1062"/>
      <c r="AF151" s="1085"/>
      <c r="AG151" s="1086"/>
      <c r="AH151" s="1087"/>
      <c r="AI151" s="1087"/>
      <c r="AJ151" s="1088"/>
      <c r="AK151" s="1089">
        <v>15000</v>
      </c>
      <c r="AL151" s="1090">
        <f t="shared" si="16"/>
        <v>30000</v>
      </c>
      <c r="AM151" s="1086"/>
      <c r="AN151" s="1086"/>
      <c r="AO151" s="1087"/>
      <c r="AP151" s="1076"/>
      <c r="AQ151" s="1087"/>
      <c r="AR151" s="1076"/>
      <c r="AS151" s="1076"/>
      <c r="AT151" s="1086"/>
      <c r="AU151" s="1088"/>
      <c r="AV151" s="1067"/>
    </row>
    <row r="152" spans="1:48" ht="16.5" customHeight="1">
      <c r="A152" s="1073"/>
      <c r="B152" s="1082"/>
      <c r="C152" s="1083"/>
      <c r="D152" s="1074"/>
      <c r="E152" s="1126"/>
      <c r="F152" s="1138"/>
      <c r="G152" s="1074"/>
      <c r="H152" s="1077"/>
      <c r="I152" s="1127"/>
      <c r="J152" s="1128"/>
      <c r="K152" s="1067"/>
      <c r="L152" s="1139"/>
      <c r="M152" s="1130"/>
      <c r="N152" s="1074"/>
      <c r="O152" s="1126"/>
      <c r="P152" s="1192"/>
      <c r="Q152" s="1193"/>
      <c r="R152" s="1038"/>
      <c r="S152" s="1074"/>
      <c r="T152" s="1075"/>
      <c r="U152" s="1184">
        <v>11</v>
      </c>
      <c r="V152" s="1073" t="s">
        <v>232</v>
      </c>
      <c r="W152" s="1140">
        <v>3</v>
      </c>
      <c r="X152" s="1141"/>
      <c r="Y152" s="1142">
        <v>0</v>
      </c>
      <c r="Z152" s="1143">
        <f t="shared" si="17"/>
        <v>3</v>
      </c>
      <c r="AA152" s="1074"/>
      <c r="AB152" s="1126"/>
      <c r="AC152" s="1073"/>
      <c r="AD152" s="1231"/>
      <c r="AE152" s="1062"/>
      <c r="AF152" s="1085"/>
      <c r="AG152" s="1086"/>
      <c r="AH152" s="1087"/>
      <c r="AI152" s="1087"/>
      <c r="AJ152" s="1088"/>
      <c r="AK152" s="1089">
        <v>25000</v>
      </c>
      <c r="AL152" s="1090">
        <f t="shared" si="16"/>
        <v>75000</v>
      </c>
      <c r="AM152" s="1086"/>
      <c r="AN152" s="1086"/>
      <c r="AO152" s="1087"/>
      <c r="AP152" s="1076"/>
      <c r="AQ152" s="1087"/>
      <c r="AR152" s="1076"/>
      <c r="AS152" s="1076"/>
      <c r="AT152" s="1086"/>
      <c r="AU152" s="1088"/>
      <c r="AV152" s="1067"/>
    </row>
    <row r="153" spans="1:48" ht="16.5" customHeight="1">
      <c r="A153" s="1073"/>
      <c r="B153" s="1082"/>
      <c r="C153" s="1083"/>
      <c r="D153" s="1074"/>
      <c r="E153" s="1126"/>
      <c r="F153" s="1138"/>
      <c r="G153" s="1074"/>
      <c r="H153" s="1077"/>
      <c r="I153" s="1127"/>
      <c r="J153" s="1128"/>
      <c r="K153" s="1067"/>
      <c r="L153" s="1139"/>
      <c r="M153" s="1130"/>
      <c r="N153" s="1074"/>
      <c r="O153" s="1126"/>
      <c r="P153" s="1192"/>
      <c r="Q153" s="1193"/>
      <c r="R153" s="1038"/>
      <c r="S153" s="1074"/>
      <c r="T153" s="1075"/>
      <c r="U153" s="1184"/>
      <c r="V153" s="1073" t="s">
        <v>232</v>
      </c>
      <c r="W153" s="1140"/>
      <c r="X153" s="1141">
        <v>3</v>
      </c>
      <c r="Y153" s="1142">
        <v>0</v>
      </c>
      <c r="Z153" s="1143"/>
      <c r="AA153" s="1074"/>
      <c r="AB153" s="1126"/>
      <c r="AC153" s="1073"/>
      <c r="AD153" s="1231"/>
      <c r="AE153" s="1062"/>
      <c r="AF153" s="1085"/>
      <c r="AG153" s="1086"/>
      <c r="AH153" s="1087"/>
      <c r="AI153" s="1087"/>
      <c r="AJ153" s="1088"/>
      <c r="AK153" s="1089">
        <v>16650</v>
      </c>
      <c r="AL153" s="1090">
        <f>AK153*X153</f>
        <v>49950</v>
      </c>
      <c r="AM153" s="1086"/>
      <c r="AN153" s="1086"/>
      <c r="AO153" s="1087"/>
      <c r="AP153" s="1076"/>
      <c r="AQ153" s="1087"/>
      <c r="AR153" s="1076"/>
      <c r="AS153" s="1076"/>
      <c r="AT153" s="1086"/>
      <c r="AU153" s="1088"/>
      <c r="AV153" s="1067"/>
    </row>
    <row r="154" spans="1:48" ht="16.5" customHeight="1">
      <c r="A154" s="1073"/>
      <c r="B154" s="1082"/>
      <c r="C154" s="1083"/>
      <c r="D154" s="1074"/>
      <c r="E154" s="1126"/>
      <c r="F154" s="1138"/>
      <c r="G154" s="1074"/>
      <c r="H154" s="1077"/>
      <c r="I154" s="1127"/>
      <c r="J154" s="1128"/>
      <c r="K154" s="1067"/>
      <c r="L154" s="1139"/>
      <c r="M154" s="1130"/>
      <c r="N154" s="1074"/>
      <c r="O154" s="1126"/>
      <c r="P154" s="1192"/>
      <c r="Q154" s="1193"/>
      <c r="R154" s="1038"/>
      <c r="S154" s="1074"/>
      <c r="T154" s="1075"/>
      <c r="U154" s="1184">
        <v>12</v>
      </c>
      <c r="V154" s="1073" t="s">
        <v>83</v>
      </c>
      <c r="W154" s="1140">
        <v>8</v>
      </c>
      <c r="X154" s="1141">
        <v>0</v>
      </c>
      <c r="Y154" s="1142"/>
      <c r="Z154" s="1143">
        <f t="shared" si="17"/>
        <v>8</v>
      </c>
      <c r="AA154" s="1074"/>
      <c r="AB154" s="1126"/>
      <c r="AC154" s="1073"/>
      <c r="AD154" s="1231"/>
      <c r="AE154" s="1062"/>
      <c r="AF154" s="1085"/>
      <c r="AG154" s="1086"/>
      <c r="AH154" s="1087"/>
      <c r="AI154" s="1087"/>
      <c r="AJ154" s="1088"/>
      <c r="AK154" s="1089">
        <v>3000</v>
      </c>
      <c r="AL154" s="1090">
        <f t="shared" si="16"/>
        <v>24000</v>
      </c>
      <c r="AM154" s="1086"/>
      <c r="AN154" s="1086"/>
      <c r="AO154" s="1087"/>
      <c r="AP154" s="1076"/>
      <c r="AQ154" s="1087"/>
      <c r="AR154" s="1076"/>
      <c r="AS154" s="1076"/>
      <c r="AT154" s="1086"/>
      <c r="AU154" s="1088"/>
      <c r="AV154" s="1067"/>
    </row>
    <row r="155" spans="1:48" ht="16.5" customHeight="1">
      <c r="A155" s="1073"/>
      <c r="B155" s="1082"/>
      <c r="C155" s="1083"/>
      <c r="D155" s="1074"/>
      <c r="E155" s="1126"/>
      <c r="F155" s="1138"/>
      <c r="G155" s="1074"/>
      <c r="H155" s="1077"/>
      <c r="I155" s="1127"/>
      <c r="J155" s="1128"/>
      <c r="K155" s="1067"/>
      <c r="L155" s="1139"/>
      <c r="M155" s="1130"/>
      <c r="N155" s="1074"/>
      <c r="O155" s="1126"/>
      <c r="P155" s="1192"/>
      <c r="Q155" s="1193"/>
      <c r="R155" s="1038"/>
      <c r="S155" s="1074"/>
      <c r="T155" s="1075"/>
      <c r="U155" s="1184"/>
      <c r="V155" s="1073" t="s">
        <v>83</v>
      </c>
      <c r="W155" s="1140"/>
      <c r="X155" s="1141">
        <v>0</v>
      </c>
      <c r="Y155" s="1142">
        <v>25</v>
      </c>
      <c r="Z155" s="1143"/>
      <c r="AA155" s="1074"/>
      <c r="AB155" s="1126"/>
      <c r="AC155" s="1073"/>
      <c r="AD155" s="1231"/>
      <c r="AE155" s="1062"/>
      <c r="AF155" s="1085"/>
      <c r="AG155" s="1086"/>
      <c r="AH155" s="1087"/>
      <c r="AI155" s="1087"/>
      <c r="AJ155" s="1088"/>
      <c r="AK155" s="1089">
        <v>1000</v>
      </c>
      <c r="AL155" s="1090">
        <f>AK155*Y155</f>
        <v>25000</v>
      </c>
      <c r="AM155" s="1086"/>
      <c r="AN155" s="1086"/>
      <c r="AO155" s="1087"/>
      <c r="AP155" s="1076"/>
      <c r="AQ155" s="1087"/>
      <c r="AR155" s="1076"/>
      <c r="AS155" s="1076"/>
      <c r="AT155" s="1086"/>
      <c r="AU155" s="1088"/>
      <c r="AV155" s="1067"/>
    </row>
    <row r="156" spans="1:48" ht="16.5" customHeight="1">
      <c r="A156" s="1073"/>
      <c r="B156" s="1082"/>
      <c r="C156" s="1083"/>
      <c r="D156" s="1074"/>
      <c r="E156" s="1126"/>
      <c r="F156" s="1138"/>
      <c r="G156" s="1074"/>
      <c r="H156" s="1077"/>
      <c r="I156" s="1127"/>
      <c r="J156" s="1128"/>
      <c r="K156" s="1067"/>
      <c r="L156" s="1139"/>
      <c r="M156" s="1130"/>
      <c r="N156" s="1074"/>
      <c r="O156" s="1126"/>
      <c r="P156" s="1192"/>
      <c r="Q156" s="1193"/>
      <c r="R156" s="1038"/>
      <c r="S156" s="1074"/>
      <c r="T156" s="1075"/>
      <c r="U156" s="1184">
        <v>13</v>
      </c>
      <c r="V156" s="1073" t="s">
        <v>410</v>
      </c>
      <c r="W156" s="1140">
        <v>2</v>
      </c>
      <c r="X156" s="1141">
        <v>0</v>
      </c>
      <c r="Y156" s="1142"/>
      <c r="Z156" s="1143">
        <f t="shared" si="17"/>
        <v>2</v>
      </c>
      <c r="AA156" s="1074"/>
      <c r="AB156" s="1126"/>
      <c r="AC156" s="1073"/>
      <c r="AD156" s="1231"/>
      <c r="AE156" s="1062"/>
      <c r="AF156" s="1085"/>
      <c r="AG156" s="1086"/>
      <c r="AH156" s="1087"/>
      <c r="AI156" s="1087"/>
      <c r="AJ156" s="1088"/>
      <c r="AK156" s="1089">
        <v>125000</v>
      </c>
      <c r="AL156" s="1090">
        <f t="shared" si="16"/>
        <v>250000</v>
      </c>
      <c r="AM156" s="1086"/>
      <c r="AN156" s="1086"/>
      <c r="AO156" s="1087"/>
      <c r="AP156" s="1076"/>
      <c r="AQ156" s="1087"/>
      <c r="AR156" s="1076"/>
      <c r="AS156" s="1076"/>
      <c r="AT156" s="1086"/>
      <c r="AU156" s="1088"/>
      <c r="AV156" s="1067"/>
    </row>
    <row r="157" spans="1:48" ht="16.5" customHeight="1">
      <c r="A157" s="1073"/>
      <c r="B157" s="1082"/>
      <c r="C157" s="1083"/>
      <c r="D157" s="1074"/>
      <c r="E157" s="1126"/>
      <c r="F157" s="1138"/>
      <c r="G157" s="1074"/>
      <c r="H157" s="1077"/>
      <c r="I157" s="1127"/>
      <c r="J157" s="1128"/>
      <c r="K157" s="1067"/>
      <c r="L157" s="1139"/>
      <c r="M157" s="1130"/>
      <c r="N157" s="1074"/>
      <c r="O157" s="1126"/>
      <c r="P157" s="1192"/>
      <c r="Q157" s="1193"/>
      <c r="R157" s="1038"/>
      <c r="S157" s="1074"/>
      <c r="T157" s="1075"/>
      <c r="U157" s="1184"/>
      <c r="V157" s="1073" t="s">
        <v>410</v>
      </c>
      <c r="W157" s="1140"/>
      <c r="X157" s="1141">
        <v>0</v>
      </c>
      <c r="Y157" s="1142">
        <v>3</v>
      </c>
      <c r="Z157" s="1143"/>
      <c r="AA157" s="1074"/>
      <c r="AB157" s="1126"/>
      <c r="AC157" s="1073"/>
      <c r="AD157" s="1231"/>
      <c r="AE157" s="1062"/>
      <c r="AF157" s="1085"/>
      <c r="AG157" s="1086"/>
      <c r="AH157" s="1087"/>
      <c r="AI157" s="1087"/>
      <c r="AJ157" s="1088"/>
      <c r="AK157" s="1089">
        <v>41250</v>
      </c>
      <c r="AL157" s="1090">
        <f>AK157*Y157</f>
        <v>123750</v>
      </c>
      <c r="AM157" s="1086"/>
      <c r="AN157" s="1086"/>
      <c r="AO157" s="1087"/>
      <c r="AP157" s="1076"/>
      <c r="AQ157" s="1087"/>
      <c r="AR157" s="1076"/>
      <c r="AS157" s="1076"/>
      <c r="AT157" s="1086"/>
      <c r="AU157" s="1088"/>
      <c r="AV157" s="1067"/>
    </row>
    <row r="158" spans="1:48" ht="16.5" customHeight="1">
      <c r="A158" s="1073"/>
      <c r="B158" s="1082"/>
      <c r="C158" s="1083"/>
      <c r="D158" s="1074"/>
      <c r="E158" s="1126"/>
      <c r="F158" s="1138"/>
      <c r="G158" s="1074"/>
      <c r="H158" s="1077"/>
      <c r="I158" s="1127"/>
      <c r="J158" s="1128"/>
      <c r="K158" s="1067"/>
      <c r="L158" s="1139"/>
      <c r="M158" s="1130"/>
      <c r="N158" s="1074"/>
      <c r="O158" s="1126"/>
      <c r="P158" s="1192"/>
      <c r="Q158" s="1193"/>
      <c r="R158" s="1038"/>
      <c r="S158" s="1074"/>
      <c r="T158" s="1075"/>
      <c r="U158" s="1184">
        <v>14</v>
      </c>
      <c r="V158" s="1073" t="s">
        <v>133</v>
      </c>
      <c r="W158" s="1140">
        <v>10</v>
      </c>
      <c r="X158" s="1141">
        <v>0</v>
      </c>
      <c r="Y158" s="1142">
        <v>0</v>
      </c>
      <c r="Z158" s="1143">
        <f t="shared" si="17"/>
        <v>10</v>
      </c>
      <c r="AA158" s="1074"/>
      <c r="AB158" s="1126"/>
      <c r="AC158" s="1073"/>
      <c r="AD158" s="1231"/>
      <c r="AE158" s="1062"/>
      <c r="AF158" s="1085"/>
      <c r="AG158" s="1086"/>
      <c r="AH158" s="1087"/>
      <c r="AI158" s="1087"/>
      <c r="AJ158" s="1088"/>
      <c r="AK158" s="1089">
        <v>2645</v>
      </c>
      <c r="AL158" s="1090">
        <f t="shared" si="16"/>
        <v>26450</v>
      </c>
      <c r="AM158" s="1086"/>
      <c r="AN158" s="1086"/>
      <c r="AO158" s="1087"/>
      <c r="AP158" s="1076"/>
      <c r="AQ158" s="1087"/>
      <c r="AR158" s="1076"/>
      <c r="AS158" s="1076"/>
      <c r="AT158" s="1086"/>
      <c r="AU158" s="1088"/>
      <c r="AV158" s="1067"/>
    </row>
    <row r="159" spans="1:48" ht="16.5" customHeight="1">
      <c r="A159" s="1073"/>
      <c r="B159" s="1082"/>
      <c r="C159" s="1083"/>
      <c r="D159" s="1074"/>
      <c r="E159" s="1126"/>
      <c r="F159" s="1138"/>
      <c r="G159" s="1074"/>
      <c r="H159" s="1077"/>
      <c r="I159" s="1127"/>
      <c r="J159" s="1128"/>
      <c r="K159" s="1067"/>
      <c r="L159" s="1139"/>
      <c r="M159" s="1130"/>
      <c r="N159" s="1074"/>
      <c r="O159" s="1126"/>
      <c r="P159" s="1192"/>
      <c r="Q159" s="1193"/>
      <c r="R159" s="1038"/>
      <c r="S159" s="1074"/>
      <c r="T159" s="1075"/>
      <c r="U159" s="1184">
        <v>15</v>
      </c>
      <c r="V159" s="1073" t="s">
        <v>217</v>
      </c>
      <c r="W159" s="1140">
        <v>12</v>
      </c>
      <c r="X159" s="1141">
        <v>0</v>
      </c>
      <c r="Y159" s="1142">
        <v>0</v>
      </c>
      <c r="Z159" s="1143">
        <f t="shared" si="17"/>
        <v>12</v>
      </c>
      <c r="AA159" s="1074"/>
      <c r="AB159" s="1126"/>
      <c r="AC159" s="1073"/>
      <c r="AD159" s="1231"/>
      <c r="AE159" s="1062"/>
      <c r="AF159" s="1085"/>
      <c r="AG159" s="1086"/>
      <c r="AH159" s="1087"/>
      <c r="AI159" s="1087"/>
      <c r="AJ159" s="1088"/>
      <c r="AK159" s="1089">
        <v>900</v>
      </c>
      <c r="AL159" s="1090">
        <f t="shared" si="16"/>
        <v>10800</v>
      </c>
      <c r="AM159" s="1086"/>
      <c r="AN159" s="1086"/>
      <c r="AO159" s="1087"/>
      <c r="AP159" s="1076"/>
      <c r="AQ159" s="1087"/>
      <c r="AR159" s="1076"/>
      <c r="AS159" s="1076"/>
      <c r="AT159" s="1086"/>
      <c r="AU159" s="1088"/>
      <c r="AV159" s="1067"/>
    </row>
    <row r="160" spans="1:48" ht="16.5" customHeight="1">
      <c r="A160" s="1073"/>
      <c r="B160" s="1082"/>
      <c r="C160" s="1083"/>
      <c r="D160" s="1074"/>
      <c r="E160" s="1126"/>
      <c r="F160" s="1138"/>
      <c r="G160" s="1074"/>
      <c r="H160" s="1077"/>
      <c r="I160" s="1127"/>
      <c r="J160" s="1128"/>
      <c r="K160" s="1067"/>
      <c r="L160" s="1139"/>
      <c r="M160" s="1130"/>
      <c r="N160" s="1074"/>
      <c r="O160" s="1126"/>
      <c r="P160" s="1192"/>
      <c r="Q160" s="1193"/>
      <c r="R160" s="1038"/>
      <c r="S160" s="1074"/>
      <c r="T160" s="1075"/>
      <c r="U160" s="1184">
        <v>16</v>
      </c>
      <c r="V160" s="1073" t="s">
        <v>221</v>
      </c>
      <c r="W160" s="1140">
        <v>1400</v>
      </c>
      <c r="X160" s="1141">
        <v>0</v>
      </c>
      <c r="Y160" s="1142">
        <v>0</v>
      </c>
      <c r="Z160" s="1143" t="s">
        <v>409</v>
      </c>
      <c r="AA160" s="1074"/>
      <c r="AB160" s="1126"/>
      <c r="AC160" s="1073"/>
      <c r="AD160" s="1231"/>
      <c r="AE160" s="1062"/>
      <c r="AF160" s="1085"/>
      <c r="AG160" s="1086"/>
      <c r="AH160" s="1087"/>
      <c r="AI160" s="1087"/>
      <c r="AJ160" s="1088"/>
      <c r="AK160" s="1089">
        <v>4810</v>
      </c>
      <c r="AL160" s="1090">
        <f t="shared" si="16"/>
        <v>6734000</v>
      </c>
      <c r="AM160" s="1086"/>
      <c r="AN160" s="1086"/>
      <c r="AO160" s="1087"/>
      <c r="AP160" s="1076"/>
      <c r="AQ160" s="1087"/>
      <c r="AR160" s="1076"/>
      <c r="AS160" s="1076"/>
      <c r="AT160" s="1086"/>
      <c r="AU160" s="1088"/>
      <c r="AV160" s="1067"/>
    </row>
    <row r="161" spans="1:48" ht="16.5" customHeight="1">
      <c r="A161" s="1073"/>
      <c r="B161" s="1082"/>
      <c r="C161" s="1083"/>
      <c r="D161" s="1074"/>
      <c r="E161" s="1126"/>
      <c r="F161" s="1138"/>
      <c r="G161" s="1074"/>
      <c r="H161" s="1077"/>
      <c r="I161" s="1127"/>
      <c r="J161" s="1128"/>
      <c r="K161" s="1067"/>
      <c r="L161" s="1139"/>
      <c r="M161" s="1130"/>
      <c r="N161" s="1074"/>
      <c r="O161" s="1126"/>
      <c r="P161" s="1192"/>
      <c r="Q161" s="1193"/>
      <c r="R161" s="1038"/>
      <c r="S161" s="1074"/>
      <c r="T161" s="1075"/>
      <c r="U161" s="1184">
        <v>17</v>
      </c>
      <c r="V161" s="1073" t="s">
        <v>14</v>
      </c>
      <c r="W161" s="1140">
        <v>0</v>
      </c>
      <c r="X161" s="1141">
        <v>0</v>
      </c>
      <c r="Y161" s="1142">
        <v>50</v>
      </c>
      <c r="Z161" s="1208">
        <f>SUM(W161:Y161)</f>
        <v>50</v>
      </c>
      <c r="AA161" s="1094"/>
      <c r="AB161" s="1156"/>
      <c r="AC161" s="1107"/>
      <c r="AD161" s="1232"/>
      <c r="AE161" s="1062"/>
      <c r="AF161" s="1085"/>
      <c r="AG161" s="1086"/>
      <c r="AH161" s="1087"/>
      <c r="AI161" s="1087"/>
      <c r="AJ161" s="1088"/>
      <c r="AK161" s="1089">
        <v>115500</v>
      </c>
      <c r="AL161" s="1087">
        <f>AK161*Y161</f>
        <v>5775000</v>
      </c>
      <c r="AM161" s="1086"/>
      <c r="AN161" s="1086"/>
      <c r="AO161" s="1087"/>
      <c r="AP161" s="1076"/>
      <c r="AQ161" s="1087"/>
      <c r="AR161" s="1076"/>
      <c r="AS161" s="1076"/>
      <c r="AT161" s="1086"/>
      <c r="AU161" s="1088"/>
      <c r="AV161" s="1067"/>
    </row>
    <row r="162" spans="1:48" ht="16.5" customHeight="1">
      <c r="A162" s="1073"/>
      <c r="B162" s="1082"/>
      <c r="C162" s="1083"/>
      <c r="D162" s="1074"/>
      <c r="E162" s="1126"/>
      <c r="F162" s="1233"/>
      <c r="G162" s="1074"/>
      <c r="H162" s="1077"/>
      <c r="I162" s="1234"/>
      <c r="J162" s="1081"/>
      <c r="K162" s="1235"/>
      <c r="L162" s="1236"/>
      <c r="M162" s="1237"/>
      <c r="N162" s="1074"/>
      <c r="O162" s="1126"/>
      <c r="P162" s="1192"/>
      <c r="Q162" s="1193"/>
      <c r="R162" s="1038"/>
      <c r="S162" s="1074"/>
      <c r="T162" s="1075"/>
      <c r="U162" s="1184"/>
      <c r="V162" s="1073"/>
      <c r="W162" s="1140"/>
      <c r="X162" s="1141"/>
      <c r="Y162" s="1142"/>
      <c r="Z162" s="1143"/>
      <c r="AA162" s="1074"/>
      <c r="AB162" s="1126"/>
      <c r="AC162" s="1073"/>
      <c r="AD162" s="1091"/>
      <c r="AE162" s="1076"/>
      <c r="AF162" s="1085"/>
      <c r="AG162" s="1116"/>
      <c r="AH162" s="1087"/>
      <c r="AI162" s="1117"/>
      <c r="AJ162" s="1088"/>
      <c r="AK162" s="1089"/>
      <c r="AL162" s="1117"/>
      <c r="AM162" s="1086"/>
      <c r="AN162" s="1116"/>
      <c r="AO162" s="1117"/>
      <c r="AP162" s="1108"/>
      <c r="AQ162" s="1117"/>
      <c r="AR162" s="1108"/>
      <c r="AS162" s="1108"/>
      <c r="AT162" s="1116"/>
      <c r="AU162" s="1118"/>
      <c r="AV162" s="1235"/>
    </row>
    <row r="163" spans="1:48" ht="16.5" customHeight="1">
      <c r="A163" s="1169">
        <v>13</v>
      </c>
      <c r="B163" s="1033" t="s">
        <v>25</v>
      </c>
      <c r="C163" s="1036" t="s">
        <v>408</v>
      </c>
      <c r="D163" s="1170"/>
      <c r="E163" s="1034"/>
      <c r="F163" s="1171" t="s">
        <v>407</v>
      </c>
      <c r="G163" s="1172" t="s">
        <v>25</v>
      </c>
      <c r="H163" s="1173" t="s">
        <v>29</v>
      </c>
      <c r="I163" s="1174">
        <v>868</v>
      </c>
      <c r="J163" s="1175" t="s">
        <v>28</v>
      </c>
      <c r="K163" s="1041" t="s">
        <v>406</v>
      </c>
      <c r="L163" s="1129" t="s">
        <v>46</v>
      </c>
      <c r="M163" s="1176"/>
      <c r="N163" s="1170" t="s">
        <v>25</v>
      </c>
      <c r="O163" s="1177" t="s">
        <v>26</v>
      </c>
      <c r="P163" s="1178">
        <v>1</v>
      </c>
      <c r="Q163" s="1179">
        <v>53.66</v>
      </c>
      <c r="R163" s="1033" t="s">
        <v>25</v>
      </c>
      <c r="S163" s="1034" t="s">
        <v>24</v>
      </c>
      <c r="T163" s="1048">
        <v>3</v>
      </c>
      <c r="U163" s="1238">
        <v>1</v>
      </c>
      <c r="V163" s="1047" t="s">
        <v>56</v>
      </c>
      <c r="W163" s="1200">
        <v>1</v>
      </c>
      <c r="X163" s="1239" t="s">
        <v>46</v>
      </c>
      <c r="Y163" s="1202"/>
      <c r="Z163" s="1229">
        <f>SUM(W163:Y163)</f>
        <v>1</v>
      </c>
      <c r="AA163" s="1170"/>
      <c r="AB163" s="1173"/>
      <c r="AC163" s="1047"/>
      <c r="AD163" s="1055"/>
      <c r="AE163" s="1032"/>
      <c r="AF163" s="1240">
        <f>+Resum!F1*1.1</f>
        <v>391600.00000000006</v>
      </c>
      <c r="AG163" s="1057">
        <f>AF163*I163</f>
        <v>339908800.00000006</v>
      </c>
      <c r="AH163" s="1058">
        <v>1800000</v>
      </c>
      <c r="AI163" s="1058">
        <f>AH163*Q163*0.7</f>
        <v>67611600</v>
      </c>
      <c r="AJ163" s="1182">
        <f>SUM(AI163:AI172)</f>
        <v>101228915.2</v>
      </c>
      <c r="AK163" s="1060">
        <v>40000</v>
      </c>
      <c r="AL163" s="1061">
        <f t="shared" si="16"/>
        <v>40000</v>
      </c>
      <c r="AM163" s="1057">
        <f>SUM(AL163:AL173)</f>
        <v>2811600</v>
      </c>
      <c r="AN163" s="1057">
        <f>AM163+AJ163+AG163</f>
        <v>443949315.20000005</v>
      </c>
      <c r="AO163" s="1058">
        <f>5000000*3</f>
        <v>15000000</v>
      </c>
      <c r="AP163" s="1548">
        <f>(AI163+56604000)*15%</f>
        <v>18632340</v>
      </c>
      <c r="AQ163" s="1058">
        <f>(AG163+AI163)*1%</f>
        <v>4075204.0000000005</v>
      </c>
      <c r="AR163" s="1548">
        <f>(AG163+AI163)*5%</f>
        <v>20376020.000000004</v>
      </c>
      <c r="AS163" s="1058">
        <f>0.5%*(AG163+AI163)*(3)</f>
        <v>6112806.0000000009</v>
      </c>
      <c r="AT163" s="1057">
        <f>+AS163+AR163+AQ163+AP163+AO163</f>
        <v>64196370</v>
      </c>
      <c r="AU163" s="2015">
        <f>ROUND(AT163+AN163,-3)</f>
        <v>508146000</v>
      </c>
      <c r="AV163" s="1041"/>
    </row>
    <row r="164" spans="1:48" ht="16.5" customHeight="1">
      <c r="A164" s="1073"/>
      <c r="B164" s="1038" t="s">
        <v>16</v>
      </c>
      <c r="C164" s="1071" t="s">
        <v>405</v>
      </c>
      <c r="D164" s="1074"/>
      <c r="E164" s="1063"/>
      <c r="F164" s="1138"/>
      <c r="G164" s="1074" t="s">
        <v>16</v>
      </c>
      <c r="H164" s="1074" t="s">
        <v>22</v>
      </c>
      <c r="I164" s="1127"/>
      <c r="J164" s="1128"/>
      <c r="K164" s="1067"/>
      <c r="L164" s="1139"/>
      <c r="M164" s="1130"/>
      <c r="N164" s="1074" t="s">
        <v>435</v>
      </c>
      <c r="O164" s="1131" t="s">
        <v>17</v>
      </c>
      <c r="P164" s="1132">
        <v>1</v>
      </c>
      <c r="Q164" s="1133"/>
      <c r="R164" s="1038"/>
      <c r="S164" s="1074"/>
      <c r="T164" s="1144"/>
      <c r="U164" s="1091"/>
      <c r="V164" s="1073" t="s">
        <v>56</v>
      </c>
      <c r="W164" s="1140"/>
      <c r="X164" s="1241" t="s">
        <v>46</v>
      </c>
      <c r="Y164" s="1142">
        <v>8</v>
      </c>
      <c r="Z164" s="1143">
        <f>SUM(W165:Y165)</f>
        <v>2</v>
      </c>
      <c r="AA164" s="1074"/>
      <c r="AB164" s="1126"/>
      <c r="AC164" s="1073"/>
      <c r="AD164" s="1084"/>
      <c r="AE164" s="1062"/>
      <c r="AF164" s="1085"/>
      <c r="AG164" s="1086"/>
      <c r="AH164" s="1087">
        <v>2500000</v>
      </c>
      <c r="AI164" s="1087">
        <f>AH164*P164*0.5</f>
        <v>1250000</v>
      </c>
      <c r="AJ164" s="1088"/>
      <c r="AK164" s="1089">
        <v>10000</v>
      </c>
      <c r="AL164" s="1090">
        <f>AK164*Y164</f>
        <v>80000</v>
      </c>
      <c r="AM164" s="1086"/>
      <c r="AN164" s="1086"/>
      <c r="AO164" s="1087"/>
      <c r="AP164" s="1076"/>
      <c r="AQ164" s="1087"/>
      <c r="AR164" s="1076"/>
      <c r="AS164" s="1076"/>
      <c r="AT164" s="1086"/>
      <c r="AU164" s="1088"/>
      <c r="AV164" s="1067"/>
    </row>
    <row r="165" spans="1:48" ht="16.5" customHeight="1">
      <c r="A165" s="1073"/>
      <c r="B165" s="1038" t="s">
        <v>18</v>
      </c>
      <c r="C165" s="1039" t="s">
        <v>404</v>
      </c>
      <c r="D165" s="1074"/>
      <c r="E165" s="1074"/>
      <c r="F165" s="1138"/>
      <c r="G165" s="1074" t="s">
        <v>18</v>
      </c>
      <c r="H165" s="1074" t="s">
        <v>19</v>
      </c>
      <c r="I165" s="1127"/>
      <c r="J165" s="1128"/>
      <c r="K165" s="1067"/>
      <c r="L165" s="1139"/>
      <c r="M165" s="1130"/>
      <c r="N165" s="1074" t="s">
        <v>433</v>
      </c>
      <c r="O165" s="1131" t="s">
        <v>11</v>
      </c>
      <c r="P165" s="1132">
        <v>1</v>
      </c>
      <c r="Q165" s="1133"/>
      <c r="R165" s="1038"/>
      <c r="S165" s="1074"/>
      <c r="T165" s="1075"/>
      <c r="U165" s="1184">
        <v>2</v>
      </c>
      <c r="V165" s="1146" t="s">
        <v>88</v>
      </c>
      <c r="W165" s="1140">
        <v>2</v>
      </c>
      <c r="X165" s="1241" t="s">
        <v>46</v>
      </c>
      <c r="Y165" s="1242" t="s">
        <v>46</v>
      </c>
      <c r="Z165" s="1143">
        <f>SUM(W166:Y166)</f>
        <v>1</v>
      </c>
      <c r="AA165" s="1074"/>
      <c r="AB165" s="1126"/>
      <c r="AC165" s="1073"/>
      <c r="AD165" s="1084"/>
      <c r="AE165" s="1062"/>
      <c r="AF165" s="1085"/>
      <c r="AG165" s="1086"/>
      <c r="AH165" s="1087">
        <v>2500000</v>
      </c>
      <c r="AI165" s="1087">
        <f>AH165*P165*0.75</f>
        <v>1875000</v>
      </c>
      <c r="AJ165" s="1088"/>
      <c r="AK165" s="1089">
        <v>73000</v>
      </c>
      <c r="AL165" s="1090">
        <f>AK165*W165</f>
        <v>146000</v>
      </c>
      <c r="AM165" s="1086"/>
      <c r="AN165" s="1086"/>
      <c r="AO165" s="1087"/>
      <c r="AP165" s="1076"/>
      <c r="AQ165" s="1087"/>
      <c r="AR165" s="1076"/>
      <c r="AS165" s="1076"/>
      <c r="AT165" s="1086"/>
      <c r="AU165" s="1088"/>
      <c r="AV165" s="1067"/>
    </row>
    <row r="166" spans="1:48" ht="49.5" customHeight="1">
      <c r="A166" s="1073"/>
      <c r="B166" s="1243" t="s">
        <v>12</v>
      </c>
      <c r="C166" s="1083" t="s">
        <v>210</v>
      </c>
      <c r="D166" s="1074"/>
      <c r="E166" s="1126"/>
      <c r="F166" s="1138"/>
      <c r="G166" s="1074"/>
      <c r="H166" s="1077"/>
      <c r="I166" s="1127"/>
      <c r="J166" s="1128"/>
      <c r="K166" s="1067"/>
      <c r="L166" s="1139"/>
      <c r="M166" s="1130"/>
      <c r="N166" s="1074" t="s">
        <v>431</v>
      </c>
      <c r="O166" s="1131" t="s">
        <v>175</v>
      </c>
      <c r="P166" s="1132">
        <v>1</v>
      </c>
      <c r="Q166" s="1133">
        <v>18</v>
      </c>
      <c r="R166" s="1038"/>
      <c r="S166" s="1074"/>
      <c r="T166" s="1075"/>
      <c r="U166" s="1184">
        <v>3</v>
      </c>
      <c r="V166" s="1185" t="s">
        <v>403</v>
      </c>
      <c r="W166" s="1140">
        <v>1</v>
      </c>
      <c r="X166" s="1241" t="s">
        <v>46</v>
      </c>
      <c r="Y166" s="1142"/>
      <c r="Z166" s="1143"/>
      <c r="AA166" s="1074"/>
      <c r="AB166" s="1063"/>
      <c r="AC166" s="1075"/>
      <c r="AD166" s="1084"/>
      <c r="AE166" s="1062"/>
      <c r="AF166" s="1085"/>
      <c r="AG166" s="1086"/>
      <c r="AH166" s="1087">
        <v>500000</v>
      </c>
      <c r="AI166" s="1087">
        <f t="shared" ref="AI166:AI171" si="19">AH166*Q166*0.7</f>
        <v>6300000</v>
      </c>
      <c r="AJ166" s="1088"/>
      <c r="AK166" s="1089"/>
      <c r="AL166" s="1090">
        <f>AK166*W166</f>
        <v>0</v>
      </c>
      <c r="AM166" s="1086"/>
      <c r="AN166" s="1086"/>
      <c r="AO166" s="1087"/>
      <c r="AP166" s="1076"/>
      <c r="AQ166" s="1087"/>
      <c r="AR166" s="1076"/>
      <c r="AS166" s="1076"/>
      <c r="AT166" s="1086"/>
      <c r="AU166" s="1088"/>
      <c r="AV166" s="1067"/>
    </row>
    <row r="167" spans="1:48" ht="16.5" customHeight="1">
      <c r="A167" s="1073"/>
      <c r="B167" s="1038" t="s">
        <v>8</v>
      </c>
      <c r="C167" s="1244" t="s">
        <v>402</v>
      </c>
      <c r="D167" s="1074"/>
      <c r="E167" s="1126"/>
      <c r="F167" s="1138"/>
      <c r="G167" s="1074"/>
      <c r="H167" s="1077"/>
      <c r="I167" s="1127"/>
      <c r="J167" s="1128"/>
      <c r="K167" s="1067"/>
      <c r="L167" s="1139"/>
      <c r="M167" s="1130"/>
      <c r="N167" s="1074" t="s">
        <v>429</v>
      </c>
      <c r="O167" s="1131" t="s">
        <v>121</v>
      </c>
      <c r="P167" s="1132">
        <v>1</v>
      </c>
      <c r="Q167" s="1133">
        <v>28</v>
      </c>
      <c r="R167" s="1038" t="s">
        <v>16</v>
      </c>
      <c r="S167" s="1074" t="s">
        <v>15</v>
      </c>
      <c r="T167" s="1075">
        <v>5</v>
      </c>
      <c r="U167" s="1184">
        <v>1</v>
      </c>
      <c r="V167" s="1185" t="s">
        <v>157</v>
      </c>
      <c r="W167" s="1241" t="s">
        <v>46</v>
      </c>
      <c r="X167" s="1241" t="s">
        <v>46</v>
      </c>
      <c r="Y167" s="1142">
        <v>20</v>
      </c>
      <c r="Z167" s="1143">
        <f>SUM(W167:Y167)</f>
        <v>20</v>
      </c>
      <c r="AA167" s="1074"/>
      <c r="AB167" s="1063"/>
      <c r="AC167" s="1075"/>
      <c r="AD167" s="1084"/>
      <c r="AE167" s="1062"/>
      <c r="AF167" s="1085"/>
      <c r="AG167" s="1086"/>
      <c r="AH167" s="1087">
        <v>300000</v>
      </c>
      <c r="AI167" s="1087">
        <f>AH167*Q167*0.5</f>
        <v>4200000</v>
      </c>
      <c r="AJ167" s="1088"/>
      <c r="AK167" s="1089">
        <v>41250</v>
      </c>
      <c r="AL167" s="1090">
        <f>AK167*Y167</f>
        <v>825000</v>
      </c>
      <c r="AM167" s="1086"/>
      <c r="AN167" s="1086"/>
      <c r="AO167" s="1087"/>
      <c r="AP167" s="1076"/>
      <c r="AQ167" s="1087"/>
      <c r="AR167" s="1076"/>
      <c r="AS167" s="1076"/>
      <c r="AT167" s="1086"/>
      <c r="AU167" s="1088"/>
      <c r="AV167" s="1067"/>
    </row>
    <row r="168" spans="1:48" ht="33" customHeight="1">
      <c r="A168" s="1082"/>
      <c r="B168" s="1243"/>
      <c r="C168" s="1083"/>
      <c r="D168" s="1074"/>
      <c r="E168" s="1126"/>
      <c r="F168" s="1138"/>
      <c r="G168" s="1074"/>
      <c r="H168" s="1077"/>
      <c r="I168" s="1127"/>
      <c r="J168" s="1128"/>
      <c r="K168" s="1067"/>
      <c r="L168" s="1139"/>
      <c r="M168" s="1130"/>
      <c r="N168" s="1074" t="s">
        <v>428</v>
      </c>
      <c r="O168" s="1131" t="s">
        <v>401</v>
      </c>
      <c r="P168" s="1132">
        <v>1</v>
      </c>
      <c r="Q168" s="1133">
        <v>4</v>
      </c>
      <c r="R168" s="1038"/>
      <c r="S168" s="1074"/>
      <c r="T168" s="1075"/>
      <c r="U168" s="1184">
        <v>2</v>
      </c>
      <c r="V168" s="1185" t="s">
        <v>14</v>
      </c>
      <c r="W168" s="1140">
        <v>4</v>
      </c>
      <c r="X168" s="1141"/>
      <c r="Y168" s="1242" t="s">
        <v>46</v>
      </c>
      <c r="Z168" s="1143">
        <f>SUM(W168:Y168)</f>
        <v>4</v>
      </c>
      <c r="AA168" s="1074"/>
      <c r="AB168" s="1063"/>
      <c r="AC168" s="1075"/>
      <c r="AD168" s="1084"/>
      <c r="AE168" s="1062"/>
      <c r="AF168" s="1085"/>
      <c r="AG168" s="1086"/>
      <c r="AH168" s="1087">
        <v>205359</v>
      </c>
      <c r="AI168" s="1087">
        <f t="shared" si="19"/>
        <v>575005.19999999995</v>
      </c>
      <c r="AJ168" s="1088"/>
      <c r="AK168" s="1089">
        <v>350000</v>
      </c>
      <c r="AL168" s="1087">
        <f>AK168*W168</f>
        <v>1400000</v>
      </c>
      <c r="AM168" s="1086"/>
      <c r="AN168" s="1086"/>
      <c r="AO168" s="1087"/>
      <c r="AP168" s="1076"/>
      <c r="AQ168" s="1087"/>
      <c r="AR168" s="1076"/>
      <c r="AS168" s="1076"/>
      <c r="AT168" s="1086"/>
      <c r="AU168" s="1088"/>
      <c r="AV168" s="1067"/>
    </row>
    <row r="169" spans="1:48" ht="16.5" customHeight="1">
      <c r="A169" s="1073"/>
      <c r="B169" s="1243"/>
      <c r="C169" s="1083"/>
      <c r="D169" s="1074"/>
      <c r="E169" s="1126"/>
      <c r="F169" s="1138"/>
      <c r="G169" s="1074"/>
      <c r="H169" s="1077"/>
      <c r="I169" s="1127"/>
      <c r="J169" s="1128"/>
      <c r="K169" s="1067"/>
      <c r="L169" s="1139"/>
      <c r="M169" s="1130"/>
      <c r="N169" s="1074" t="s">
        <v>427</v>
      </c>
      <c r="O169" s="1131" t="s">
        <v>399</v>
      </c>
      <c r="P169" s="1132">
        <v>1</v>
      </c>
      <c r="Q169" s="1133">
        <v>5</v>
      </c>
      <c r="R169" s="1038"/>
      <c r="S169" s="1074"/>
      <c r="T169" s="1075"/>
      <c r="U169" s="1184">
        <v>3</v>
      </c>
      <c r="V169" s="1185" t="s">
        <v>144</v>
      </c>
      <c r="W169" s="1140">
        <v>6</v>
      </c>
      <c r="X169" s="1141"/>
      <c r="Y169" s="1142"/>
      <c r="Z169" s="1143">
        <f>SUM(W169:Y169)</f>
        <v>6</v>
      </c>
      <c r="AA169" s="1074"/>
      <c r="AB169" s="1063"/>
      <c r="AC169" s="1075"/>
      <c r="AD169" s="1084"/>
      <c r="AE169" s="1062"/>
      <c r="AF169" s="1085"/>
      <c r="AG169" s="1086"/>
      <c r="AH169" s="1087">
        <v>400000</v>
      </c>
      <c r="AI169" s="1087">
        <f t="shared" si="19"/>
        <v>1400000</v>
      </c>
      <c r="AJ169" s="1088"/>
      <c r="AK169" s="1089">
        <v>20100</v>
      </c>
      <c r="AL169" s="1090">
        <f t="shared" si="16"/>
        <v>120600</v>
      </c>
      <c r="AM169" s="1086"/>
      <c r="AN169" s="1086"/>
      <c r="AO169" s="1087"/>
      <c r="AP169" s="1076"/>
      <c r="AQ169" s="1087"/>
      <c r="AR169" s="1076"/>
      <c r="AS169" s="1076"/>
      <c r="AT169" s="1086"/>
      <c r="AU169" s="1088"/>
      <c r="AV169" s="1067"/>
    </row>
    <row r="170" spans="1:48" ht="33" customHeight="1">
      <c r="A170" s="1073"/>
      <c r="B170" s="1243"/>
      <c r="C170" s="1083"/>
      <c r="D170" s="1074"/>
      <c r="E170" s="1126"/>
      <c r="F170" s="1138"/>
      <c r="G170" s="1074"/>
      <c r="H170" s="1077"/>
      <c r="I170" s="1127"/>
      <c r="J170" s="1128"/>
      <c r="K170" s="1067"/>
      <c r="L170" s="1139"/>
      <c r="M170" s="1130"/>
      <c r="N170" s="1074" t="s">
        <v>446</v>
      </c>
      <c r="O170" s="1131" t="s">
        <v>398</v>
      </c>
      <c r="P170" s="1132">
        <v>1</v>
      </c>
      <c r="Q170" s="1133">
        <v>26.21</v>
      </c>
      <c r="R170" s="1038"/>
      <c r="S170" s="1074"/>
      <c r="T170" s="1075"/>
      <c r="U170" s="1184">
        <v>4</v>
      </c>
      <c r="V170" s="1185" t="s">
        <v>48</v>
      </c>
      <c r="W170" s="1140">
        <v>5</v>
      </c>
      <c r="X170" s="1141"/>
      <c r="Y170" s="1142"/>
      <c r="Z170" s="1143">
        <f>SUM(W170:Y170)</f>
        <v>5</v>
      </c>
      <c r="AA170" s="1074"/>
      <c r="AB170" s="1063"/>
      <c r="AC170" s="1075"/>
      <c r="AD170" s="1084"/>
      <c r="AE170" s="1062"/>
      <c r="AF170" s="1085"/>
      <c r="AG170" s="1086"/>
      <c r="AH170" s="1087">
        <v>430000</v>
      </c>
      <c r="AI170" s="1087">
        <f t="shared" si="19"/>
        <v>7889209.9999999991</v>
      </c>
      <c r="AJ170" s="1088"/>
      <c r="AK170" s="1089">
        <v>15000</v>
      </c>
      <c r="AL170" s="1090">
        <f t="shared" si="16"/>
        <v>75000</v>
      </c>
      <c r="AM170" s="1086"/>
      <c r="AN170" s="1086"/>
      <c r="AO170" s="1087"/>
      <c r="AP170" s="1076"/>
      <c r="AQ170" s="1087"/>
      <c r="AR170" s="1076"/>
      <c r="AS170" s="1076"/>
      <c r="AT170" s="1086"/>
      <c r="AU170" s="1088"/>
      <c r="AV170" s="1067"/>
    </row>
    <row r="171" spans="1:48" ht="16.5" customHeight="1">
      <c r="A171" s="1073"/>
      <c r="B171" s="1243"/>
      <c r="C171" s="1083"/>
      <c r="D171" s="1074"/>
      <c r="E171" s="1126"/>
      <c r="F171" s="1138"/>
      <c r="G171" s="1074"/>
      <c r="H171" s="1077"/>
      <c r="I171" s="1127"/>
      <c r="J171" s="1128"/>
      <c r="K171" s="1067"/>
      <c r="L171" s="1139"/>
      <c r="M171" s="1130"/>
      <c r="N171" s="1038" t="s">
        <v>445</v>
      </c>
      <c r="O171" s="1131" t="s">
        <v>184</v>
      </c>
      <c r="P171" s="1132">
        <v>1</v>
      </c>
      <c r="Q171" s="1226">
        <v>3.67</v>
      </c>
      <c r="R171" s="1038"/>
      <c r="S171" s="1074"/>
      <c r="T171" s="1075"/>
      <c r="U171" s="1184"/>
      <c r="V171" s="1185" t="s">
        <v>48</v>
      </c>
      <c r="W171" s="1140"/>
      <c r="X171" s="1141"/>
      <c r="Y171" s="1142">
        <v>25</v>
      </c>
      <c r="Z171" s="1143"/>
      <c r="AA171" s="1074"/>
      <c r="AB171" s="1063"/>
      <c r="AC171" s="1075"/>
      <c r="AD171" s="1084"/>
      <c r="AE171" s="1062"/>
      <c r="AF171" s="1085"/>
      <c r="AG171" s="1086"/>
      <c r="AH171" s="1087">
        <v>100000</v>
      </c>
      <c r="AI171" s="1087">
        <f t="shared" si="19"/>
        <v>256899.99999999997</v>
      </c>
      <c r="AJ171" s="1088"/>
      <c r="AK171" s="1089">
        <v>5000</v>
      </c>
      <c r="AL171" s="1090">
        <f>AK171*Y171</f>
        <v>125000</v>
      </c>
      <c r="AM171" s="1086"/>
      <c r="AN171" s="1086"/>
      <c r="AO171" s="1087"/>
      <c r="AP171" s="1076"/>
      <c r="AQ171" s="1087"/>
      <c r="AR171" s="1076"/>
      <c r="AS171" s="1076"/>
      <c r="AT171" s="1086"/>
      <c r="AU171" s="1088"/>
      <c r="AV171" s="1067"/>
    </row>
    <row r="172" spans="1:48" ht="16.5" customHeight="1">
      <c r="A172" s="1073"/>
      <c r="B172" s="1243"/>
      <c r="C172" s="1083"/>
      <c r="D172" s="1074"/>
      <c r="E172" s="1126"/>
      <c r="F172" s="1138"/>
      <c r="G172" s="1074"/>
      <c r="H172" s="1077"/>
      <c r="I172" s="1127"/>
      <c r="J172" s="1128"/>
      <c r="K172" s="1067"/>
      <c r="L172" s="1139"/>
      <c r="M172" s="1130"/>
      <c r="N172" s="1245" t="s">
        <v>172</v>
      </c>
      <c r="O172" s="1246" t="s">
        <v>62</v>
      </c>
      <c r="P172" s="1132">
        <v>1</v>
      </c>
      <c r="Q172" s="1247">
        <v>9.14</v>
      </c>
      <c r="R172" s="1038"/>
      <c r="S172" s="1074"/>
      <c r="T172" s="1075"/>
      <c r="U172" s="1184"/>
      <c r="V172" s="1185"/>
      <c r="W172" s="1140"/>
      <c r="X172" s="1141"/>
      <c r="Y172" s="1142"/>
      <c r="Z172" s="1143"/>
      <c r="AA172" s="1074"/>
      <c r="AB172" s="1063"/>
      <c r="AC172" s="1075"/>
      <c r="AD172" s="1084"/>
      <c r="AE172" s="1062"/>
      <c r="AF172" s="1085"/>
      <c r="AG172" s="1086"/>
      <c r="AH172" s="1087">
        <v>1800000</v>
      </c>
      <c r="AI172" s="1087">
        <f>AH172*Q172*0.6</f>
        <v>9871200</v>
      </c>
      <c r="AJ172" s="1088"/>
      <c r="AK172" s="1089"/>
      <c r="AL172" s="1090"/>
      <c r="AM172" s="1086"/>
      <c r="AN172" s="1086"/>
      <c r="AO172" s="1087"/>
      <c r="AP172" s="1076"/>
      <c r="AQ172" s="1087"/>
      <c r="AR172" s="1076"/>
      <c r="AS172" s="1076"/>
      <c r="AT172" s="1086"/>
      <c r="AU172" s="1088"/>
      <c r="AV172" s="1067"/>
    </row>
    <row r="173" spans="1:48" ht="16.5" customHeight="1">
      <c r="A173" s="1107"/>
      <c r="B173" s="2016"/>
      <c r="C173" s="1105"/>
      <c r="D173" s="1094"/>
      <c r="E173" s="1156"/>
      <c r="F173" s="1150"/>
      <c r="G173" s="1094"/>
      <c r="H173" s="1151"/>
      <c r="I173" s="1152"/>
      <c r="J173" s="1153"/>
      <c r="K173" s="1101"/>
      <c r="L173" s="1154"/>
      <c r="M173" s="1155"/>
      <c r="N173" s="1094"/>
      <c r="O173" s="1167"/>
      <c r="P173" s="1187"/>
      <c r="Q173" s="1248"/>
      <c r="R173" s="1095"/>
      <c r="S173" s="1094"/>
      <c r="T173" s="1168"/>
      <c r="U173" s="1188">
        <v>5</v>
      </c>
      <c r="V173" s="1189" t="s">
        <v>400</v>
      </c>
      <c r="W173" s="1249">
        <v>1</v>
      </c>
      <c r="X173" s="1250"/>
      <c r="Y173" s="1251" t="s">
        <v>46</v>
      </c>
      <c r="Z173" s="1208">
        <f>SUM(W173:Y173)</f>
        <v>1</v>
      </c>
      <c r="AA173" s="1094"/>
      <c r="AB173" s="1167"/>
      <c r="AC173" s="1168"/>
      <c r="AD173" s="1114"/>
      <c r="AE173" s="1093"/>
      <c r="AF173" s="1115"/>
      <c r="AG173" s="1116"/>
      <c r="AH173" s="1117"/>
      <c r="AI173" s="1117"/>
      <c r="AJ173" s="1118"/>
      <c r="AK173" s="1119"/>
      <c r="AL173" s="1120">
        <f t="shared" si="16"/>
        <v>0</v>
      </c>
      <c r="AM173" s="1116"/>
      <c r="AN173" s="1116"/>
      <c r="AO173" s="1117"/>
      <c r="AP173" s="1108"/>
      <c r="AQ173" s="1117"/>
      <c r="AR173" s="1108"/>
      <c r="AS173" s="1108"/>
      <c r="AT173" s="1116"/>
      <c r="AU173" s="1118"/>
      <c r="AV173" s="1101"/>
    </row>
    <row r="174" spans="1:48" ht="16.5" customHeight="1">
      <c r="A174" s="1169">
        <v>14</v>
      </c>
      <c r="B174" s="1033" t="s">
        <v>25</v>
      </c>
      <c r="C174" s="1036" t="s">
        <v>171</v>
      </c>
      <c r="D174" s="1170"/>
      <c r="E174" s="1034"/>
      <c r="F174" s="1171" t="s">
        <v>397</v>
      </c>
      <c r="G174" s="1172" t="s">
        <v>25</v>
      </c>
      <c r="H174" s="1173" t="s">
        <v>29</v>
      </c>
      <c r="I174" s="1174">
        <v>611</v>
      </c>
      <c r="J174" s="1175" t="s">
        <v>28</v>
      </c>
      <c r="K174" s="1041" t="s">
        <v>396</v>
      </c>
      <c r="L174" s="1129" t="s">
        <v>46</v>
      </c>
      <c r="M174" s="1176"/>
      <c r="N174" s="1170" t="s">
        <v>25</v>
      </c>
      <c r="O174" s="1177" t="s">
        <v>26</v>
      </c>
      <c r="P174" s="1178">
        <v>1</v>
      </c>
      <c r="Q174" s="1179">
        <v>320.25</v>
      </c>
      <c r="R174" s="1033" t="s">
        <v>25</v>
      </c>
      <c r="S174" s="1034" t="s">
        <v>24</v>
      </c>
      <c r="T174" s="1048">
        <v>2</v>
      </c>
      <c r="U174" s="1180">
        <v>1</v>
      </c>
      <c r="V174" s="1047" t="s">
        <v>56</v>
      </c>
      <c r="W174" s="1239" t="s">
        <v>46</v>
      </c>
      <c r="X174" s="1201">
        <v>10</v>
      </c>
      <c r="Y174" s="1252" t="s">
        <v>46</v>
      </c>
      <c r="Z174" s="1229">
        <f>SUM(X174:Y174)</f>
        <v>10</v>
      </c>
      <c r="AA174" s="1170"/>
      <c r="AB174" s="1173"/>
      <c r="AC174" s="1047"/>
      <c r="AD174" s="1055"/>
      <c r="AE174" s="1032"/>
      <c r="AF174" s="1056">
        <f>Resum!F1*1.1</f>
        <v>391600.00000000006</v>
      </c>
      <c r="AG174" s="1086">
        <f>AF174*I174</f>
        <v>239267600.00000003</v>
      </c>
      <c r="AH174" s="1058">
        <v>2530000</v>
      </c>
      <c r="AI174" s="1087">
        <f>AH174*Q174*0.8</f>
        <v>648186000</v>
      </c>
      <c r="AJ174" s="1182">
        <f>SUM(AI174:AI183)</f>
        <v>721488400</v>
      </c>
      <c r="AK174" s="1060">
        <v>25000</v>
      </c>
      <c r="AL174" s="1090">
        <f>AK174*X174</f>
        <v>250000</v>
      </c>
      <c r="AM174" s="1057">
        <f>SUM(AL174:AL192)</f>
        <v>1710500</v>
      </c>
      <c r="AN174" s="1086">
        <f>AM174+AJ174+AG174</f>
        <v>962466500</v>
      </c>
      <c r="AO174" s="1058"/>
      <c r="AP174" s="1136">
        <f>(AI174+AG174)*10%</f>
        <v>88745360</v>
      </c>
      <c r="AQ174" s="1087">
        <f>(AG174+AI174)*1%</f>
        <v>8874536</v>
      </c>
      <c r="AR174" s="1136">
        <f>(AG174+AI174)*5%</f>
        <v>44372680</v>
      </c>
      <c r="AS174" s="1087">
        <f>0.5%*(AG174+AI174)*(3)</f>
        <v>13311804</v>
      </c>
      <c r="AT174" s="1086">
        <f>+AS174+AR174+AQ174+AP174+AO174</f>
        <v>155304380</v>
      </c>
      <c r="AU174" s="1137">
        <f>ROUND(AT174+AN174,-3)</f>
        <v>1117771000</v>
      </c>
      <c r="AV174" s="1041"/>
    </row>
    <row r="175" spans="1:48" ht="16.5" customHeight="1">
      <c r="A175" s="1073"/>
      <c r="B175" s="1038" t="s">
        <v>16</v>
      </c>
      <c r="C175" s="1071" t="s">
        <v>168</v>
      </c>
      <c r="D175" s="1074"/>
      <c r="E175" s="1063"/>
      <c r="F175" s="1138"/>
      <c r="G175" s="1074" t="s">
        <v>16</v>
      </c>
      <c r="H175" s="1074" t="s">
        <v>22</v>
      </c>
      <c r="I175" s="1127"/>
      <c r="J175" s="1128"/>
      <c r="K175" s="1067"/>
      <c r="L175" s="1139"/>
      <c r="M175" s="1130"/>
      <c r="N175" s="1074" t="s">
        <v>16</v>
      </c>
      <c r="O175" s="1123" t="s">
        <v>59</v>
      </c>
      <c r="P175" s="1132">
        <v>1</v>
      </c>
      <c r="Q175" s="1133">
        <v>210</v>
      </c>
      <c r="R175" s="1038"/>
      <c r="S175" s="1074"/>
      <c r="T175" s="1075"/>
      <c r="U175" s="1091">
        <v>2</v>
      </c>
      <c r="V175" s="1073" t="s">
        <v>275</v>
      </c>
      <c r="W175" s="1140"/>
      <c r="X175" s="1241" t="s">
        <v>46</v>
      </c>
      <c r="Y175" s="1142">
        <v>1</v>
      </c>
      <c r="Z175" s="1143">
        <f>SUM(X175:Y175)</f>
        <v>1</v>
      </c>
      <c r="AA175" s="1074"/>
      <c r="AB175" s="1126"/>
      <c r="AC175" s="1073"/>
      <c r="AD175" s="1084"/>
      <c r="AE175" s="1062"/>
      <c r="AF175" s="1085"/>
      <c r="AG175" s="1086"/>
      <c r="AH175" s="1087">
        <v>180000</v>
      </c>
      <c r="AI175" s="1087">
        <f>AH175*Q175*0.5</f>
        <v>18900000</v>
      </c>
      <c r="AJ175" s="1088"/>
      <c r="AK175" s="1089">
        <v>23000</v>
      </c>
      <c r="AL175" s="1090">
        <f>AK175*Y175</f>
        <v>23000</v>
      </c>
      <c r="AM175" s="1086"/>
      <c r="AN175" s="1086"/>
      <c r="AO175" s="1087"/>
      <c r="AP175" s="1076"/>
      <c r="AQ175" s="1087"/>
      <c r="AR175" s="1076"/>
      <c r="AS175" s="1076"/>
      <c r="AT175" s="1086"/>
      <c r="AU175" s="1088"/>
      <c r="AV175" s="1067"/>
    </row>
    <row r="176" spans="1:48" ht="16.5" customHeight="1">
      <c r="A176" s="1073"/>
      <c r="B176" s="1038" t="s">
        <v>18</v>
      </c>
      <c r="C176" s="1039" t="s">
        <v>60</v>
      </c>
      <c r="D176" s="1074"/>
      <c r="E176" s="1074"/>
      <c r="F176" s="1138"/>
      <c r="G176" s="1074" t="s">
        <v>18</v>
      </c>
      <c r="H176" s="1074" t="s">
        <v>19</v>
      </c>
      <c r="I176" s="1127"/>
      <c r="J176" s="1128"/>
      <c r="K176" s="1067"/>
      <c r="L176" s="1139"/>
      <c r="M176" s="1130"/>
      <c r="N176" s="1074" t="s">
        <v>18</v>
      </c>
      <c r="O176" s="1123" t="s">
        <v>395</v>
      </c>
      <c r="P176" s="1132"/>
      <c r="Q176" s="1133">
        <v>45.52</v>
      </c>
      <c r="R176" s="1038"/>
      <c r="S176" s="1074"/>
      <c r="T176" s="1075"/>
      <c r="U176" s="1253"/>
      <c r="V176" s="1073"/>
      <c r="W176" s="1140"/>
      <c r="X176" s="1141"/>
      <c r="Y176" s="1142"/>
      <c r="Z176" s="1143"/>
      <c r="AA176" s="1074"/>
      <c r="AB176" s="1126"/>
      <c r="AC176" s="1073"/>
      <c r="AD176" s="1084"/>
      <c r="AE176" s="1062"/>
      <c r="AF176" s="1085"/>
      <c r="AG176" s="1086"/>
      <c r="AH176" s="1087">
        <v>350000</v>
      </c>
      <c r="AI176" s="1087">
        <f>AH176*Q176*0.7</f>
        <v>11152400</v>
      </c>
      <c r="AJ176" s="1088"/>
      <c r="AK176" s="1089"/>
      <c r="AL176" s="1090"/>
      <c r="AM176" s="1086"/>
      <c r="AN176" s="1086"/>
      <c r="AO176" s="1087"/>
      <c r="AP176" s="1076"/>
      <c r="AQ176" s="1087"/>
      <c r="AR176" s="1076"/>
      <c r="AS176" s="1076"/>
      <c r="AT176" s="1086"/>
      <c r="AU176" s="1088"/>
      <c r="AV176" s="1067"/>
    </row>
    <row r="177" spans="1:48" ht="49.5" customHeight="1">
      <c r="A177" s="1073"/>
      <c r="B177" s="1082" t="s">
        <v>12</v>
      </c>
      <c r="C177" s="1083" t="s">
        <v>13</v>
      </c>
      <c r="D177" s="1077"/>
      <c r="E177" s="1126"/>
      <c r="F177" s="1138"/>
      <c r="G177" s="1074"/>
      <c r="H177" s="1077"/>
      <c r="I177" s="1127"/>
      <c r="J177" s="1128"/>
      <c r="K177" s="1067"/>
      <c r="L177" s="1139"/>
      <c r="M177" s="1130"/>
      <c r="N177" s="1074" t="s">
        <v>12</v>
      </c>
      <c r="O177" s="1123" t="s">
        <v>17</v>
      </c>
      <c r="P177" s="1132">
        <v>3</v>
      </c>
      <c r="Q177" s="1133"/>
      <c r="R177" s="1038" t="s">
        <v>16</v>
      </c>
      <c r="S177" s="1074" t="s">
        <v>15</v>
      </c>
      <c r="T177" s="1144">
        <v>16</v>
      </c>
      <c r="U177" s="1254">
        <v>1</v>
      </c>
      <c r="V177" s="1255" t="s">
        <v>14</v>
      </c>
      <c r="W177" s="1241">
        <v>3</v>
      </c>
      <c r="X177" s="1241" t="s">
        <v>46</v>
      </c>
      <c r="Y177" s="1242" t="s">
        <v>46</v>
      </c>
      <c r="Z177" s="1143">
        <f t="shared" ref="Z177:Z192" si="20">SUM(W177:Y177)</f>
        <v>3</v>
      </c>
      <c r="AA177" s="1074"/>
      <c r="AB177" s="1063"/>
      <c r="AC177" s="1075"/>
      <c r="AD177" s="1084"/>
      <c r="AE177" s="1062"/>
      <c r="AF177" s="1085"/>
      <c r="AG177" s="1086"/>
      <c r="AH177" s="1087">
        <v>2500000</v>
      </c>
      <c r="AI177" s="1087">
        <f>AH177*P177*0.5</f>
        <v>3750000</v>
      </c>
      <c r="AJ177" s="1088"/>
      <c r="AK177" s="1089">
        <v>350000</v>
      </c>
      <c r="AL177" s="1087">
        <f t="shared" si="16"/>
        <v>1050000</v>
      </c>
      <c r="AM177" s="1086"/>
      <c r="AN177" s="1086"/>
      <c r="AO177" s="1087"/>
      <c r="AP177" s="1076"/>
      <c r="AQ177" s="1087"/>
      <c r="AR177" s="1076"/>
      <c r="AS177" s="1076"/>
      <c r="AT177" s="1086"/>
      <c r="AU177" s="1088"/>
      <c r="AV177" s="1067"/>
    </row>
    <row r="178" spans="1:48" ht="16.5" customHeight="1">
      <c r="A178" s="1073"/>
      <c r="B178" s="1038" t="s">
        <v>8</v>
      </c>
      <c r="C178" s="1244" t="s">
        <v>167</v>
      </c>
      <c r="D178" s="1077"/>
      <c r="E178" s="1126"/>
      <c r="F178" s="1138"/>
      <c r="G178" s="1074"/>
      <c r="H178" s="1077"/>
      <c r="I178" s="1127"/>
      <c r="J178" s="1128"/>
      <c r="K178" s="1067"/>
      <c r="L178" s="1139"/>
      <c r="M178" s="1130"/>
      <c r="N178" s="1074" t="s">
        <v>8</v>
      </c>
      <c r="O178" s="1123" t="s">
        <v>11</v>
      </c>
      <c r="P178" s="1132">
        <v>2</v>
      </c>
      <c r="Q178" s="1133"/>
      <c r="R178" s="1038"/>
      <c r="S178" s="1074"/>
      <c r="T178" s="1144"/>
      <c r="U178" s="1254">
        <v>2</v>
      </c>
      <c r="V178" s="1255" t="s">
        <v>144</v>
      </c>
      <c r="W178" s="1241" t="s">
        <v>46</v>
      </c>
      <c r="X178" s="1241" t="s">
        <v>46</v>
      </c>
      <c r="Y178" s="1242">
        <v>12</v>
      </c>
      <c r="Z178" s="1143">
        <f t="shared" si="20"/>
        <v>12</v>
      </c>
      <c r="AA178" s="1074"/>
      <c r="AB178" s="1063"/>
      <c r="AC178" s="1075"/>
      <c r="AD178" s="1084"/>
      <c r="AE178" s="1062"/>
      <c r="AF178" s="1085"/>
      <c r="AG178" s="1086"/>
      <c r="AH178" s="1087">
        <v>2500000</v>
      </c>
      <c r="AI178" s="1087">
        <f>AH178*P178*0.75</f>
        <v>3750000</v>
      </c>
      <c r="AJ178" s="1088"/>
      <c r="AK178" s="1089">
        <v>6600</v>
      </c>
      <c r="AL178" s="1090">
        <f>AK178*Y178</f>
        <v>79200</v>
      </c>
      <c r="AM178" s="1086"/>
      <c r="AN178" s="1086"/>
      <c r="AO178" s="1087"/>
      <c r="AP178" s="1076"/>
      <c r="AQ178" s="1087"/>
      <c r="AR178" s="1076"/>
      <c r="AS178" s="1076"/>
      <c r="AT178" s="1086"/>
      <c r="AU178" s="1088"/>
      <c r="AV178" s="1067"/>
    </row>
    <row r="179" spans="1:48" ht="16.5" customHeight="1">
      <c r="A179" s="1073"/>
      <c r="B179" s="1082"/>
      <c r="C179" s="1083"/>
      <c r="D179" s="1077"/>
      <c r="E179" s="1126"/>
      <c r="F179" s="1138"/>
      <c r="G179" s="1074"/>
      <c r="H179" s="1077"/>
      <c r="I179" s="1127"/>
      <c r="J179" s="1128"/>
      <c r="K179" s="1067"/>
      <c r="L179" s="1139"/>
      <c r="M179" s="1130"/>
      <c r="N179" s="1074" t="s">
        <v>54</v>
      </c>
      <c r="O179" s="1123" t="s">
        <v>7</v>
      </c>
      <c r="P179" s="1132">
        <v>1</v>
      </c>
      <c r="Q179" s="1133">
        <v>106</v>
      </c>
      <c r="R179" s="1038"/>
      <c r="S179" s="1074"/>
      <c r="T179" s="1144"/>
      <c r="U179" s="1254">
        <v>3</v>
      </c>
      <c r="V179" s="1255" t="s">
        <v>6</v>
      </c>
      <c r="W179" s="1241" t="s">
        <v>46</v>
      </c>
      <c r="X179" s="1241">
        <v>4</v>
      </c>
      <c r="Y179" s="1256" t="s">
        <v>46</v>
      </c>
      <c r="Z179" s="1143">
        <f t="shared" si="20"/>
        <v>4</v>
      </c>
      <c r="AA179" s="1074"/>
      <c r="AB179" s="1063"/>
      <c r="AC179" s="1075"/>
      <c r="AD179" s="1084"/>
      <c r="AE179" s="1062"/>
      <c r="AF179" s="1085"/>
      <c r="AG179" s="1086"/>
      <c r="AH179" s="1087">
        <v>250000</v>
      </c>
      <c r="AI179" s="1087">
        <f>AH179*Q179*0.5</f>
        <v>13250000</v>
      </c>
      <c r="AJ179" s="1088"/>
      <c r="AK179" s="1089">
        <v>5000</v>
      </c>
      <c r="AL179" s="1090">
        <f>AK179*X179</f>
        <v>20000</v>
      </c>
      <c r="AM179" s="1086"/>
      <c r="AN179" s="1086"/>
      <c r="AO179" s="1087"/>
      <c r="AP179" s="1076"/>
      <c r="AQ179" s="1087"/>
      <c r="AR179" s="1076"/>
      <c r="AS179" s="1076"/>
      <c r="AT179" s="1086"/>
      <c r="AU179" s="1088"/>
      <c r="AV179" s="1067"/>
    </row>
    <row r="180" spans="1:48" ht="16.5" customHeight="1">
      <c r="A180" s="1073"/>
      <c r="B180" s="1082"/>
      <c r="C180" s="1083"/>
      <c r="D180" s="1077"/>
      <c r="E180" s="1126"/>
      <c r="F180" s="1138"/>
      <c r="G180" s="1074"/>
      <c r="H180" s="1077"/>
      <c r="I180" s="1127"/>
      <c r="J180" s="1128"/>
      <c r="K180" s="1067"/>
      <c r="L180" s="1139"/>
      <c r="M180" s="1130"/>
      <c r="N180" s="1074" t="s">
        <v>53</v>
      </c>
      <c r="O180" s="1123" t="s">
        <v>121</v>
      </c>
      <c r="P180" s="1132">
        <v>1</v>
      </c>
      <c r="Q180" s="1133">
        <v>23</v>
      </c>
      <c r="R180" s="1038"/>
      <c r="S180" s="1074"/>
      <c r="T180" s="1144"/>
      <c r="U180" s="1254">
        <v>4</v>
      </c>
      <c r="V180" s="1255" t="s">
        <v>3</v>
      </c>
      <c r="W180" s="1241" t="s">
        <v>46</v>
      </c>
      <c r="X180" s="1241" t="s">
        <v>46</v>
      </c>
      <c r="Y180" s="1242">
        <v>1</v>
      </c>
      <c r="Z180" s="1143">
        <f t="shared" si="20"/>
        <v>1</v>
      </c>
      <c r="AA180" s="1074"/>
      <c r="AB180" s="1063"/>
      <c r="AC180" s="1075"/>
      <c r="AD180" s="1084"/>
      <c r="AE180" s="1062"/>
      <c r="AF180" s="1085"/>
      <c r="AG180" s="1086"/>
      <c r="AH180" s="1087">
        <v>300000</v>
      </c>
      <c r="AI180" s="1087">
        <f>AH180*Q180*0.5</f>
        <v>3450000</v>
      </c>
      <c r="AJ180" s="1088"/>
      <c r="AK180" s="1089">
        <v>20000</v>
      </c>
      <c r="AL180" s="1090">
        <f>AK180*Y180</f>
        <v>20000</v>
      </c>
      <c r="AM180" s="1086"/>
      <c r="AN180" s="1086"/>
      <c r="AO180" s="1087"/>
      <c r="AP180" s="1076"/>
      <c r="AQ180" s="1087"/>
      <c r="AR180" s="1076"/>
      <c r="AS180" s="1076"/>
      <c r="AT180" s="1086"/>
      <c r="AU180" s="1088"/>
      <c r="AV180" s="1067"/>
    </row>
    <row r="181" spans="1:48" ht="16.5" customHeight="1">
      <c r="A181" s="1073"/>
      <c r="B181" s="1082"/>
      <c r="C181" s="1083"/>
      <c r="D181" s="1077"/>
      <c r="E181" s="1126"/>
      <c r="F181" s="1138"/>
      <c r="G181" s="1074"/>
      <c r="H181" s="1077"/>
      <c r="I181" s="1127"/>
      <c r="J181" s="1128"/>
      <c r="K181" s="1067"/>
      <c r="L181" s="1139"/>
      <c r="M181" s="1130"/>
      <c r="N181" s="1074" t="s">
        <v>51</v>
      </c>
      <c r="O181" s="1123" t="s">
        <v>394</v>
      </c>
      <c r="P181" s="1132">
        <v>1</v>
      </c>
      <c r="Q181" s="1133">
        <v>60</v>
      </c>
      <c r="R181" s="1038"/>
      <c r="S181" s="1074"/>
      <c r="T181" s="1144"/>
      <c r="U181" s="1254">
        <v>5</v>
      </c>
      <c r="V181" s="1255" t="s">
        <v>217</v>
      </c>
      <c r="W181" s="1241">
        <v>2</v>
      </c>
      <c r="X181" s="1241" t="s">
        <v>46</v>
      </c>
      <c r="Y181" s="1242" t="s">
        <v>46</v>
      </c>
      <c r="Z181" s="1143">
        <f t="shared" si="20"/>
        <v>2</v>
      </c>
      <c r="AA181" s="1074"/>
      <c r="AB181" s="1063"/>
      <c r="AC181" s="1075"/>
      <c r="AD181" s="1084"/>
      <c r="AE181" s="1062"/>
      <c r="AF181" s="1085"/>
      <c r="AG181" s="1086"/>
      <c r="AH181" s="1087">
        <v>450000</v>
      </c>
      <c r="AI181" s="1087">
        <f>AH181*Q181*0.5</f>
        <v>13500000</v>
      </c>
      <c r="AJ181" s="1088"/>
      <c r="AK181" s="1089">
        <v>900</v>
      </c>
      <c r="AL181" s="1090">
        <f>AK181*W181</f>
        <v>1800</v>
      </c>
      <c r="AM181" s="1086"/>
      <c r="AN181" s="1086"/>
      <c r="AO181" s="1087"/>
      <c r="AP181" s="1076"/>
      <c r="AQ181" s="1087"/>
      <c r="AR181" s="1076"/>
      <c r="AS181" s="1076"/>
      <c r="AT181" s="1086"/>
      <c r="AU181" s="1088"/>
      <c r="AV181" s="1067"/>
    </row>
    <row r="182" spans="1:48" ht="33" customHeight="1">
      <c r="A182" s="1073"/>
      <c r="B182" s="1082"/>
      <c r="C182" s="1083"/>
      <c r="D182" s="1077"/>
      <c r="E182" s="1126"/>
      <c r="F182" s="1138"/>
      <c r="G182" s="1074"/>
      <c r="H182" s="1077"/>
      <c r="I182" s="1127"/>
      <c r="J182" s="1128"/>
      <c r="K182" s="1067"/>
      <c r="L182" s="1139"/>
      <c r="M182" s="1130"/>
      <c r="N182" s="1074" t="s">
        <v>154</v>
      </c>
      <c r="O182" s="1131" t="s">
        <v>393</v>
      </c>
      <c r="P182" s="1132">
        <v>1</v>
      </c>
      <c r="Q182" s="1133">
        <v>15</v>
      </c>
      <c r="R182" s="1038"/>
      <c r="S182" s="1074"/>
      <c r="T182" s="1144"/>
      <c r="U182" s="1254">
        <v>6</v>
      </c>
      <c r="V182" s="1255" t="s">
        <v>133</v>
      </c>
      <c r="W182" s="1241">
        <v>10</v>
      </c>
      <c r="X182" s="1241" t="s">
        <v>46</v>
      </c>
      <c r="Y182" s="1242" t="s">
        <v>46</v>
      </c>
      <c r="Z182" s="1143">
        <f t="shared" si="20"/>
        <v>10</v>
      </c>
      <c r="AA182" s="1074"/>
      <c r="AB182" s="1063"/>
      <c r="AC182" s="1075"/>
      <c r="AD182" s="1084"/>
      <c r="AE182" s="1062"/>
      <c r="AF182" s="1085"/>
      <c r="AG182" s="1086"/>
      <c r="AH182" s="1087">
        <v>500000</v>
      </c>
      <c r="AI182" s="1087">
        <f>AH182*Q182*0.5</f>
        <v>3750000</v>
      </c>
      <c r="AJ182" s="1088"/>
      <c r="AK182" s="1089">
        <v>2645</v>
      </c>
      <c r="AL182" s="1090">
        <f t="shared" si="16"/>
        <v>26450</v>
      </c>
      <c r="AM182" s="1086"/>
      <c r="AN182" s="1086"/>
      <c r="AO182" s="1087"/>
      <c r="AP182" s="1076"/>
      <c r="AQ182" s="1087"/>
      <c r="AR182" s="1076"/>
      <c r="AS182" s="1076"/>
      <c r="AT182" s="1086"/>
      <c r="AU182" s="1088"/>
      <c r="AV182" s="1067"/>
    </row>
    <row r="183" spans="1:48" ht="33" customHeight="1">
      <c r="A183" s="1073"/>
      <c r="B183" s="1082"/>
      <c r="C183" s="1083"/>
      <c r="D183" s="1077"/>
      <c r="E183" s="1126"/>
      <c r="F183" s="1138"/>
      <c r="G183" s="1074"/>
      <c r="H183" s="1077"/>
      <c r="I183" s="1127"/>
      <c r="J183" s="1128"/>
      <c r="K183" s="1067"/>
      <c r="L183" s="1139"/>
      <c r="M183" s="1130"/>
      <c r="N183" s="1074" t="s">
        <v>172</v>
      </c>
      <c r="O183" s="1131" t="s">
        <v>392</v>
      </c>
      <c r="P183" s="1132">
        <v>1</v>
      </c>
      <c r="Q183" s="1133">
        <v>12</v>
      </c>
      <c r="R183" s="1038"/>
      <c r="S183" s="1074"/>
      <c r="T183" s="1144"/>
      <c r="U183" s="1254">
        <v>7</v>
      </c>
      <c r="V183" s="1255" t="s">
        <v>130</v>
      </c>
      <c r="W183" s="1241" t="s">
        <v>46</v>
      </c>
      <c r="X183" s="1241" t="s">
        <v>46</v>
      </c>
      <c r="Y183" s="1242">
        <v>1</v>
      </c>
      <c r="Z183" s="1143">
        <f t="shared" si="20"/>
        <v>1</v>
      </c>
      <c r="AA183" s="1074"/>
      <c r="AB183" s="1063"/>
      <c r="AC183" s="1075"/>
      <c r="AD183" s="1084"/>
      <c r="AE183" s="1062"/>
      <c r="AF183" s="1085"/>
      <c r="AG183" s="1086"/>
      <c r="AH183" s="1087">
        <v>300000</v>
      </c>
      <c r="AI183" s="1087">
        <f>AH183*Q183*0.5</f>
        <v>1800000</v>
      </c>
      <c r="AJ183" s="1088"/>
      <c r="AK183" s="1089">
        <v>41200</v>
      </c>
      <c r="AL183" s="1090">
        <f>AK183*Y183</f>
        <v>41200</v>
      </c>
      <c r="AM183" s="1086"/>
      <c r="AN183" s="1086"/>
      <c r="AO183" s="1087"/>
      <c r="AP183" s="1076"/>
      <c r="AQ183" s="1087"/>
      <c r="AR183" s="1076"/>
      <c r="AS183" s="1076"/>
      <c r="AT183" s="1086"/>
      <c r="AU183" s="1088"/>
      <c r="AV183" s="1067"/>
    </row>
    <row r="184" spans="1:48" ht="16.5" customHeight="1">
      <c r="A184" s="1073"/>
      <c r="B184" s="1082"/>
      <c r="C184" s="1083"/>
      <c r="D184" s="1077"/>
      <c r="E184" s="1126"/>
      <c r="F184" s="1138"/>
      <c r="G184" s="1074"/>
      <c r="H184" s="1077"/>
      <c r="I184" s="1127"/>
      <c r="J184" s="1128"/>
      <c r="K184" s="1067"/>
      <c r="L184" s="1139"/>
      <c r="M184" s="1130"/>
      <c r="N184" s="1074"/>
      <c r="O184" s="1063"/>
      <c r="P184" s="1195"/>
      <c r="Q184" s="1196"/>
      <c r="R184" s="1038"/>
      <c r="S184" s="1074"/>
      <c r="T184" s="1144"/>
      <c r="U184" s="1254">
        <v>8</v>
      </c>
      <c r="V184" s="1255" t="s">
        <v>391</v>
      </c>
      <c r="W184" s="1241">
        <v>3</v>
      </c>
      <c r="X184" s="1241" t="s">
        <v>46</v>
      </c>
      <c r="Y184" s="1242" t="s">
        <v>46</v>
      </c>
      <c r="Z184" s="1143">
        <f t="shared" si="20"/>
        <v>3</v>
      </c>
      <c r="AA184" s="1074"/>
      <c r="AB184" s="1063"/>
      <c r="AC184" s="1075"/>
      <c r="AD184" s="1084"/>
      <c r="AE184" s="1062"/>
      <c r="AF184" s="1085"/>
      <c r="AG184" s="1086"/>
      <c r="AH184" s="1087"/>
      <c r="AI184" s="1087"/>
      <c r="AJ184" s="1088"/>
      <c r="AK184" s="1089">
        <v>6000</v>
      </c>
      <c r="AL184" s="1090">
        <f t="shared" si="16"/>
        <v>18000</v>
      </c>
      <c r="AM184" s="1086"/>
      <c r="AN184" s="1086"/>
      <c r="AO184" s="1087"/>
      <c r="AP184" s="1076"/>
      <c r="AQ184" s="1087"/>
      <c r="AR184" s="1076"/>
      <c r="AS184" s="1076"/>
      <c r="AT184" s="1086"/>
      <c r="AU184" s="1088"/>
      <c r="AV184" s="1067"/>
    </row>
    <row r="185" spans="1:48" ht="33" customHeight="1">
      <c r="A185" s="1073"/>
      <c r="B185" s="1082"/>
      <c r="C185" s="1083"/>
      <c r="D185" s="1077"/>
      <c r="E185" s="1126"/>
      <c r="F185" s="1138"/>
      <c r="G185" s="1074"/>
      <c r="H185" s="1077"/>
      <c r="I185" s="1127"/>
      <c r="J185" s="1128"/>
      <c r="K185" s="1067"/>
      <c r="L185" s="1139"/>
      <c r="M185" s="1130"/>
      <c r="N185" s="1074"/>
      <c r="O185" s="1063"/>
      <c r="P185" s="1195"/>
      <c r="Q185" s="1196"/>
      <c r="R185" s="1038"/>
      <c r="S185" s="1074"/>
      <c r="T185" s="1144"/>
      <c r="U185" s="1254">
        <v>9</v>
      </c>
      <c r="V185" s="1255" t="s">
        <v>390</v>
      </c>
      <c r="W185" s="1241">
        <v>20</v>
      </c>
      <c r="X185" s="1241" t="s">
        <v>46</v>
      </c>
      <c r="Y185" s="1242" t="s">
        <v>46</v>
      </c>
      <c r="Z185" s="1143">
        <f t="shared" si="20"/>
        <v>20</v>
      </c>
      <c r="AA185" s="1074"/>
      <c r="AB185" s="1063"/>
      <c r="AC185" s="1075"/>
      <c r="AD185" s="1084"/>
      <c r="AE185" s="1062"/>
      <c r="AF185" s="1085"/>
      <c r="AG185" s="1086"/>
      <c r="AH185" s="1087"/>
      <c r="AI185" s="1087"/>
      <c r="AJ185" s="1088"/>
      <c r="AK185" s="1089">
        <v>5250</v>
      </c>
      <c r="AL185" s="1090">
        <f t="shared" si="16"/>
        <v>105000</v>
      </c>
      <c r="AM185" s="1086"/>
      <c r="AN185" s="1086"/>
      <c r="AO185" s="1087"/>
      <c r="AP185" s="1076"/>
      <c r="AQ185" s="1087"/>
      <c r="AR185" s="1076"/>
      <c r="AS185" s="1076"/>
      <c r="AT185" s="1086"/>
      <c r="AU185" s="1088"/>
      <c r="AV185" s="1067"/>
    </row>
    <row r="186" spans="1:48" ht="16.5" customHeight="1">
      <c r="A186" s="1073"/>
      <c r="B186" s="1082"/>
      <c r="C186" s="1083"/>
      <c r="D186" s="1077"/>
      <c r="E186" s="1126"/>
      <c r="F186" s="1138"/>
      <c r="G186" s="1074"/>
      <c r="H186" s="1077"/>
      <c r="I186" s="1127"/>
      <c r="J186" s="1128"/>
      <c r="K186" s="1067"/>
      <c r="L186" s="1139"/>
      <c r="M186" s="1130"/>
      <c r="N186" s="1074"/>
      <c r="O186" s="1063"/>
      <c r="P186" s="1195"/>
      <c r="Q186" s="1196"/>
      <c r="R186" s="1038"/>
      <c r="S186" s="1074"/>
      <c r="T186" s="1144"/>
      <c r="U186" s="1254">
        <v>10</v>
      </c>
      <c r="V186" s="1255" t="s">
        <v>242</v>
      </c>
      <c r="W186" s="1241" t="s">
        <v>46</v>
      </c>
      <c r="X186" s="1241" t="s">
        <v>46</v>
      </c>
      <c r="Y186" s="1242">
        <v>1</v>
      </c>
      <c r="Z186" s="1143">
        <f t="shared" si="20"/>
        <v>1</v>
      </c>
      <c r="AA186" s="1074"/>
      <c r="AB186" s="1063"/>
      <c r="AC186" s="1075"/>
      <c r="AD186" s="1084"/>
      <c r="AE186" s="1062"/>
      <c r="AF186" s="1085"/>
      <c r="AG186" s="1086"/>
      <c r="AH186" s="1087"/>
      <c r="AI186" s="1087"/>
      <c r="AJ186" s="1088"/>
      <c r="AK186" s="1089">
        <v>2000</v>
      </c>
      <c r="AL186" s="1090">
        <f>AK186*Y186</f>
        <v>2000</v>
      </c>
      <c r="AM186" s="1086"/>
      <c r="AN186" s="1086"/>
      <c r="AO186" s="1087"/>
      <c r="AP186" s="1076"/>
      <c r="AQ186" s="1087"/>
      <c r="AR186" s="1076"/>
      <c r="AS186" s="1076"/>
      <c r="AT186" s="1086"/>
      <c r="AU186" s="1088"/>
      <c r="AV186" s="1067"/>
    </row>
    <row r="187" spans="1:48" ht="16.5" customHeight="1">
      <c r="A187" s="1073"/>
      <c r="B187" s="1082"/>
      <c r="C187" s="1083"/>
      <c r="D187" s="1077"/>
      <c r="E187" s="1126"/>
      <c r="F187" s="1138"/>
      <c r="G187" s="1074"/>
      <c r="H187" s="1077"/>
      <c r="I187" s="1127"/>
      <c r="J187" s="1128"/>
      <c r="K187" s="1067"/>
      <c r="L187" s="1139"/>
      <c r="M187" s="1130"/>
      <c r="N187" s="1074"/>
      <c r="O187" s="1063"/>
      <c r="P187" s="1195"/>
      <c r="Q187" s="1196"/>
      <c r="R187" s="1038"/>
      <c r="S187" s="1074"/>
      <c r="T187" s="1144"/>
      <c r="U187" s="1254">
        <v>11</v>
      </c>
      <c r="V187" s="1255" t="s">
        <v>32</v>
      </c>
      <c r="W187" s="1241">
        <v>1</v>
      </c>
      <c r="X187" s="1241" t="s">
        <v>46</v>
      </c>
      <c r="Y187" s="1242" t="s">
        <v>46</v>
      </c>
      <c r="Z187" s="1143">
        <f t="shared" si="20"/>
        <v>1</v>
      </c>
      <c r="AA187" s="1074"/>
      <c r="AB187" s="1063"/>
      <c r="AC187" s="1075"/>
      <c r="AD187" s="1084"/>
      <c r="AE187" s="1062"/>
      <c r="AF187" s="1085"/>
      <c r="AG187" s="1086"/>
      <c r="AH187" s="1087"/>
      <c r="AI187" s="1087"/>
      <c r="AJ187" s="1088"/>
      <c r="AK187" s="1089">
        <v>25300</v>
      </c>
      <c r="AL187" s="1090">
        <f t="shared" si="16"/>
        <v>25300</v>
      </c>
      <c r="AM187" s="1086"/>
      <c r="AN187" s="1086"/>
      <c r="AO187" s="1087"/>
      <c r="AP187" s="1076"/>
      <c r="AQ187" s="1087"/>
      <c r="AR187" s="1076"/>
      <c r="AS187" s="1076"/>
      <c r="AT187" s="1086"/>
      <c r="AU187" s="1088"/>
      <c r="AV187" s="1067"/>
    </row>
    <row r="188" spans="1:48" ht="16.5" customHeight="1">
      <c r="A188" s="1073"/>
      <c r="B188" s="1082"/>
      <c r="C188" s="1083"/>
      <c r="D188" s="1077"/>
      <c r="E188" s="1126"/>
      <c r="F188" s="1138"/>
      <c r="G188" s="1074"/>
      <c r="H188" s="1077"/>
      <c r="I188" s="1127"/>
      <c r="J188" s="1128"/>
      <c r="K188" s="1067"/>
      <c r="L188" s="1139"/>
      <c r="M188" s="1130"/>
      <c r="N188" s="1074"/>
      <c r="O188" s="1063"/>
      <c r="P188" s="1195"/>
      <c r="Q188" s="1196"/>
      <c r="R188" s="1038"/>
      <c r="S188" s="1074"/>
      <c r="T188" s="1144"/>
      <c r="U188" s="1254">
        <v>12</v>
      </c>
      <c r="V188" s="1255" t="s">
        <v>389</v>
      </c>
      <c r="W188" s="1241">
        <v>2</v>
      </c>
      <c r="X188" s="1241" t="s">
        <v>46</v>
      </c>
      <c r="Y188" s="1242" t="s">
        <v>46</v>
      </c>
      <c r="Z188" s="1143">
        <f t="shared" si="20"/>
        <v>2</v>
      </c>
      <c r="AA188" s="1074"/>
      <c r="AB188" s="1063"/>
      <c r="AC188" s="1075"/>
      <c r="AD188" s="1084"/>
      <c r="AE188" s="1062"/>
      <c r="AF188" s="1085"/>
      <c r="AG188" s="1086"/>
      <c r="AH188" s="1087"/>
      <c r="AI188" s="1087"/>
      <c r="AJ188" s="1088"/>
      <c r="AK188" s="1089">
        <v>1500</v>
      </c>
      <c r="AL188" s="1090">
        <f t="shared" si="16"/>
        <v>3000</v>
      </c>
      <c r="AM188" s="1086"/>
      <c r="AN188" s="1086"/>
      <c r="AO188" s="1087"/>
      <c r="AP188" s="1076"/>
      <c r="AQ188" s="1087"/>
      <c r="AR188" s="1076"/>
      <c r="AS188" s="1076"/>
      <c r="AT188" s="1086"/>
      <c r="AU188" s="1088"/>
      <c r="AV188" s="1067"/>
    </row>
    <row r="189" spans="1:48" ht="16.5" customHeight="1">
      <c r="A189" s="1073"/>
      <c r="B189" s="1077"/>
      <c r="C189" s="1083"/>
      <c r="D189" s="1077"/>
      <c r="E189" s="1126"/>
      <c r="F189" s="1138"/>
      <c r="G189" s="1074"/>
      <c r="H189" s="1077"/>
      <c r="I189" s="1127"/>
      <c r="J189" s="1128"/>
      <c r="K189" s="1067"/>
      <c r="L189" s="1139"/>
      <c r="M189" s="1130"/>
      <c r="N189" s="1074"/>
      <c r="O189" s="1257"/>
      <c r="P189" s="1258"/>
      <c r="Q189" s="1259"/>
      <c r="R189" s="1038"/>
      <c r="S189" s="1074"/>
      <c r="T189" s="1144"/>
      <c r="U189" s="1260">
        <v>13</v>
      </c>
      <c r="V189" s="1255" t="s">
        <v>221</v>
      </c>
      <c r="W189" s="1261">
        <v>5</v>
      </c>
      <c r="X189" s="1241">
        <v>0</v>
      </c>
      <c r="Y189" s="1262">
        <v>0</v>
      </c>
      <c r="Z189" s="1143">
        <f t="shared" si="20"/>
        <v>5</v>
      </c>
      <c r="AA189" s="1074"/>
      <c r="AB189" s="1063"/>
      <c r="AC189" s="1075"/>
      <c r="AD189" s="1084"/>
      <c r="AE189" s="1062"/>
      <c r="AF189" s="1085"/>
      <c r="AG189" s="1086"/>
      <c r="AH189" s="1087"/>
      <c r="AI189" s="1087"/>
      <c r="AJ189" s="1088"/>
      <c r="AK189" s="1089">
        <v>4810</v>
      </c>
      <c r="AL189" s="1090">
        <f t="shared" si="16"/>
        <v>24050</v>
      </c>
      <c r="AM189" s="1086"/>
      <c r="AN189" s="1086"/>
      <c r="AO189" s="1087"/>
      <c r="AP189" s="1076"/>
      <c r="AQ189" s="1087"/>
      <c r="AR189" s="1076"/>
      <c r="AS189" s="1076"/>
      <c r="AT189" s="1086"/>
      <c r="AU189" s="1088"/>
      <c r="AV189" s="1067"/>
    </row>
    <row r="190" spans="1:48" ht="16.5" customHeight="1">
      <c r="A190" s="1073"/>
      <c r="B190" s="1077"/>
      <c r="C190" s="1083"/>
      <c r="D190" s="1077"/>
      <c r="E190" s="1126"/>
      <c r="F190" s="1138"/>
      <c r="G190" s="1074"/>
      <c r="H190" s="1077"/>
      <c r="I190" s="1127"/>
      <c r="J190" s="1128"/>
      <c r="K190" s="1067"/>
      <c r="L190" s="1139"/>
      <c r="M190" s="1130"/>
      <c r="N190" s="1074"/>
      <c r="O190" s="1257"/>
      <c r="P190" s="1258"/>
      <c r="Q190" s="1259"/>
      <c r="R190" s="1038"/>
      <c r="S190" s="1074"/>
      <c r="T190" s="1144"/>
      <c r="U190" s="1254">
        <v>14</v>
      </c>
      <c r="V190" s="1255" t="s">
        <v>144</v>
      </c>
      <c r="W190" s="1261">
        <v>1</v>
      </c>
      <c r="X190" s="1241">
        <v>0</v>
      </c>
      <c r="Y190" s="1262">
        <v>0</v>
      </c>
      <c r="Z190" s="1143">
        <f t="shared" si="20"/>
        <v>1</v>
      </c>
      <c r="AA190" s="1074"/>
      <c r="AB190" s="1063"/>
      <c r="AC190" s="1075"/>
      <c r="AD190" s="1084"/>
      <c r="AE190" s="1062"/>
      <c r="AF190" s="1085"/>
      <c r="AG190" s="1086"/>
      <c r="AH190" s="1087"/>
      <c r="AI190" s="1087"/>
      <c r="AJ190" s="1088"/>
      <c r="AK190" s="1089">
        <v>20100</v>
      </c>
      <c r="AL190" s="1090">
        <f t="shared" si="16"/>
        <v>20100</v>
      </c>
      <c r="AM190" s="1086"/>
      <c r="AN190" s="1086"/>
      <c r="AO190" s="1087"/>
      <c r="AP190" s="1076"/>
      <c r="AQ190" s="1087"/>
      <c r="AR190" s="1076"/>
      <c r="AS190" s="1076"/>
      <c r="AT190" s="1086"/>
      <c r="AU190" s="1088"/>
      <c r="AV190" s="1067"/>
    </row>
    <row r="191" spans="1:48" ht="16.5" customHeight="1">
      <c r="A191" s="1073"/>
      <c r="B191" s="1077"/>
      <c r="C191" s="1083"/>
      <c r="D191" s="1077"/>
      <c r="E191" s="1126"/>
      <c r="F191" s="1138"/>
      <c r="G191" s="1074"/>
      <c r="H191" s="1077"/>
      <c r="I191" s="1127"/>
      <c r="J191" s="1128"/>
      <c r="K191" s="1067"/>
      <c r="L191" s="1139"/>
      <c r="M191" s="1130"/>
      <c r="N191" s="1074"/>
      <c r="O191" s="1257"/>
      <c r="P191" s="1258"/>
      <c r="Q191" s="1259"/>
      <c r="R191" s="1038"/>
      <c r="S191" s="1074"/>
      <c r="T191" s="1144"/>
      <c r="U191" s="1260">
        <v>15</v>
      </c>
      <c r="V191" s="1255" t="s">
        <v>388</v>
      </c>
      <c r="W191" s="1261">
        <v>1</v>
      </c>
      <c r="X191" s="1241">
        <v>0</v>
      </c>
      <c r="Y191" s="1262">
        <v>0</v>
      </c>
      <c r="Z191" s="1143">
        <f t="shared" si="20"/>
        <v>1</v>
      </c>
      <c r="AA191" s="1074"/>
      <c r="AB191" s="1063"/>
      <c r="AC191" s="1075"/>
      <c r="AD191" s="1084"/>
      <c r="AE191" s="1062"/>
      <c r="AF191" s="1085"/>
      <c r="AG191" s="1086"/>
      <c r="AH191" s="1087"/>
      <c r="AI191" s="1087"/>
      <c r="AJ191" s="1088"/>
      <c r="AK191" s="1089">
        <v>500</v>
      </c>
      <c r="AL191" s="1090">
        <f t="shared" si="16"/>
        <v>500</v>
      </c>
      <c r="AM191" s="1086"/>
      <c r="AN191" s="1086"/>
      <c r="AO191" s="1087"/>
      <c r="AP191" s="1076"/>
      <c r="AQ191" s="1087"/>
      <c r="AR191" s="1076"/>
      <c r="AS191" s="1076"/>
      <c r="AT191" s="1086"/>
      <c r="AU191" s="1088"/>
      <c r="AV191" s="1067"/>
    </row>
    <row r="192" spans="1:48" ht="16.5" customHeight="1">
      <c r="A192" s="1073"/>
      <c r="B192" s="1077"/>
      <c r="C192" s="1083"/>
      <c r="D192" s="1077"/>
      <c r="E192" s="1126"/>
      <c r="F192" s="1138"/>
      <c r="G192" s="1074"/>
      <c r="H192" s="1077"/>
      <c r="I192" s="1127"/>
      <c r="J192" s="1128"/>
      <c r="K192" s="1067"/>
      <c r="L192" s="1139"/>
      <c r="M192" s="1130"/>
      <c r="N192" s="1074"/>
      <c r="O192" s="1257"/>
      <c r="P192" s="1258"/>
      <c r="Q192" s="1259"/>
      <c r="R192" s="1038"/>
      <c r="S192" s="1074"/>
      <c r="T192" s="1144"/>
      <c r="U192" s="1254">
        <v>16</v>
      </c>
      <c r="V192" s="1255" t="s">
        <v>387</v>
      </c>
      <c r="W192" s="1261">
        <v>1</v>
      </c>
      <c r="X192" s="1241">
        <v>0</v>
      </c>
      <c r="Y192" s="1262">
        <v>0</v>
      </c>
      <c r="Z192" s="1143">
        <f t="shared" si="20"/>
        <v>1</v>
      </c>
      <c r="AA192" s="1074"/>
      <c r="AB192" s="1063"/>
      <c r="AC192" s="1075"/>
      <c r="AD192" s="1084"/>
      <c r="AE192" s="1062"/>
      <c r="AF192" s="1085"/>
      <c r="AG192" s="1086"/>
      <c r="AH192" s="1087"/>
      <c r="AI192" s="1087"/>
      <c r="AJ192" s="1088"/>
      <c r="AK192" s="1089">
        <v>900</v>
      </c>
      <c r="AL192" s="1090">
        <f t="shared" si="16"/>
        <v>900</v>
      </c>
      <c r="AM192" s="1086"/>
      <c r="AN192" s="1086"/>
      <c r="AO192" s="1087"/>
      <c r="AP192" s="1076"/>
      <c r="AQ192" s="1087"/>
      <c r="AR192" s="1076"/>
      <c r="AS192" s="1076"/>
      <c r="AT192" s="1086"/>
      <c r="AU192" s="1088"/>
      <c r="AV192" s="1067"/>
    </row>
    <row r="193" spans="1:48" ht="16.5" customHeight="1">
      <c r="A193" s="1107"/>
      <c r="B193" s="1263"/>
      <c r="C193" s="1264"/>
      <c r="D193" s="1094"/>
      <c r="E193" s="1149"/>
      <c r="F193" s="1150"/>
      <c r="G193" s="1094"/>
      <c r="H193" s="1151"/>
      <c r="I193" s="1152"/>
      <c r="J193" s="1153"/>
      <c r="K193" s="1101"/>
      <c r="L193" s="1154"/>
      <c r="M193" s="1155"/>
      <c r="N193" s="1094"/>
      <c r="O193" s="1265"/>
      <c r="P193" s="1266"/>
      <c r="Q193" s="1267"/>
      <c r="R193" s="1095"/>
      <c r="S193" s="1094"/>
      <c r="T193" s="1168"/>
      <c r="U193" s="1268"/>
      <c r="V193" s="1107"/>
      <c r="W193" s="1111"/>
      <c r="X193" s="1110"/>
      <c r="Y193" s="1096"/>
      <c r="Z193" s="1166"/>
      <c r="AA193" s="1094"/>
      <c r="AB193" s="1151"/>
      <c r="AC193" s="1107"/>
      <c r="AD193" s="1114"/>
      <c r="AE193" s="1093"/>
      <c r="AF193" s="1115"/>
      <c r="AG193" s="1116"/>
      <c r="AH193" s="1117"/>
      <c r="AI193" s="1117"/>
      <c r="AJ193" s="1118"/>
      <c r="AK193" s="1119"/>
      <c r="AL193" s="1120"/>
      <c r="AM193" s="1116"/>
      <c r="AN193" s="1116"/>
      <c r="AO193" s="1117"/>
      <c r="AP193" s="1108"/>
      <c r="AQ193" s="1117"/>
      <c r="AR193" s="1108"/>
      <c r="AS193" s="1108"/>
      <c r="AT193" s="1116"/>
      <c r="AU193" s="1118"/>
      <c r="AV193" s="1101"/>
    </row>
    <row r="194" spans="1:48" ht="16.5" customHeight="1">
      <c r="A194" s="1269">
        <v>15</v>
      </c>
      <c r="B194" s="1033" t="s">
        <v>25</v>
      </c>
      <c r="C194" s="1036" t="s">
        <v>386</v>
      </c>
      <c r="D194" s="1170"/>
      <c r="E194" s="1034"/>
      <c r="F194" s="1171" t="s">
        <v>385</v>
      </c>
      <c r="G194" s="1172" t="s">
        <v>25</v>
      </c>
      <c r="H194" s="1173" t="s">
        <v>29</v>
      </c>
      <c r="I194" s="1174">
        <v>387</v>
      </c>
      <c r="J194" s="1175" t="s">
        <v>41</v>
      </c>
      <c r="K194" s="1041" t="s">
        <v>384</v>
      </c>
      <c r="L194" s="1129" t="s">
        <v>46</v>
      </c>
      <c r="M194" s="1176"/>
      <c r="N194" s="1123" t="s">
        <v>25</v>
      </c>
      <c r="O194" s="1131" t="s">
        <v>26</v>
      </c>
      <c r="P194" s="1132">
        <v>1</v>
      </c>
      <c r="Q194" s="1133">
        <v>130.82</v>
      </c>
      <c r="R194" s="1033" t="s">
        <v>25</v>
      </c>
      <c r="S194" s="1034" t="s">
        <v>24</v>
      </c>
      <c r="T194" s="1048">
        <v>2</v>
      </c>
      <c r="U194" s="1180">
        <v>1</v>
      </c>
      <c r="V194" s="1047" t="s">
        <v>88</v>
      </c>
      <c r="W194" s="1241" t="s">
        <v>46</v>
      </c>
      <c r="X194" s="1241" t="s">
        <v>46</v>
      </c>
      <c r="Y194" s="1202">
        <v>1</v>
      </c>
      <c r="Z194" s="1143">
        <f>SUM(Y194)</f>
        <v>1</v>
      </c>
      <c r="AA194" s="1170"/>
      <c r="AB194" s="1173"/>
      <c r="AC194" s="1047"/>
      <c r="AD194" s="1055"/>
      <c r="AE194" s="1032"/>
      <c r="AF194" s="1056">
        <f>Resum!F1</f>
        <v>356000</v>
      </c>
      <c r="AG194" s="1086">
        <f>AF194*I194</f>
        <v>137772000</v>
      </c>
      <c r="AH194" s="1058">
        <v>2200000</v>
      </c>
      <c r="AI194" s="1087">
        <f>AH194*Q194*0.75</f>
        <v>215853000</v>
      </c>
      <c r="AJ194" s="1182">
        <f>SUM(AI194:AI197)</f>
        <v>223182200</v>
      </c>
      <c r="AK194" s="1060">
        <v>20000</v>
      </c>
      <c r="AL194" s="1090">
        <f>AK194*Y194</f>
        <v>20000</v>
      </c>
      <c r="AM194" s="1057">
        <f>SUM(AL194:AL218)</f>
        <v>5089150</v>
      </c>
      <c r="AN194" s="1086">
        <f>AM194+AJ194+AG194</f>
        <v>366043350</v>
      </c>
      <c r="AO194" s="1087">
        <f>3000000*3</f>
        <v>9000000</v>
      </c>
      <c r="AP194" s="1136">
        <f>(AI194+AG194)*15%</f>
        <v>53043750</v>
      </c>
      <c r="AQ194" s="1087">
        <f>(AG194+AI194)*1%</f>
        <v>3536250</v>
      </c>
      <c r="AR194" s="1136">
        <f>(AG194+AI194)*5%</f>
        <v>17681250</v>
      </c>
      <c r="AS194" s="1087">
        <f>0.5%*(AG194+AI194)*(3)</f>
        <v>5304375</v>
      </c>
      <c r="AT194" s="1086">
        <f>+AS194+AR194+AQ194+AP194+AO194</f>
        <v>88565625</v>
      </c>
      <c r="AU194" s="1137">
        <f>ROUND(AT194+AN194,-3)</f>
        <v>454609000</v>
      </c>
      <c r="AV194" s="1041"/>
    </row>
    <row r="195" spans="1:48" ht="16.5" customHeight="1">
      <c r="A195" s="1082"/>
      <c r="B195" s="1038" t="s">
        <v>16</v>
      </c>
      <c r="C195" s="1071" t="s">
        <v>383</v>
      </c>
      <c r="D195" s="1074"/>
      <c r="E195" s="1063"/>
      <c r="F195" s="1138"/>
      <c r="G195" s="1074" t="s">
        <v>16</v>
      </c>
      <c r="H195" s="1074" t="s">
        <v>22</v>
      </c>
      <c r="I195" s="1127"/>
      <c r="J195" s="1128"/>
      <c r="K195" s="1067"/>
      <c r="L195" s="1139"/>
      <c r="M195" s="1130"/>
      <c r="N195" s="1074" t="s">
        <v>16</v>
      </c>
      <c r="O195" s="1131" t="s">
        <v>382</v>
      </c>
      <c r="P195" s="1132">
        <v>1</v>
      </c>
      <c r="Q195" s="1133">
        <v>20.02</v>
      </c>
      <c r="R195" s="1038"/>
      <c r="S195" s="1074"/>
      <c r="T195" s="1075"/>
      <c r="U195" s="1091">
        <v>2</v>
      </c>
      <c r="V195" s="1073" t="s">
        <v>109</v>
      </c>
      <c r="W195" s="1140"/>
      <c r="X195" s="1141"/>
      <c r="Y195" s="1142">
        <v>2</v>
      </c>
      <c r="Z195" s="1143">
        <f>SUM(Y195)</f>
        <v>2</v>
      </c>
      <c r="AA195" s="1074"/>
      <c r="AB195" s="1126"/>
      <c r="AC195" s="1073"/>
      <c r="AD195" s="1084"/>
      <c r="AE195" s="1062"/>
      <c r="AF195" s="1085"/>
      <c r="AG195" s="1086"/>
      <c r="AH195" s="1087">
        <v>350000</v>
      </c>
      <c r="AI195" s="1087">
        <f t="shared" ref="AI195" si="21">AH195*Q195*0.6</f>
        <v>4204200</v>
      </c>
      <c r="AJ195" s="1088"/>
      <c r="AK195" s="1089">
        <v>10000</v>
      </c>
      <c r="AL195" s="1090">
        <f>AK195*Y195</f>
        <v>20000</v>
      </c>
      <c r="AM195" s="1086"/>
      <c r="AN195" s="1086"/>
      <c r="AO195" s="1087"/>
      <c r="AP195" s="1076"/>
      <c r="AQ195" s="1087"/>
      <c r="AR195" s="1076"/>
      <c r="AS195" s="1076"/>
      <c r="AT195" s="1086"/>
      <c r="AU195" s="1088"/>
      <c r="AV195" s="1067"/>
    </row>
    <row r="196" spans="1:48" ht="16.5" customHeight="1">
      <c r="A196" s="1082"/>
      <c r="B196" s="1038" t="s">
        <v>18</v>
      </c>
      <c r="C196" s="1039" t="s">
        <v>381</v>
      </c>
      <c r="D196" s="1074"/>
      <c r="E196" s="1074"/>
      <c r="F196" s="1138"/>
      <c r="G196" s="1074" t="s">
        <v>18</v>
      </c>
      <c r="H196" s="1074" t="s">
        <v>19</v>
      </c>
      <c r="I196" s="1127"/>
      <c r="J196" s="1128"/>
      <c r="K196" s="1067"/>
      <c r="L196" s="1139"/>
      <c r="M196" s="1130"/>
      <c r="N196" s="1074" t="s">
        <v>18</v>
      </c>
      <c r="O196" s="1131" t="s">
        <v>17</v>
      </c>
      <c r="P196" s="1132">
        <v>1</v>
      </c>
      <c r="Q196" s="1133"/>
      <c r="R196" s="1038"/>
      <c r="S196" s="1074"/>
      <c r="T196" s="1075"/>
      <c r="U196" s="1184">
        <v>1</v>
      </c>
      <c r="V196" s="1255" t="s">
        <v>3</v>
      </c>
      <c r="W196" s="1241">
        <v>1</v>
      </c>
      <c r="X196" s="1241" t="s">
        <v>46</v>
      </c>
      <c r="Y196" s="1242" t="s">
        <v>46</v>
      </c>
      <c r="Z196" s="1143"/>
      <c r="AA196" s="1074"/>
      <c r="AB196" s="1126"/>
      <c r="AC196" s="1073"/>
      <c r="AD196" s="1084"/>
      <c r="AE196" s="1062"/>
      <c r="AF196" s="1085"/>
      <c r="AG196" s="1086"/>
      <c r="AH196" s="1087">
        <v>2500000</v>
      </c>
      <c r="AI196" s="1087">
        <f>AH196*P196*0.5</f>
        <v>1250000</v>
      </c>
      <c r="AJ196" s="1088"/>
      <c r="AK196" s="1089">
        <v>85000</v>
      </c>
      <c r="AL196" s="1090">
        <f>AK196*W196</f>
        <v>85000</v>
      </c>
      <c r="AM196" s="1086"/>
      <c r="AN196" s="1086"/>
      <c r="AO196" s="1087"/>
      <c r="AP196" s="1076"/>
      <c r="AQ196" s="1087"/>
      <c r="AR196" s="1076"/>
      <c r="AS196" s="1076"/>
      <c r="AT196" s="1086"/>
      <c r="AU196" s="1088"/>
      <c r="AV196" s="1067"/>
    </row>
    <row r="197" spans="1:48" ht="49.5" customHeight="1">
      <c r="A197" s="1082"/>
      <c r="B197" s="1082" t="s">
        <v>12</v>
      </c>
      <c r="C197" s="1083" t="s">
        <v>13</v>
      </c>
      <c r="D197" s="1074"/>
      <c r="E197" s="1126"/>
      <c r="F197" s="1138"/>
      <c r="G197" s="1074"/>
      <c r="H197" s="1077"/>
      <c r="I197" s="1127"/>
      <c r="J197" s="1128"/>
      <c r="K197" s="1067"/>
      <c r="L197" s="1139"/>
      <c r="M197" s="1130"/>
      <c r="N197" s="1074" t="s">
        <v>12</v>
      </c>
      <c r="O197" s="1131" t="s">
        <v>11</v>
      </c>
      <c r="P197" s="1132">
        <v>1</v>
      </c>
      <c r="Q197" s="1133"/>
      <c r="R197" s="1038" t="s">
        <v>16</v>
      </c>
      <c r="S197" s="1074" t="s">
        <v>15</v>
      </c>
      <c r="T197" s="1075"/>
      <c r="U197" s="1184">
        <v>2</v>
      </c>
      <c r="V197" s="1255" t="s">
        <v>344</v>
      </c>
      <c r="W197" s="1241">
        <v>3</v>
      </c>
      <c r="X197" s="1241" t="s">
        <v>46</v>
      </c>
      <c r="Y197" s="1242" t="s">
        <v>46</v>
      </c>
      <c r="Z197" s="1143">
        <f>SUM(W196:Y196)</f>
        <v>1</v>
      </c>
      <c r="AA197" s="1074"/>
      <c r="AB197" s="1126"/>
      <c r="AC197" s="1073"/>
      <c r="AD197" s="1084"/>
      <c r="AE197" s="1062"/>
      <c r="AF197" s="1085"/>
      <c r="AG197" s="1086"/>
      <c r="AH197" s="1087">
        <v>2500000</v>
      </c>
      <c r="AI197" s="1087">
        <f>AH197*P197*0.75</f>
        <v>1875000</v>
      </c>
      <c r="AJ197" s="1088"/>
      <c r="AK197" s="1089">
        <v>150000</v>
      </c>
      <c r="AL197" s="1090">
        <f>AK197*W197</f>
        <v>450000</v>
      </c>
      <c r="AM197" s="1086"/>
      <c r="AN197" s="1086"/>
      <c r="AO197" s="1087"/>
      <c r="AP197" s="1076"/>
      <c r="AQ197" s="1087"/>
      <c r="AR197" s="1076"/>
      <c r="AS197" s="1076"/>
      <c r="AT197" s="1086"/>
      <c r="AU197" s="1088"/>
      <c r="AV197" s="1067"/>
    </row>
    <row r="198" spans="1:48" ht="16.5" customHeight="1">
      <c r="A198" s="1082"/>
      <c r="B198" s="1038" t="s">
        <v>8</v>
      </c>
      <c r="C198" s="1244" t="s">
        <v>380</v>
      </c>
      <c r="D198" s="1074"/>
      <c r="E198" s="1126"/>
      <c r="F198" s="1138"/>
      <c r="G198" s="1074"/>
      <c r="H198" s="1077"/>
      <c r="I198" s="1127"/>
      <c r="J198" s="1128"/>
      <c r="K198" s="1067"/>
      <c r="L198" s="1139"/>
      <c r="M198" s="1130"/>
      <c r="N198" s="1074"/>
      <c r="O198" s="1063"/>
      <c r="P198" s="1195"/>
      <c r="Q198" s="1196"/>
      <c r="R198" s="1038"/>
      <c r="S198" s="1074"/>
      <c r="T198" s="1075"/>
      <c r="U198" s="1184">
        <v>3</v>
      </c>
      <c r="V198" s="1255" t="s">
        <v>130</v>
      </c>
      <c r="W198" s="1241">
        <v>1</v>
      </c>
      <c r="X198" s="1241" t="s">
        <v>46</v>
      </c>
      <c r="Y198" s="1242"/>
      <c r="Z198" s="1143">
        <f>SUM(W197:Y197)</f>
        <v>3</v>
      </c>
      <c r="AA198" s="1074"/>
      <c r="AB198" s="1126"/>
      <c r="AC198" s="1073"/>
      <c r="AD198" s="1084"/>
      <c r="AE198" s="1062"/>
      <c r="AF198" s="1085"/>
      <c r="AG198" s="1086"/>
      <c r="AH198" s="1087"/>
      <c r="AI198" s="1087"/>
      <c r="AJ198" s="1088"/>
      <c r="AK198" s="1089">
        <v>125000</v>
      </c>
      <c r="AL198" s="1090">
        <f>AK198*W198</f>
        <v>125000</v>
      </c>
      <c r="AM198" s="1086"/>
      <c r="AN198" s="1086"/>
      <c r="AO198" s="1087"/>
      <c r="AP198" s="1076"/>
      <c r="AQ198" s="1087"/>
      <c r="AR198" s="1076"/>
      <c r="AS198" s="1076"/>
      <c r="AT198" s="1086"/>
      <c r="AU198" s="1088"/>
      <c r="AV198" s="1067"/>
    </row>
    <row r="199" spans="1:48" ht="16.5" customHeight="1">
      <c r="A199" s="1082"/>
      <c r="B199" s="1038"/>
      <c r="C199" s="1244"/>
      <c r="D199" s="1074"/>
      <c r="E199" s="1126"/>
      <c r="F199" s="1138"/>
      <c r="G199" s="1074"/>
      <c r="H199" s="1077"/>
      <c r="I199" s="1127"/>
      <c r="J199" s="1128"/>
      <c r="K199" s="1067"/>
      <c r="L199" s="1139"/>
      <c r="M199" s="1130"/>
      <c r="N199" s="1074"/>
      <c r="O199" s="1063"/>
      <c r="P199" s="1195"/>
      <c r="Q199" s="1196"/>
      <c r="R199" s="1038"/>
      <c r="S199" s="1074"/>
      <c r="T199" s="1075"/>
      <c r="U199" s="1184"/>
      <c r="V199" s="1255" t="s">
        <v>130</v>
      </c>
      <c r="W199" s="1241"/>
      <c r="X199" s="1241" t="s">
        <v>46</v>
      </c>
      <c r="Y199" s="1242">
        <v>3</v>
      </c>
      <c r="Z199" s="1143"/>
      <c r="AA199" s="1074"/>
      <c r="AB199" s="1126"/>
      <c r="AC199" s="1073"/>
      <c r="AD199" s="1084"/>
      <c r="AE199" s="1062"/>
      <c r="AF199" s="1085"/>
      <c r="AG199" s="1086"/>
      <c r="AH199" s="1087"/>
      <c r="AI199" s="1087"/>
      <c r="AJ199" s="1088"/>
      <c r="AK199" s="1089">
        <v>41250</v>
      </c>
      <c r="AL199" s="1090">
        <f>AK199*Y199</f>
        <v>123750</v>
      </c>
      <c r="AM199" s="1086"/>
      <c r="AN199" s="1086"/>
      <c r="AO199" s="1087"/>
      <c r="AP199" s="1076"/>
      <c r="AQ199" s="1087"/>
      <c r="AR199" s="1076"/>
      <c r="AS199" s="1076"/>
      <c r="AT199" s="1086"/>
      <c r="AU199" s="1088"/>
      <c r="AV199" s="1067"/>
    </row>
    <row r="200" spans="1:48" ht="16.5" customHeight="1">
      <c r="A200" s="1082"/>
      <c r="B200" s="1082"/>
      <c r="C200" s="1083"/>
      <c r="D200" s="1074"/>
      <c r="E200" s="1126"/>
      <c r="F200" s="1138"/>
      <c r="G200" s="1074"/>
      <c r="H200" s="1077"/>
      <c r="I200" s="1127"/>
      <c r="J200" s="1128"/>
      <c r="K200" s="1067"/>
      <c r="L200" s="1139"/>
      <c r="M200" s="1130"/>
      <c r="N200" s="1074"/>
      <c r="O200" s="1063"/>
      <c r="P200" s="1195"/>
      <c r="Q200" s="1196"/>
      <c r="R200" s="1038"/>
      <c r="S200" s="1074"/>
      <c r="T200" s="1075"/>
      <c r="U200" s="1184">
        <v>4</v>
      </c>
      <c r="V200" s="1255" t="s">
        <v>14</v>
      </c>
      <c r="W200" s="1241">
        <v>4</v>
      </c>
      <c r="X200" s="1241"/>
      <c r="Y200" s="1242" t="s">
        <v>46</v>
      </c>
      <c r="Z200" s="1143">
        <f>SUM(W198:Y198)</f>
        <v>1</v>
      </c>
      <c r="AA200" s="1074"/>
      <c r="AB200" s="1126"/>
      <c r="AC200" s="1073"/>
      <c r="AD200" s="1084"/>
      <c r="AE200" s="1062"/>
      <c r="AF200" s="1085"/>
      <c r="AG200" s="1086"/>
      <c r="AH200" s="1087"/>
      <c r="AI200" s="1087"/>
      <c r="AJ200" s="1088"/>
      <c r="AK200" s="1089">
        <v>350000</v>
      </c>
      <c r="AL200" s="1087">
        <f>AK200*W200</f>
        <v>1400000</v>
      </c>
      <c r="AM200" s="1086"/>
      <c r="AN200" s="1086"/>
      <c r="AO200" s="1087"/>
      <c r="AP200" s="1076"/>
      <c r="AQ200" s="1087"/>
      <c r="AR200" s="1076"/>
      <c r="AS200" s="1076"/>
      <c r="AT200" s="1086"/>
      <c r="AU200" s="1088"/>
      <c r="AV200" s="1067"/>
    </row>
    <row r="201" spans="1:48" ht="16.5" customHeight="1">
      <c r="A201" s="1082"/>
      <c r="B201" s="1082"/>
      <c r="C201" s="1083"/>
      <c r="D201" s="1074"/>
      <c r="E201" s="1126"/>
      <c r="F201" s="1138"/>
      <c r="G201" s="1074"/>
      <c r="H201" s="1077"/>
      <c r="I201" s="1127"/>
      <c r="J201" s="1128"/>
      <c r="K201" s="1067"/>
      <c r="L201" s="1139"/>
      <c r="M201" s="1130"/>
      <c r="N201" s="1074"/>
      <c r="O201" s="1063"/>
      <c r="P201" s="1195"/>
      <c r="Q201" s="1196"/>
      <c r="R201" s="1038"/>
      <c r="S201" s="1074"/>
      <c r="T201" s="1075"/>
      <c r="U201" s="1184"/>
      <c r="V201" s="1255" t="s">
        <v>14</v>
      </c>
      <c r="W201" s="1241"/>
      <c r="X201" s="1241">
        <v>1</v>
      </c>
      <c r="Y201" s="1242" t="s">
        <v>46</v>
      </c>
      <c r="Z201" s="1143">
        <f>SUM(W201:Y201)</f>
        <v>1</v>
      </c>
      <c r="AA201" s="1074"/>
      <c r="AB201" s="1126"/>
      <c r="AC201" s="1073"/>
      <c r="AD201" s="1084"/>
      <c r="AE201" s="1062"/>
      <c r="AF201" s="1085"/>
      <c r="AG201" s="1086"/>
      <c r="AH201" s="1087"/>
      <c r="AI201" s="1087"/>
      <c r="AJ201" s="1088"/>
      <c r="AK201" s="1089">
        <v>231000</v>
      </c>
      <c r="AL201" s="1087">
        <f>AK201*X201</f>
        <v>231000</v>
      </c>
      <c r="AM201" s="1086"/>
      <c r="AN201" s="1086"/>
      <c r="AO201" s="1087"/>
      <c r="AP201" s="1076"/>
      <c r="AQ201" s="1087"/>
      <c r="AR201" s="1076"/>
      <c r="AS201" s="1076"/>
      <c r="AT201" s="1086"/>
      <c r="AU201" s="1088"/>
      <c r="AV201" s="1067"/>
    </row>
    <row r="202" spans="1:48" ht="16.5" customHeight="1">
      <c r="A202" s="1082"/>
      <c r="B202" s="1082"/>
      <c r="C202" s="1083"/>
      <c r="D202" s="1074"/>
      <c r="E202" s="1126"/>
      <c r="F202" s="1138"/>
      <c r="G202" s="1074"/>
      <c r="H202" s="1077"/>
      <c r="I202" s="1127"/>
      <c r="J202" s="1128"/>
      <c r="K202" s="1067"/>
      <c r="L202" s="1139"/>
      <c r="M202" s="1130"/>
      <c r="N202" s="1074"/>
      <c r="O202" s="1063"/>
      <c r="P202" s="1195"/>
      <c r="Q202" s="1196"/>
      <c r="R202" s="1038"/>
      <c r="S202" s="1074"/>
      <c r="T202" s="1075"/>
      <c r="U202" s="1184">
        <v>5</v>
      </c>
      <c r="V202" s="1255" t="s">
        <v>137</v>
      </c>
      <c r="W202" s="1241">
        <v>2</v>
      </c>
      <c r="X202" s="1241" t="s">
        <v>46</v>
      </c>
      <c r="Y202" s="1242" t="s">
        <v>46</v>
      </c>
      <c r="Z202" s="1143">
        <f t="shared" ref="Z202:Z217" si="22">SUM(W202:Y202)</f>
        <v>2</v>
      </c>
      <c r="AA202" s="1074"/>
      <c r="AB202" s="1126"/>
      <c r="AC202" s="1073"/>
      <c r="AD202" s="1084"/>
      <c r="AE202" s="1062"/>
      <c r="AF202" s="1085"/>
      <c r="AG202" s="1086"/>
      <c r="AH202" s="1087"/>
      <c r="AI202" s="1087"/>
      <c r="AJ202" s="1088"/>
      <c r="AK202" s="1089">
        <v>125000</v>
      </c>
      <c r="AL202" s="1090">
        <f t="shared" si="16"/>
        <v>250000</v>
      </c>
      <c r="AM202" s="1086"/>
      <c r="AN202" s="1086"/>
      <c r="AO202" s="1087"/>
      <c r="AP202" s="1076"/>
      <c r="AQ202" s="1087"/>
      <c r="AR202" s="1076"/>
      <c r="AS202" s="1076"/>
      <c r="AT202" s="1086"/>
      <c r="AU202" s="1088"/>
      <c r="AV202" s="1067"/>
    </row>
    <row r="203" spans="1:48" ht="16.5" customHeight="1">
      <c r="A203" s="1082"/>
      <c r="B203" s="1082"/>
      <c r="C203" s="1083"/>
      <c r="D203" s="1074"/>
      <c r="E203" s="1126"/>
      <c r="F203" s="1138"/>
      <c r="G203" s="1074"/>
      <c r="H203" s="1077"/>
      <c r="I203" s="1127"/>
      <c r="J203" s="1128"/>
      <c r="K203" s="1067"/>
      <c r="L203" s="1139"/>
      <c r="M203" s="1130"/>
      <c r="N203" s="1074"/>
      <c r="O203" s="1063"/>
      <c r="P203" s="1195"/>
      <c r="Q203" s="1196"/>
      <c r="R203" s="1038"/>
      <c r="S203" s="1074"/>
      <c r="T203" s="1075"/>
      <c r="U203" s="1184">
        <v>6</v>
      </c>
      <c r="V203" s="1255" t="s">
        <v>379</v>
      </c>
      <c r="W203" s="1241" t="s">
        <v>46</v>
      </c>
      <c r="X203" s="1241" t="s">
        <v>46</v>
      </c>
      <c r="Y203" s="1242">
        <v>3</v>
      </c>
      <c r="Z203" s="1143">
        <f t="shared" si="22"/>
        <v>3</v>
      </c>
      <c r="AA203" s="1074"/>
      <c r="AB203" s="1126"/>
      <c r="AC203" s="1073"/>
      <c r="AD203" s="1084"/>
      <c r="AE203" s="1062"/>
      <c r="AF203" s="1085"/>
      <c r="AG203" s="1086"/>
      <c r="AH203" s="1087"/>
      <c r="AI203" s="1087"/>
      <c r="AJ203" s="1088"/>
      <c r="AK203" s="1089">
        <v>33000</v>
      </c>
      <c r="AL203" s="1090">
        <f>AK203*Y203</f>
        <v>99000</v>
      </c>
      <c r="AM203" s="1086"/>
      <c r="AN203" s="1086"/>
      <c r="AO203" s="1087"/>
      <c r="AP203" s="1076"/>
      <c r="AQ203" s="1087"/>
      <c r="AR203" s="1076"/>
      <c r="AS203" s="1076"/>
      <c r="AT203" s="1086"/>
      <c r="AU203" s="1088"/>
      <c r="AV203" s="1067"/>
    </row>
    <row r="204" spans="1:48" ht="16.5" customHeight="1">
      <c r="A204" s="1082"/>
      <c r="B204" s="1082"/>
      <c r="C204" s="1083"/>
      <c r="D204" s="1074"/>
      <c r="E204" s="1126"/>
      <c r="F204" s="1138"/>
      <c r="G204" s="1074"/>
      <c r="H204" s="1077"/>
      <c r="I204" s="1127"/>
      <c r="J204" s="1128"/>
      <c r="K204" s="1067"/>
      <c r="L204" s="1139"/>
      <c r="M204" s="1130"/>
      <c r="N204" s="1074"/>
      <c r="O204" s="1126"/>
      <c r="P204" s="1073"/>
      <c r="Q204" s="1077"/>
      <c r="R204" s="1038"/>
      <c r="S204" s="1074"/>
      <c r="T204" s="1075"/>
      <c r="U204" s="1184">
        <v>7</v>
      </c>
      <c r="V204" s="1255" t="s">
        <v>144</v>
      </c>
      <c r="W204" s="1241" t="s">
        <v>46</v>
      </c>
      <c r="X204" s="1241" t="s">
        <v>46</v>
      </c>
      <c r="Y204" s="1242">
        <v>4</v>
      </c>
      <c r="Z204" s="1143">
        <f t="shared" si="22"/>
        <v>4</v>
      </c>
      <c r="AA204" s="1074"/>
      <c r="AB204" s="1126"/>
      <c r="AC204" s="1073"/>
      <c r="AD204" s="1084"/>
      <c r="AE204" s="1062"/>
      <c r="AF204" s="1085"/>
      <c r="AG204" s="1086"/>
      <c r="AH204" s="1087"/>
      <c r="AI204" s="1087"/>
      <c r="AJ204" s="1088"/>
      <c r="AK204" s="1089">
        <v>6600</v>
      </c>
      <c r="AL204" s="1090">
        <f>AK204*Y204</f>
        <v>26400</v>
      </c>
      <c r="AM204" s="1086"/>
      <c r="AN204" s="1086"/>
      <c r="AO204" s="1087"/>
      <c r="AP204" s="1076"/>
      <c r="AQ204" s="1087"/>
      <c r="AR204" s="1076"/>
      <c r="AS204" s="1076"/>
      <c r="AT204" s="1086"/>
      <c r="AU204" s="1088"/>
      <c r="AV204" s="1067"/>
    </row>
    <row r="205" spans="1:48" ht="16.5" customHeight="1">
      <c r="A205" s="1082"/>
      <c r="B205" s="1082"/>
      <c r="C205" s="1083"/>
      <c r="D205" s="1074"/>
      <c r="E205" s="1126"/>
      <c r="F205" s="1138"/>
      <c r="G205" s="1074"/>
      <c r="H205" s="1077"/>
      <c r="I205" s="1127"/>
      <c r="J205" s="1128"/>
      <c r="K205" s="1067"/>
      <c r="L205" s="1139"/>
      <c r="M205" s="1130"/>
      <c r="N205" s="1074"/>
      <c r="O205" s="1126"/>
      <c r="P205" s="1073"/>
      <c r="Q205" s="1077"/>
      <c r="R205" s="1038"/>
      <c r="S205" s="1074"/>
      <c r="T205" s="1075"/>
      <c r="U205" s="1184">
        <v>8</v>
      </c>
      <c r="V205" s="1255" t="s">
        <v>268</v>
      </c>
      <c r="W205" s="1241" t="s">
        <v>46</v>
      </c>
      <c r="X205" s="1241" t="s">
        <v>46</v>
      </c>
      <c r="Y205" s="1242">
        <v>2</v>
      </c>
      <c r="Z205" s="1143">
        <f t="shared" si="22"/>
        <v>2</v>
      </c>
      <c r="AA205" s="1074"/>
      <c r="AB205" s="1126"/>
      <c r="AC205" s="1073"/>
      <c r="AD205" s="1084"/>
      <c r="AE205" s="1062"/>
      <c r="AF205" s="1085"/>
      <c r="AG205" s="1086"/>
      <c r="AH205" s="1087"/>
      <c r="AI205" s="1087"/>
      <c r="AJ205" s="1088"/>
      <c r="AK205" s="1089">
        <v>66000</v>
      </c>
      <c r="AL205" s="1090">
        <f>AK205*Y205</f>
        <v>132000</v>
      </c>
      <c r="AM205" s="1086"/>
      <c r="AN205" s="1086"/>
      <c r="AO205" s="1087"/>
      <c r="AP205" s="1076"/>
      <c r="AQ205" s="1087"/>
      <c r="AR205" s="1076"/>
      <c r="AS205" s="1076"/>
      <c r="AT205" s="1086"/>
      <c r="AU205" s="1088"/>
      <c r="AV205" s="1067"/>
    </row>
    <row r="206" spans="1:48" ht="16.5" customHeight="1">
      <c r="A206" s="1082"/>
      <c r="B206" s="1082"/>
      <c r="C206" s="1083"/>
      <c r="D206" s="1074"/>
      <c r="E206" s="1126"/>
      <c r="F206" s="1138"/>
      <c r="G206" s="1074"/>
      <c r="H206" s="1077"/>
      <c r="I206" s="1127"/>
      <c r="J206" s="1128"/>
      <c r="K206" s="1067"/>
      <c r="L206" s="1139"/>
      <c r="M206" s="1130"/>
      <c r="N206" s="1074"/>
      <c r="O206" s="1126"/>
      <c r="P206" s="1073"/>
      <c r="Q206" s="1077"/>
      <c r="R206" s="1038"/>
      <c r="S206" s="1074"/>
      <c r="T206" s="1075"/>
      <c r="U206" s="1184">
        <v>9</v>
      </c>
      <c r="V206" s="1255" t="s">
        <v>146</v>
      </c>
      <c r="W206" s="1241">
        <v>1</v>
      </c>
      <c r="X206" s="1241"/>
      <c r="Y206" s="1242" t="s">
        <v>46</v>
      </c>
      <c r="Z206" s="1143"/>
      <c r="AA206" s="1074"/>
      <c r="AB206" s="1126"/>
      <c r="AC206" s="1073"/>
      <c r="AD206" s="1084"/>
      <c r="AE206" s="1062"/>
      <c r="AF206" s="1085"/>
      <c r="AG206" s="1086"/>
      <c r="AH206" s="1087"/>
      <c r="AI206" s="1087"/>
      <c r="AJ206" s="1088"/>
      <c r="AK206" s="1089"/>
      <c r="AL206" s="1090">
        <f>AK206*W206</f>
        <v>0</v>
      </c>
      <c r="AM206" s="1086"/>
      <c r="AN206" s="1086"/>
      <c r="AO206" s="1087"/>
      <c r="AP206" s="1076"/>
      <c r="AQ206" s="1087"/>
      <c r="AR206" s="1076"/>
      <c r="AS206" s="1076"/>
      <c r="AT206" s="1086"/>
      <c r="AU206" s="1088"/>
      <c r="AV206" s="1067"/>
    </row>
    <row r="207" spans="1:48" ht="16.5" customHeight="1">
      <c r="A207" s="1082"/>
      <c r="B207" s="1082"/>
      <c r="C207" s="1083"/>
      <c r="D207" s="1074"/>
      <c r="E207" s="1126"/>
      <c r="F207" s="1138"/>
      <c r="G207" s="1074"/>
      <c r="H207" s="1077"/>
      <c r="I207" s="1127"/>
      <c r="J207" s="1128"/>
      <c r="K207" s="1067"/>
      <c r="L207" s="1139"/>
      <c r="M207" s="1130"/>
      <c r="N207" s="1074"/>
      <c r="O207" s="1126"/>
      <c r="P207" s="1073"/>
      <c r="Q207" s="1077"/>
      <c r="R207" s="1038"/>
      <c r="S207" s="1074"/>
      <c r="T207" s="1075"/>
      <c r="U207" s="1184"/>
      <c r="V207" s="1255" t="s">
        <v>146</v>
      </c>
      <c r="W207" s="1241"/>
      <c r="X207" s="1241">
        <v>2</v>
      </c>
      <c r="Y207" s="1242" t="s">
        <v>46</v>
      </c>
      <c r="Z207" s="1143">
        <f t="shared" si="22"/>
        <v>2</v>
      </c>
      <c r="AA207" s="1074"/>
      <c r="AB207" s="1126"/>
      <c r="AC207" s="1073"/>
      <c r="AD207" s="1084"/>
      <c r="AE207" s="1062"/>
      <c r="AF207" s="1085"/>
      <c r="AG207" s="1086"/>
      <c r="AH207" s="1087"/>
      <c r="AI207" s="1087"/>
      <c r="AJ207" s="1088"/>
      <c r="AK207" s="1089"/>
      <c r="AL207" s="1090">
        <f>AK207*X207</f>
        <v>0</v>
      </c>
      <c r="AM207" s="1086"/>
      <c r="AN207" s="1086"/>
      <c r="AO207" s="1087"/>
      <c r="AP207" s="1076"/>
      <c r="AQ207" s="1087"/>
      <c r="AR207" s="1076"/>
      <c r="AS207" s="1076"/>
      <c r="AT207" s="1086"/>
      <c r="AU207" s="1088"/>
      <c r="AV207" s="1067"/>
    </row>
    <row r="208" spans="1:48" ht="16.5" customHeight="1">
      <c r="A208" s="1082"/>
      <c r="B208" s="1082"/>
      <c r="C208" s="1083"/>
      <c r="D208" s="1074"/>
      <c r="E208" s="1126"/>
      <c r="F208" s="1138"/>
      <c r="G208" s="1074"/>
      <c r="H208" s="1077"/>
      <c r="I208" s="1127"/>
      <c r="J208" s="1128"/>
      <c r="K208" s="1067"/>
      <c r="L208" s="1139"/>
      <c r="M208" s="1130"/>
      <c r="N208" s="1074"/>
      <c r="O208" s="1126"/>
      <c r="P208" s="1073"/>
      <c r="Q208" s="1077"/>
      <c r="R208" s="1038"/>
      <c r="S208" s="1074"/>
      <c r="T208" s="1075"/>
      <c r="U208" s="1184">
        <v>10</v>
      </c>
      <c r="V208" s="1255" t="s">
        <v>48</v>
      </c>
      <c r="W208" s="1241">
        <v>4</v>
      </c>
      <c r="X208" s="1241" t="s">
        <v>46</v>
      </c>
      <c r="Y208" s="1242" t="s">
        <v>46</v>
      </c>
      <c r="Z208" s="1143">
        <f t="shared" si="22"/>
        <v>4</v>
      </c>
      <c r="AA208" s="1074"/>
      <c r="AB208" s="1126"/>
      <c r="AC208" s="1073"/>
      <c r="AD208" s="1084"/>
      <c r="AE208" s="1062"/>
      <c r="AF208" s="1085"/>
      <c r="AG208" s="1086"/>
      <c r="AH208" s="1087"/>
      <c r="AI208" s="1087"/>
      <c r="AJ208" s="1088"/>
      <c r="AK208" s="1089">
        <v>15000</v>
      </c>
      <c r="AL208" s="1090">
        <f t="shared" si="16"/>
        <v>60000</v>
      </c>
      <c r="AM208" s="1086"/>
      <c r="AN208" s="1086"/>
      <c r="AO208" s="1087"/>
      <c r="AP208" s="1076"/>
      <c r="AQ208" s="1087"/>
      <c r="AR208" s="1076"/>
      <c r="AS208" s="1076"/>
      <c r="AT208" s="1086"/>
      <c r="AU208" s="1088"/>
      <c r="AV208" s="1067"/>
    </row>
    <row r="209" spans="1:48" ht="16.5" customHeight="1">
      <c r="A209" s="1082"/>
      <c r="B209" s="1082"/>
      <c r="C209" s="1083"/>
      <c r="D209" s="1074"/>
      <c r="E209" s="1126"/>
      <c r="F209" s="1138"/>
      <c r="G209" s="1074"/>
      <c r="H209" s="1077"/>
      <c r="I209" s="1127"/>
      <c r="J209" s="1128"/>
      <c r="K209" s="1067"/>
      <c r="L209" s="1139"/>
      <c r="M209" s="1130"/>
      <c r="N209" s="1074"/>
      <c r="O209" s="1126"/>
      <c r="P209" s="1073"/>
      <c r="Q209" s="1077"/>
      <c r="R209" s="1038"/>
      <c r="S209" s="1074"/>
      <c r="T209" s="1075"/>
      <c r="U209" s="1184">
        <v>11</v>
      </c>
      <c r="V209" s="1255" t="s">
        <v>344</v>
      </c>
      <c r="W209" s="1241">
        <v>1</v>
      </c>
      <c r="X209" s="1241"/>
      <c r="Y209" s="1242" t="s">
        <v>46</v>
      </c>
      <c r="Z209" s="1143">
        <f t="shared" si="22"/>
        <v>1</v>
      </c>
      <c r="AA209" s="1074"/>
      <c r="AB209" s="1126"/>
      <c r="AC209" s="1073"/>
      <c r="AD209" s="1084"/>
      <c r="AE209" s="1062"/>
      <c r="AF209" s="1085"/>
      <c r="AG209" s="1086"/>
      <c r="AH209" s="1087"/>
      <c r="AI209" s="1087"/>
      <c r="AJ209" s="1088"/>
      <c r="AK209" s="1089">
        <v>150000</v>
      </c>
      <c r="AL209" s="1090">
        <f t="shared" si="16"/>
        <v>150000</v>
      </c>
      <c r="AM209" s="1086"/>
      <c r="AN209" s="1086"/>
      <c r="AO209" s="1087"/>
      <c r="AP209" s="1076"/>
      <c r="AQ209" s="1087"/>
      <c r="AR209" s="1076"/>
      <c r="AS209" s="1076"/>
      <c r="AT209" s="1086"/>
      <c r="AU209" s="1088"/>
      <c r="AV209" s="1067"/>
    </row>
    <row r="210" spans="1:48" ht="16.5" customHeight="1">
      <c r="A210" s="1082"/>
      <c r="B210" s="1082"/>
      <c r="C210" s="1083"/>
      <c r="D210" s="1074"/>
      <c r="E210" s="1126"/>
      <c r="F210" s="1138"/>
      <c r="G210" s="1074"/>
      <c r="H210" s="1077"/>
      <c r="I210" s="1127"/>
      <c r="J210" s="1128"/>
      <c r="K210" s="1067"/>
      <c r="L210" s="1139"/>
      <c r="M210" s="1130"/>
      <c r="N210" s="1074"/>
      <c r="O210" s="1126"/>
      <c r="P210" s="1073"/>
      <c r="Q210" s="1077"/>
      <c r="R210" s="1038"/>
      <c r="S210" s="1074"/>
      <c r="T210" s="1075"/>
      <c r="U210" s="1184"/>
      <c r="V210" s="1255" t="s">
        <v>344</v>
      </c>
      <c r="W210" s="1241"/>
      <c r="X210" s="1241">
        <v>3</v>
      </c>
      <c r="Y210" s="1242" t="s">
        <v>46</v>
      </c>
      <c r="Z210" s="1143"/>
      <c r="AA210" s="1074"/>
      <c r="AB210" s="1126"/>
      <c r="AC210" s="1073"/>
      <c r="AD210" s="1084"/>
      <c r="AE210" s="1062"/>
      <c r="AF210" s="1085"/>
      <c r="AG210" s="1086"/>
      <c r="AH210" s="1087"/>
      <c r="AI210" s="1087"/>
      <c r="AJ210" s="1088"/>
      <c r="AK210" s="1089">
        <v>99000</v>
      </c>
      <c r="AL210" s="1090">
        <f>AK210*X210</f>
        <v>297000</v>
      </c>
      <c r="AM210" s="1086"/>
      <c r="AN210" s="1086"/>
      <c r="AO210" s="1087"/>
      <c r="AP210" s="1076"/>
      <c r="AQ210" s="1087"/>
      <c r="AR210" s="1076"/>
      <c r="AS210" s="1076"/>
      <c r="AT210" s="1086"/>
      <c r="AU210" s="1088"/>
      <c r="AV210" s="1067"/>
    </row>
    <row r="211" spans="1:48" ht="16.5" customHeight="1">
      <c r="A211" s="1082"/>
      <c r="B211" s="1082"/>
      <c r="C211" s="1083"/>
      <c r="D211" s="1074"/>
      <c r="E211" s="1126"/>
      <c r="F211" s="1138"/>
      <c r="G211" s="1074"/>
      <c r="H211" s="1077"/>
      <c r="I211" s="1127"/>
      <c r="J211" s="1128"/>
      <c r="K211" s="1067"/>
      <c r="L211" s="1139"/>
      <c r="M211" s="1130"/>
      <c r="N211" s="1074"/>
      <c r="O211" s="1126"/>
      <c r="P211" s="1073"/>
      <c r="Q211" s="1077"/>
      <c r="R211" s="1038"/>
      <c r="S211" s="1074"/>
      <c r="T211" s="1075"/>
      <c r="U211" s="1184">
        <v>12</v>
      </c>
      <c r="V211" s="1255" t="s">
        <v>307</v>
      </c>
      <c r="W211" s="1241">
        <v>1</v>
      </c>
      <c r="X211" s="1241" t="s">
        <v>46</v>
      </c>
      <c r="Y211" s="1242" t="s">
        <v>46</v>
      </c>
      <c r="Z211" s="1143">
        <f t="shared" si="22"/>
        <v>1</v>
      </c>
      <c r="AA211" s="1074"/>
      <c r="AB211" s="1126"/>
      <c r="AC211" s="1073"/>
      <c r="AD211" s="1084"/>
      <c r="AE211" s="1062"/>
      <c r="AF211" s="1085"/>
      <c r="AG211" s="1086"/>
      <c r="AH211" s="1087"/>
      <c r="AI211" s="1087"/>
      <c r="AJ211" s="1088"/>
      <c r="AK211" s="1089">
        <v>75000</v>
      </c>
      <c r="AL211" s="1090">
        <f t="shared" ref="AL211:AL278" si="23">AK211*W211</f>
        <v>75000</v>
      </c>
      <c r="AM211" s="1086"/>
      <c r="AN211" s="1086"/>
      <c r="AO211" s="1087"/>
      <c r="AP211" s="1076"/>
      <c r="AQ211" s="1087"/>
      <c r="AR211" s="1076"/>
      <c r="AS211" s="1076"/>
      <c r="AT211" s="1086"/>
      <c r="AU211" s="1088"/>
      <c r="AV211" s="1067"/>
    </row>
    <row r="212" spans="1:48" ht="16.5" customHeight="1">
      <c r="A212" s="1082"/>
      <c r="B212" s="1082"/>
      <c r="C212" s="1083"/>
      <c r="D212" s="1074"/>
      <c r="E212" s="1126"/>
      <c r="F212" s="1138"/>
      <c r="G212" s="1074"/>
      <c r="H212" s="1077"/>
      <c r="I212" s="1127"/>
      <c r="J212" s="1128"/>
      <c r="K212" s="1067"/>
      <c r="L212" s="1139"/>
      <c r="M212" s="1130"/>
      <c r="N212" s="1074"/>
      <c r="O212" s="1126"/>
      <c r="P212" s="1073"/>
      <c r="Q212" s="1077"/>
      <c r="R212" s="1038"/>
      <c r="S212" s="1074"/>
      <c r="T212" s="1075"/>
      <c r="U212" s="1184">
        <v>13</v>
      </c>
      <c r="V212" s="1255" t="s">
        <v>343</v>
      </c>
      <c r="W212" s="1241">
        <v>1</v>
      </c>
      <c r="X212" s="1241" t="s">
        <v>46</v>
      </c>
      <c r="Y212" s="1242" t="s">
        <v>46</v>
      </c>
      <c r="Z212" s="1143">
        <f t="shared" si="22"/>
        <v>1</v>
      </c>
      <c r="AA212" s="1074"/>
      <c r="AB212" s="1126"/>
      <c r="AC212" s="1073"/>
      <c r="AD212" s="1084"/>
      <c r="AE212" s="1062"/>
      <c r="AF212" s="1085"/>
      <c r="AG212" s="1086"/>
      <c r="AH212" s="1087"/>
      <c r="AI212" s="1087"/>
      <c r="AJ212" s="1088"/>
      <c r="AK212" s="1089">
        <v>15000</v>
      </c>
      <c r="AL212" s="1090">
        <f t="shared" si="23"/>
        <v>15000</v>
      </c>
      <c r="AM212" s="1086"/>
      <c r="AN212" s="1086"/>
      <c r="AO212" s="1087"/>
      <c r="AP212" s="1076"/>
      <c r="AQ212" s="1087"/>
      <c r="AR212" s="1076"/>
      <c r="AS212" s="1076"/>
      <c r="AT212" s="1086"/>
      <c r="AU212" s="1088"/>
      <c r="AV212" s="1067"/>
    </row>
    <row r="213" spans="1:48" ht="16.5" customHeight="1">
      <c r="A213" s="1082"/>
      <c r="B213" s="1082"/>
      <c r="C213" s="1083"/>
      <c r="D213" s="1074"/>
      <c r="E213" s="1126"/>
      <c r="F213" s="1138"/>
      <c r="G213" s="1074"/>
      <c r="H213" s="1077"/>
      <c r="I213" s="1127"/>
      <c r="J213" s="1128"/>
      <c r="K213" s="1067"/>
      <c r="L213" s="1139"/>
      <c r="M213" s="1130"/>
      <c r="N213" s="1074"/>
      <c r="O213" s="1126"/>
      <c r="P213" s="1073"/>
      <c r="Q213" s="1077"/>
      <c r="R213" s="1038"/>
      <c r="S213" s="1074"/>
      <c r="T213" s="1075"/>
      <c r="U213" s="1184">
        <v>14</v>
      </c>
      <c r="V213" s="1255" t="s">
        <v>6</v>
      </c>
      <c r="W213" s="1241">
        <v>1</v>
      </c>
      <c r="X213" s="1241" t="s">
        <v>46</v>
      </c>
      <c r="Y213" s="1256" t="s">
        <v>46</v>
      </c>
      <c r="Z213" s="1143">
        <f t="shared" si="22"/>
        <v>1</v>
      </c>
      <c r="AA213" s="1074"/>
      <c r="AB213" s="1126"/>
      <c r="AC213" s="1073"/>
      <c r="AD213" s="1084"/>
      <c r="AE213" s="1062"/>
      <c r="AF213" s="1085"/>
      <c r="AG213" s="1086"/>
      <c r="AH213" s="1087"/>
      <c r="AI213" s="1087"/>
      <c r="AJ213" s="1088"/>
      <c r="AK213" s="1089">
        <v>10000</v>
      </c>
      <c r="AL213" s="1090">
        <f t="shared" si="23"/>
        <v>10000</v>
      </c>
      <c r="AM213" s="1086"/>
      <c r="AN213" s="1086"/>
      <c r="AO213" s="1087"/>
      <c r="AP213" s="1076"/>
      <c r="AQ213" s="1087"/>
      <c r="AR213" s="1076"/>
      <c r="AS213" s="1076"/>
      <c r="AT213" s="1086"/>
      <c r="AU213" s="1088"/>
      <c r="AV213" s="1067"/>
    </row>
    <row r="214" spans="1:48" ht="16.5" customHeight="1">
      <c r="A214" s="1082"/>
      <c r="B214" s="1082"/>
      <c r="C214" s="1083"/>
      <c r="D214" s="1074"/>
      <c r="E214" s="1126"/>
      <c r="F214" s="1138"/>
      <c r="G214" s="1074"/>
      <c r="H214" s="1077"/>
      <c r="I214" s="1127"/>
      <c r="J214" s="1128"/>
      <c r="K214" s="1067"/>
      <c r="L214" s="1139"/>
      <c r="M214" s="1130"/>
      <c r="N214" s="1074"/>
      <c r="O214" s="1126"/>
      <c r="P214" s="1073"/>
      <c r="Q214" s="1077"/>
      <c r="R214" s="1038"/>
      <c r="S214" s="1074"/>
      <c r="T214" s="1075"/>
      <c r="U214" s="1184">
        <v>15</v>
      </c>
      <c r="V214" s="1255" t="s">
        <v>48</v>
      </c>
      <c r="W214" s="1241">
        <v>10</v>
      </c>
      <c r="X214" s="1241"/>
      <c r="Y214" s="1242"/>
      <c r="Z214" s="1143">
        <f t="shared" si="22"/>
        <v>10</v>
      </c>
      <c r="AA214" s="1074"/>
      <c r="AB214" s="1126"/>
      <c r="AC214" s="1073"/>
      <c r="AD214" s="1084"/>
      <c r="AE214" s="1062"/>
      <c r="AF214" s="1085"/>
      <c r="AG214" s="1086"/>
      <c r="AH214" s="1087"/>
      <c r="AI214" s="1087"/>
      <c r="AJ214" s="1088"/>
      <c r="AK214" s="1089">
        <v>15000</v>
      </c>
      <c r="AL214" s="1090">
        <f t="shared" si="23"/>
        <v>150000</v>
      </c>
      <c r="AM214" s="1086"/>
      <c r="AN214" s="1086"/>
      <c r="AO214" s="1087"/>
      <c r="AP214" s="1076"/>
      <c r="AQ214" s="1087"/>
      <c r="AR214" s="1076"/>
      <c r="AS214" s="1076"/>
      <c r="AT214" s="1086"/>
      <c r="AU214" s="1088"/>
      <c r="AV214" s="1067"/>
    </row>
    <row r="215" spans="1:48" ht="16.5" customHeight="1">
      <c r="A215" s="1082"/>
      <c r="B215" s="1082"/>
      <c r="C215" s="1083"/>
      <c r="D215" s="1074"/>
      <c r="E215" s="1126"/>
      <c r="F215" s="1138"/>
      <c r="G215" s="1074"/>
      <c r="H215" s="1077"/>
      <c r="I215" s="1127"/>
      <c r="J215" s="1128"/>
      <c r="K215" s="1067"/>
      <c r="L215" s="1139"/>
      <c r="M215" s="1130"/>
      <c r="N215" s="1074"/>
      <c r="O215" s="1126"/>
      <c r="P215" s="1073"/>
      <c r="Q215" s="1077"/>
      <c r="R215" s="1038"/>
      <c r="S215" s="1074"/>
      <c r="T215" s="1075"/>
      <c r="U215" s="1184"/>
      <c r="V215" s="1255" t="s">
        <v>48</v>
      </c>
      <c r="W215" s="1241"/>
      <c r="X215" s="1241">
        <v>1</v>
      </c>
      <c r="Y215" s="1242"/>
      <c r="Z215" s="1143"/>
      <c r="AA215" s="1074"/>
      <c r="AB215" s="1126"/>
      <c r="AC215" s="1073"/>
      <c r="AD215" s="1084"/>
      <c r="AE215" s="1062"/>
      <c r="AF215" s="1085"/>
      <c r="AG215" s="1086"/>
      <c r="AH215" s="1087"/>
      <c r="AI215" s="1087"/>
      <c r="AJ215" s="1088"/>
      <c r="AK215" s="1089">
        <v>10000</v>
      </c>
      <c r="AL215" s="1090">
        <f>AK215*X215</f>
        <v>10000</v>
      </c>
      <c r="AM215" s="1086"/>
      <c r="AN215" s="1086"/>
      <c r="AO215" s="1087"/>
      <c r="AP215" s="1076"/>
      <c r="AQ215" s="1087"/>
      <c r="AR215" s="1076"/>
      <c r="AS215" s="1076"/>
      <c r="AT215" s="1086"/>
      <c r="AU215" s="1088"/>
      <c r="AV215" s="1067"/>
    </row>
    <row r="216" spans="1:48" ht="16.5" customHeight="1">
      <c r="A216" s="1082"/>
      <c r="B216" s="1082"/>
      <c r="C216" s="1083"/>
      <c r="D216" s="1074"/>
      <c r="E216" s="1126"/>
      <c r="F216" s="1138"/>
      <c r="G216" s="1074"/>
      <c r="H216" s="1077"/>
      <c r="I216" s="1127"/>
      <c r="J216" s="1128"/>
      <c r="K216" s="1067"/>
      <c r="L216" s="1139"/>
      <c r="M216" s="1130"/>
      <c r="N216" s="1074"/>
      <c r="O216" s="1126"/>
      <c r="P216" s="1073"/>
      <c r="Q216" s="1077"/>
      <c r="R216" s="1038"/>
      <c r="S216" s="1074"/>
      <c r="T216" s="1075"/>
      <c r="U216" s="1184"/>
      <c r="V216" s="1255" t="s">
        <v>48</v>
      </c>
      <c r="W216" s="1241"/>
      <c r="X216" s="1241"/>
      <c r="Y216" s="1242">
        <v>50</v>
      </c>
      <c r="Z216" s="1143"/>
      <c r="AA216" s="1074"/>
      <c r="AB216" s="1126"/>
      <c r="AC216" s="1073"/>
      <c r="AD216" s="1084"/>
      <c r="AE216" s="1062"/>
      <c r="AF216" s="1085"/>
      <c r="AG216" s="1086"/>
      <c r="AH216" s="1087"/>
      <c r="AI216" s="1087"/>
      <c r="AJ216" s="1088"/>
      <c r="AK216" s="1089">
        <v>5000</v>
      </c>
      <c r="AL216" s="1090">
        <f>AK216*Y216</f>
        <v>250000</v>
      </c>
      <c r="AM216" s="1086"/>
      <c r="AN216" s="1086"/>
      <c r="AO216" s="1087"/>
      <c r="AP216" s="1076"/>
      <c r="AQ216" s="1087"/>
      <c r="AR216" s="1076"/>
      <c r="AS216" s="1076"/>
      <c r="AT216" s="1086"/>
      <c r="AU216" s="1088"/>
      <c r="AV216" s="1067"/>
    </row>
    <row r="217" spans="1:48" ht="16.5" customHeight="1">
      <c r="A217" s="1082"/>
      <c r="B217" s="1082"/>
      <c r="C217" s="1083"/>
      <c r="D217" s="1074"/>
      <c r="E217" s="1126"/>
      <c r="F217" s="1138"/>
      <c r="G217" s="1074"/>
      <c r="H217" s="1077"/>
      <c r="I217" s="1127"/>
      <c r="J217" s="1128"/>
      <c r="K217" s="1067"/>
      <c r="L217" s="1139"/>
      <c r="M217" s="1130"/>
      <c r="N217" s="1074"/>
      <c r="O217" s="1126"/>
      <c r="P217" s="1073"/>
      <c r="Q217" s="1077"/>
      <c r="R217" s="1038"/>
      <c r="S217" s="1074"/>
      <c r="T217" s="1075"/>
      <c r="U217" s="1184">
        <v>16</v>
      </c>
      <c r="V217" s="1255" t="s">
        <v>3</v>
      </c>
      <c r="W217" s="1241">
        <v>6</v>
      </c>
      <c r="X217" s="1241" t="s">
        <v>46</v>
      </c>
      <c r="Y217" s="1242"/>
      <c r="Z217" s="1143">
        <f t="shared" si="22"/>
        <v>6</v>
      </c>
      <c r="AA217" s="1074"/>
      <c r="AB217" s="1126"/>
      <c r="AC217" s="1073"/>
      <c r="AD217" s="1084"/>
      <c r="AE217" s="1062"/>
      <c r="AF217" s="1085"/>
      <c r="AG217" s="1086"/>
      <c r="AH217" s="1087"/>
      <c r="AI217" s="1087"/>
      <c r="AJ217" s="1088"/>
      <c r="AK217" s="1089">
        <v>85000</v>
      </c>
      <c r="AL217" s="1090">
        <f t="shared" si="23"/>
        <v>510000</v>
      </c>
      <c r="AM217" s="1086"/>
      <c r="AN217" s="1086"/>
      <c r="AO217" s="1087"/>
      <c r="AP217" s="1076"/>
      <c r="AQ217" s="1087"/>
      <c r="AR217" s="1076"/>
      <c r="AS217" s="1076"/>
      <c r="AT217" s="1086"/>
      <c r="AU217" s="1088"/>
      <c r="AV217" s="1067"/>
    </row>
    <row r="218" spans="1:48" ht="16.5" customHeight="1">
      <c r="A218" s="1082"/>
      <c r="B218" s="1082"/>
      <c r="C218" s="1083"/>
      <c r="D218" s="1074"/>
      <c r="E218" s="1126"/>
      <c r="F218" s="1138"/>
      <c r="G218" s="1074"/>
      <c r="H218" s="1077"/>
      <c r="I218" s="1127"/>
      <c r="J218" s="1128"/>
      <c r="K218" s="1067"/>
      <c r="L218" s="1139"/>
      <c r="M218" s="1130"/>
      <c r="N218" s="1074"/>
      <c r="O218" s="1126"/>
      <c r="P218" s="1073"/>
      <c r="Q218" s="1077"/>
      <c r="R218" s="1038"/>
      <c r="S218" s="1074"/>
      <c r="T218" s="1075"/>
      <c r="U218" s="1184"/>
      <c r="V218" s="1255" t="s">
        <v>3</v>
      </c>
      <c r="W218" s="1241"/>
      <c r="X218" s="1241" t="s">
        <v>46</v>
      </c>
      <c r="Y218" s="1242">
        <v>30</v>
      </c>
      <c r="Z218" s="1143"/>
      <c r="AA218" s="1074"/>
      <c r="AB218" s="1126"/>
      <c r="AC218" s="1073"/>
      <c r="AD218" s="1084"/>
      <c r="AE218" s="1062"/>
      <c r="AF218" s="1085"/>
      <c r="AG218" s="1086"/>
      <c r="AH218" s="1087"/>
      <c r="AI218" s="1087"/>
      <c r="AJ218" s="1088"/>
      <c r="AK218" s="1089">
        <v>20000</v>
      </c>
      <c r="AL218" s="1090">
        <f>AK218*Y218</f>
        <v>600000</v>
      </c>
      <c r="AM218" s="1086"/>
      <c r="AN218" s="1086"/>
      <c r="AO218" s="1087"/>
      <c r="AP218" s="1076"/>
      <c r="AQ218" s="1087"/>
      <c r="AR218" s="1076"/>
      <c r="AS218" s="1076"/>
      <c r="AT218" s="1086"/>
      <c r="AU218" s="1088"/>
      <c r="AV218" s="1067"/>
    </row>
    <row r="219" spans="1:48" ht="16.5" customHeight="1">
      <c r="A219" s="1098"/>
      <c r="B219" s="1270"/>
      <c r="C219" s="1264"/>
      <c r="D219" s="1094"/>
      <c r="E219" s="1149"/>
      <c r="F219" s="1150"/>
      <c r="G219" s="1094"/>
      <c r="H219" s="1151"/>
      <c r="I219" s="1152"/>
      <c r="J219" s="1153"/>
      <c r="K219" s="1101"/>
      <c r="L219" s="1154"/>
      <c r="M219" s="1155"/>
      <c r="N219" s="1094"/>
      <c r="O219" s="1156"/>
      <c r="P219" s="1107"/>
      <c r="Q219" s="1151"/>
      <c r="R219" s="1095"/>
      <c r="S219" s="1094"/>
      <c r="T219" s="1168"/>
      <c r="U219" s="1188"/>
      <c r="V219" s="1189"/>
      <c r="W219" s="1111"/>
      <c r="X219" s="1110"/>
      <c r="Y219" s="1096"/>
      <c r="Z219" s="1166"/>
      <c r="AA219" s="1094"/>
      <c r="AB219" s="1156"/>
      <c r="AC219" s="1107"/>
      <c r="AD219" s="1114"/>
      <c r="AE219" s="1093"/>
      <c r="AF219" s="1115"/>
      <c r="AG219" s="1116"/>
      <c r="AH219" s="1117"/>
      <c r="AI219" s="1117"/>
      <c r="AJ219" s="1118"/>
      <c r="AK219" s="1119"/>
      <c r="AL219" s="1120"/>
      <c r="AM219" s="1116"/>
      <c r="AN219" s="1116"/>
      <c r="AO219" s="1117"/>
      <c r="AP219" s="1108"/>
      <c r="AQ219" s="1117"/>
      <c r="AR219" s="1108"/>
      <c r="AS219" s="1108"/>
      <c r="AT219" s="1116"/>
      <c r="AU219" s="1118"/>
      <c r="AV219" s="1101"/>
    </row>
    <row r="220" spans="1:48" ht="16.5" customHeight="1">
      <c r="A220" s="1271">
        <v>16</v>
      </c>
      <c r="B220" s="1272" t="s">
        <v>25</v>
      </c>
      <c r="C220" s="1273" t="s">
        <v>378</v>
      </c>
      <c r="D220" s="1172"/>
      <c r="E220" s="1274"/>
      <c r="F220" s="1171" t="s">
        <v>377</v>
      </c>
      <c r="G220" s="1172" t="s">
        <v>25</v>
      </c>
      <c r="H220" s="1050" t="s">
        <v>29</v>
      </c>
      <c r="I220" s="1275">
        <v>244</v>
      </c>
      <c r="J220" s="1175" t="s">
        <v>41</v>
      </c>
      <c r="K220" s="1041" t="s">
        <v>376</v>
      </c>
      <c r="L220" s="1276"/>
      <c r="M220" s="1048"/>
      <c r="N220" s="1181"/>
      <c r="O220" s="1181"/>
      <c r="P220" s="1277"/>
      <c r="Q220" s="1278"/>
      <c r="R220" s="1035" t="s">
        <v>25</v>
      </c>
      <c r="S220" s="1034" t="s">
        <v>24</v>
      </c>
      <c r="T220" s="1048"/>
      <c r="U220" s="1180"/>
      <c r="V220" s="1049"/>
      <c r="W220" s="1052"/>
      <c r="X220" s="1051"/>
      <c r="Y220" s="1036"/>
      <c r="Z220" s="1203"/>
      <c r="AA220" s="1034"/>
      <c r="AB220" s="1050"/>
      <c r="AC220" s="1047"/>
      <c r="AD220" s="1180"/>
      <c r="AE220" s="1049"/>
      <c r="AF220" s="1056">
        <f>Resum!F1</f>
        <v>356000</v>
      </c>
      <c r="AG220" s="1086">
        <f>AF220*I220</f>
        <v>86864000</v>
      </c>
      <c r="AH220" s="1058"/>
      <c r="AI220" s="1058"/>
      <c r="AJ220" s="1059"/>
      <c r="AK220" s="1060"/>
      <c r="AL220" s="1090"/>
      <c r="AM220" s="1057">
        <f>SUM(AL220:AL224)</f>
        <v>150000</v>
      </c>
      <c r="AN220" s="1086">
        <f>AM220+AJ220+AG220</f>
        <v>87014000</v>
      </c>
      <c r="AO220" s="1058"/>
      <c r="AP220" s="1136">
        <f>AI221*15%</f>
        <v>0</v>
      </c>
      <c r="AQ220" s="1087">
        <v>0</v>
      </c>
      <c r="AR220" s="1136">
        <f>(AG220+AI220)*5%</f>
        <v>4343200</v>
      </c>
      <c r="AS220" s="1087">
        <f>0.5%*(AG220+AI220)*(3)</f>
        <v>1302960</v>
      </c>
      <c r="AT220" s="1086">
        <f>+AS220+AR220+AQ220+AP220+AO220</f>
        <v>5646160</v>
      </c>
      <c r="AU220" s="1137">
        <f>ROUND(AT220+AN220,-3)</f>
        <v>92660000</v>
      </c>
      <c r="AV220" s="1279"/>
    </row>
    <row r="221" spans="1:48" ht="16.5" customHeight="1">
      <c r="A221" s="1073"/>
      <c r="B221" s="1038" t="s">
        <v>16</v>
      </c>
      <c r="C221" s="1071" t="s">
        <v>375</v>
      </c>
      <c r="D221" s="1125"/>
      <c r="E221" s="1280"/>
      <c r="F221" s="1138"/>
      <c r="G221" s="1074" t="s">
        <v>16</v>
      </c>
      <c r="H221" s="1074" t="s">
        <v>22</v>
      </c>
      <c r="I221" s="1127"/>
      <c r="J221" s="1128"/>
      <c r="K221" s="1067"/>
      <c r="L221" s="1221"/>
      <c r="M221" s="1075"/>
      <c r="N221" s="1063"/>
      <c r="O221" s="1063"/>
      <c r="P221" s="1195"/>
      <c r="Q221" s="1196"/>
      <c r="R221" s="1038"/>
      <c r="S221" s="1074"/>
      <c r="T221" s="1075"/>
      <c r="U221" s="1091"/>
      <c r="V221" s="1076"/>
      <c r="W221" s="1079"/>
      <c r="X221" s="1078"/>
      <c r="Y221" s="1039"/>
      <c r="Z221" s="1134"/>
      <c r="AA221" s="1074"/>
      <c r="AB221" s="1077"/>
      <c r="AC221" s="1073"/>
      <c r="AD221" s="1091"/>
      <c r="AE221" s="1076"/>
      <c r="AF221" s="1085"/>
      <c r="AG221" s="1086"/>
      <c r="AH221" s="1087"/>
      <c r="AI221" s="1087"/>
      <c r="AJ221" s="1088"/>
      <c r="AK221" s="1089"/>
      <c r="AL221" s="1090"/>
      <c r="AM221" s="1086"/>
      <c r="AN221" s="1086"/>
      <c r="AO221" s="1087"/>
      <c r="AP221" s="1076"/>
      <c r="AQ221" s="1087"/>
      <c r="AR221" s="1076"/>
      <c r="AS221" s="1076"/>
      <c r="AT221" s="1086"/>
      <c r="AU221" s="1088"/>
      <c r="AV221" s="1235"/>
    </row>
    <row r="222" spans="1:48" ht="16.5" customHeight="1">
      <c r="A222" s="1073"/>
      <c r="B222" s="1038" t="s">
        <v>18</v>
      </c>
      <c r="C222" s="1083" t="s">
        <v>60</v>
      </c>
      <c r="D222" s="1125"/>
      <c r="E222" s="1280"/>
      <c r="F222" s="1138"/>
      <c r="G222" s="1074" t="s">
        <v>18</v>
      </c>
      <c r="H222" s="1077" t="s">
        <v>19</v>
      </c>
      <c r="I222" s="1127"/>
      <c r="J222" s="1128"/>
      <c r="K222" s="1067"/>
      <c r="L222" s="1221"/>
      <c r="M222" s="1075"/>
      <c r="N222" s="1063"/>
      <c r="O222" s="1063"/>
      <c r="P222" s="1195"/>
      <c r="Q222" s="1196"/>
      <c r="R222" s="1038" t="s">
        <v>16</v>
      </c>
      <c r="S222" s="1074" t="s">
        <v>15</v>
      </c>
      <c r="T222" s="1075">
        <v>1</v>
      </c>
      <c r="U222" s="1091">
        <v>1</v>
      </c>
      <c r="V222" s="1076" t="s">
        <v>344</v>
      </c>
      <c r="W222" s="1079">
        <v>1</v>
      </c>
      <c r="X222" s="1281" t="s">
        <v>46</v>
      </c>
      <c r="Y222" s="1282" t="s">
        <v>46</v>
      </c>
      <c r="Z222" s="1134">
        <f>SUM(W222:Y222)</f>
        <v>1</v>
      </c>
      <c r="AA222" s="1074"/>
      <c r="AB222" s="1077"/>
      <c r="AC222" s="1073"/>
      <c r="AD222" s="1091"/>
      <c r="AE222" s="1076"/>
      <c r="AF222" s="1085"/>
      <c r="AG222" s="1086"/>
      <c r="AH222" s="1087"/>
      <c r="AI222" s="1087"/>
      <c r="AJ222" s="1088"/>
      <c r="AK222" s="1089">
        <v>150000</v>
      </c>
      <c r="AL222" s="1090">
        <f t="shared" si="23"/>
        <v>150000</v>
      </c>
      <c r="AM222" s="1086"/>
      <c r="AN222" s="1086"/>
      <c r="AO222" s="1087"/>
      <c r="AP222" s="1076"/>
      <c r="AQ222" s="1087"/>
      <c r="AR222" s="1076"/>
      <c r="AS222" s="1076"/>
      <c r="AT222" s="1086"/>
      <c r="AU222" s="1088"/>
      <c r="AV222" s="1235"/>
    </row>
    <row r="223" spans="1:48" ht="66" customHeight="1">
      <c r="A223" s="1073"/>
      <c r="B223" s="1082" t="s">
        <v>12</v>
      </c>
      <c r="C223" s="1083" t="s">
        <v>374</v>
      </c>
      <c r="D223" s="1125"/>
      <c r="E223" s="1280"/>
      <c r="F223" s="1138"/>
      <c r="G223" s="1074"/>
      <c r="H223" s="1077"/>
      <c r="I223" s="1127"/>
      <c r="J223" s="1128"/>
      <c r="K223" s="1067"/>
      <c r="L223" s="1221"/>
      <c r="M223" s="1075"/>
      <c r="N223" s="1063"/>
      <c r="O223" s="1063"/>
      <c r="P223" s="1195"/>
      <c r="Q223" s="1196"/>
      <c r="R223" s="1038"/>
      <c r="S223" s="1074"/>
      <c r="T223" s="1075"/>
      <c r="U223" s="1091"/>
      <c r="V223" s="1076"/>
      <c r="W223" s="1079"/>
      <c r="X223" s="1078"/>
      <c r="Y223" s="1039"/>
      <c r="Z223" s="1134"/>
      <c r="AA223" s="1074"/>
      <c r="AB223" s="1077"/>
      <c r="AC223" s="1073"/>
      <c r="AD223" s="1091"/>
      <c r="AE223" s="1076"/>
      <c r="AF223" s="1085"/>
      <c r="AG223" s="1086"/>
      <c r="AH223" s="1087"/>
      <c r="AI223" s="1087"/>
      <c r="AJ223" s="1088"/>
      <c r="AK223" s="1089"/>
      <c r="AL223" s="1090"/>
      <c r="AM223" s="1086"/>
      <c r="AN223" s="1086"/>
      <c r="AO223" s="1087"/>
      <c r="AP223" s="1076"/>
      <c r="AQ223" s="1087"/>
      <c r="AR223" s="1076"/>
      <c r="AS223" s="1076"/>
      <c r="AT223" s="1086"/>
      <c r="AU223" s="1088"/>
      <c r="AV223" s="1235"/>
    </row>
    <row r="224" spans="1:48" ht="16.5" customHeight="1">
      <c r="A224" s="1107"/>
      <c r="B224" s="1082" t="s">
        <v>8</v>
      </c>
      <c r="C224" s="1283" t="s">
        <v>373</v>
      </c>
      <c r="D224" s="1284"/>
      <c r="E224" s="1285"/>
      <c r="F224" s="1150"/>
      <c r="G224" s="1094"/>
      <c r="H224" s="1151"/>
      <c r="I224" s="1152"/>
      <c r="J224" s="1153"/>
      <c r="K224" s="1101"/>
      <c r="L224" s="1224"/>
      <c r="M224" s="1168"/>
      <c r="N224" s="1094"/>
      <c r="O224" s="1156"/>
      <c r="P224" s="1107"/>
      <c r="Q224" s="1151"/>
      <c r="R224" s="1095"/>
      <c r="S224" s="1094"/>
      <c r="T224" s="1168"/>
      <c r="U224" s="1109"/>
      <c r="V224" s="1108"/>
      <c r="W224" s="1111"/>
      <c r="X224" s="1110"/>
      <c r="Y224" s="1096"/>
      <c r="Z224" s="1286"/>
      <c r="AA224" s="1094"/>
      <c r="AB224" s="1151"/>
      <c r="AC224" s="1107"/>
      <c r="AD224" s="1109"/>
      <c r="AE224" s="1108"/>
      <c r="AF224" s="1115"/>
      <c r="AG224" s="1116"/>
      <c r="AH224" s="1117"/>
      <c r="AI224" s="1117"/>
      <c r="AJ224" s="1118"/>
      <c r="AK224" s="1119"/>
      <c r="AL224" s="1120"/>
      <c r="AM224" s="1116"/>
      <c r="AN224" s="1116"/>
      <c r="AO224" s="1117"/>
      <c r="AP224" s="1108"/>
      <c r="AQ224" s="1117"/>
      <c r="AR224" s="1108"/>
      <c r="AS224" s="1108"/>
      <c r="AT224" s="1116"/>
      <c r="AU224" s="1118"/>
      <c r="AV224" s="1287"/>
    </row>
    <row r="225" spans="1:48" ht="16.5" customHeight="1">
      <c r="A225" s="1169">
        <v>17</v>
      </c>
      <c r="B225" s="1033" t="s">
        <v>25</v>
      </c>
      <c r="C225" s="1036" t="s">
        <v>372</v>
      </c>
      <c r="D225" s="1170"/>
      <c r="E225" s="1034"/>
      <c r="F225" s="1171" t="s">
        <v>371</v>
      </c>
      <c r="G225" s="1172" t="s">
        <v>25</v>
      </c>
      <c r="H225" s="1173" t="s">
        <v>29</v>
      </c>
      <c r="I225" s="1275">
        <v>309.10399999999998</v>
      </c>
      <c r="J225" s="1175" t="s">
        <v>41</v>
      </c>
      <c r="K225" s="1041" t="s">
        <v>370</v>
      </c>
      <c r="L225" s="1276"/>
      <c r="M225" s="1048"/>
      <c r="N225" s="1034" t="s">
        <v>25</v>
      </c>
      <c r="O225" s="1177" t="s">
        <v>26</v>
      </c>
      <c r="P225" s="1178">
        <v>1</v>
      </c>
      <c r="Q225" s="1179">
        <v>78.3</v>
      </c>
      <c r="R225" s="1035" t="s">
        <v>25</v>
      </c>
      <c r="S225" s="1034" t="s">
        <v>24</v>
      </c>
      <c r="T225" s="1048"/>
      <c r="U225" s="1180"/>
      <c r="V225" s="1047"/>
      <c r="W225" s="1052"/>
      <c r="X225" s="1051"/>
      <c r="Y225" s="1036"/>
      <c r="Z225" s="1203"/>
      <c r="AA225" s="1034"/>
      <c r="AB225" s="1050"/>
      <c r="AC225" s="1047"/>
      <c r="AD225" s="1180"/>
      <c r="AE225" s="1049"/>
      <c r="AF225" s="1056">
        <f>Resum!F1</f>
        <v>356000</v>
      </c>
      <c r="AG225" s="1057">
        <f>AF225*I225</f>
        <v>110041024</v>
      </c>
      <c r="AH225" s="1058">
        <v>2530000</v>
      </c>
      <c r="AI225" s="1058">
        <f>AH225*Q225*0.8</f>
        <v>158479200</v>
      </c>
      <c r="AJ225" s="1182">
        <f>SUM(AI225:AI230)</f>
        <v>167181450</v>
      </c>
      <c r="AK225" s="1060"/>
      <c r="AL225" s="1061"/>
      <c r="AM225" s="1057">
        <f>SUM(AL225:AL232)</f>
        <v>367000</v>
      </c>
      <c r="AN225" s="1057">
        <f>AM225+AJ225+AG225</f>
        <v>277589474</v>
      </c>
      <c r="AO225" s="1058"/>
      <c r="AP225" s="1548">
        <f>(AI225+AG225)*15%</f>
        <v>40278033.600000001</v>
      </c>
      <c r="AQ225" s="1058">
        <f>(AG225+AI225)*1%</f>
        <v>2685202.24</v>
      </c>
      <c r="AR225" s="1548">
        <f>(AG225+AI225)*5%</f>
        <v>13426011.200000001</v>
      </c>
      <c r="AS225" s="1058">
        <f>0.5%*(AG225+AI225)*(3)</f>
        <v>4027803.3600000003</v>
      </c>
      <c r="AT225" s="1057">
        <f>+AS225+AR225+AQ225+AP225+AO225</f>
        <v>60417050.400000006</v>
      </c>
      <c r="AU225" s="2015">
        <f>ROUND(AT225+AN225,-3)</f>
        <v>338007000</v>
      </c>
      <c r="AV225" s="1279"/>
    </row>
    <row r="226" spans="1:48" ht="16.5" customHeight="1">
      <c r="A226" s="1073"/>
      <c r="B226" s="1038" t="s">
        <v>16</v>
      </c>
      <c r="C226" s="1071" t="s">
        <v>369</v>
      </c>
      <c r="D226" s="1074"/>
      <c r="E226" s="1063"/>
      <c r="F226" s="1138"/>
      <c r="G226" s="1074" t="s">
        <v>16</v>
      </c>
      <c r="H226" s="1074" t="s">
        <v>22</v>
      </c>
      <c r="I226" s="1127"/>
      <c r="J226" s="1128"/>
      <c r="K226" s="1067"/>
      <c r="L226" s="1221"/>
      <c r="M226" s="1075"/>
      <c r="N226" s="1074" t="s">
        <v>16</v>
      </c>
      <c r="O226" s="1123" t="s">
        <v>21</v>
      </c>
      <c r="P226" s="1132">
        <v>1</v>
      </c>
      <c r="Q226" s="1133">
        <v>8.5500000000000007</v>
      </c>
      <c r="R226" s="1038"/>
      <c r="S226" s="1074"/>
      <c r="T226" s="1075"/>
      <c r="U226" s="1091"/>
      <c r="V226" s="1073"/>
      <c r="W226" s="1079"/>
      <c r="X226" s="1078"/>
      <c r="Y226" s="1039"/>
      <c r="Z226" s="1134"/>
      <c r="AA226" s="1074"/>
      <c r="AB226" s="1077"/>
      <c r="AC226" s="1073"/>
      <c r="AD226" s="1091"/>
      <c r="AE226" s="1076"/>
      <c r="AF226" s="1085"/>
      <c r="AG226" s="1086"/>
      <c r="AH226" s="1087">
        <v>350000</v>
      </c>
      <c r="AI226" s="1087">
        <f>AH226*Q226*0.7</f>
        <v>2094750.0000000002</v>
      </c>
      <c r="AJ226" s="1088"/>
      <c r="AK226" s="1089"/>
      <c r="AL226" s="1090"/>
      <c r="AM226" s="1086"/>
      <c r="AN226" s="1086"/>
      <c r="AO226" s="1087"/>
      <c r="AP226" s="1076"/>
      <c r="AQ226" s="1087"/>
      <c r="AR226" s="1076"/>
      <c r="AS226" s="1076"/>
      <c r="AT226" s="1086"/>
      <c r="AU226" s="1088"/>
      <c r="AV226" s="1235"/>
    </row>
    <row r="227" spans="1:48" ht="16.5" customHeight="1">
      <c r="A227" s="1073"/>
      <c r="B227" s="1038" t="s">
        <v>18</v>
      </c>
      <c r="C227" s="1039" t="s">
        <v>368</v>
      </c>
      <c r="D227" s="1074"/>
      <c r="E227" s="1074"/>
      <c r="F227" s="1138"/>
      <c r="G227" s="1074" t="s">
        <v>18</v>
      </c>
      <c r="H227" s="1074" t="s">
        <v>19</v>
      </c>
      <c r="I227" s="1127"/>
      <c r="J227" s="1128"/>
      <c r="K227" s="1067"/>
      <c r="L227" s="1221"/>
      <c r="M227" s="1075"/>
      <c r="N227" s="1074" t="s">
        <v>18</v>
      </c>
      <c r="O227" s="1123" t="s">
        <v>17</v>
      </c>
      <c r="P227" s="1132">
        <v>1</v>
      </c>
      <c r="Q227" s="1133"/>
      <c r="R227" s="1038" t="s">
        <v>16</v>
      </c>
      <c r="S227" s="1074" t="s">
        <v>15</v>
      </c>
      <c r="T227" s="1075">
        <v>5</v>
      </c>
      <c r="U227" s="1091">
        <v>1</v>
      </c>
      <c r="V227" s="1185" t="s">
        <v>157</v>
      </c>
      <c r="W227" s="1140">
        <v>0</v>
      </c>
      <c r="X227" s="1141">
        <v>2</v>
      </c>
      <c r="Y227" s="1142">
        <v>0</v>
      </c>
      <c r="Z227" s="1143">
        <f>SUM(W227:Y227)</f>
        <v>2</v>
      </c>
      <c r="AA227" s="1074"/>
      <c r="AB227" s="1077"/>
      <c r="AC227" s="1073"/>
      <c r="AD227" s="1091"/>
      <c r="AE227" s="1076"/>
      <c r="AF227" s="1085"/>
      <c r="AG227" s="1086"/>
      <c r="AH227" s="1087">
        <v>2500000</v>
      </c>
      <c r="AI227" s="1087">
        <f>AH227*P227*0.5</f>
        <v>1250000</v>
      </c>
      <c r="AJ227" s="1088"/>
      <c r="AK227" s="1089">
        <v>82500</v>
      </c>
      <c r="AL227" s="1090">
        <f>AK227*X227</f>
        <v>165000</v>
      </c>
      <c r="AM227" s="1086"/>
      <c r="AN227" s="1086"/>
      <c r="AO227" s="1087"/>
      <c r="AP227" s="1076"/>
      <c r="AQ227" s="1087"/>
      <c r="AR227" s="1076"/>
      <c r="AS227" s="1076"/>
      <c r="AT227" s="1086"/>
      <c r="AU227" s="1088"/>
      <c r="AV227" s="1235"/>
    </row>
    <row r="228" spans="1:48" ht="49.5" customHeight="1">
      <c r="A228" s="1073"/>
      <c r="B228" s="1082" t="s">
        <v>12</v>
      </c>
      <c r="C228" s="1083" t="s">
        <v>367</v>
      </c>
      <c r="D228" s="1074"/>
      <c r="E228" s="1126"/>
      <c r="F228" s="1138"/>
      <c r="G228" s="1074"/>
      <c r="H228" s="1077"/>
      <c r="I228" s="1127"/>
      <c r="J228" s="1128"/>
      <c r="K228" s="1067"/>
      <c r="L228" s="1221"/>
      <c r="M228" s="1075"/>
      <c r="N228" s="1074" t="s">
        <v>12</v>
      </c>
      <c r="O228" s="1123" t="s">
        <v>11</v>
      </c>
      <c r="P228" s="1132">
        <v>1</v>
      </c>
      <c r="Q228" s="1133"/>
      <c r="R228" s="1038"/>
      <c r="S228" s="1074"/>
      <c r="T228" s="1075"/>
      <c r="U228" s="1091">
        <v>2</v>
      </c>
      <c r="V228" s="1185" t="s">
        <v>81</v>
      </c>
      <c r="W228" s="1140">
        <v>0</v>
      </c>
      <c r="X228" s="1141">
        <v>4</v>
      </c>
      <c r="Y228" s="1142">
        <v>0</v>
      </c>
      <c r="Z228" s="1143">
        <f>SUM(W228:Y228)</f>
        <v>4</v>
      </c>
      <c r="AA228" s="1074"/>
      <c r="AB228" s="1077"/>
      <c r="AC228" s="1073"/>
      <c r="AD228" s="1091"/>
      <c r="AE228" s="1076"/>
      <c r="AF228" s="1085"/>
      <c r="AG228" s="1086"/>
      <c r="AH228" s="1087">
        <v>2500000</v>
      </c>
      <c r="AI228" s="1087">
        <f>AH228*P228*0.75</f>
        <v>1875000</v>
      </c>
      <c r="AJ228" s="1088"/>
      <c r="AK228" s="1089">
        <v>500</v>
      </c>
      <c r="AL228" s="1090">
        <f>AK228*X228</f>
        <v>2000</v>
      </c>
      <c r="AM228" s="1086"/>
      <c r="AN228" s="1086"/>
      <c r="AO228" s="1087"/>
      <c r="AP228" s="1076"/>
      <c r="AQ228" s="1087"/>
      <c r="AR228" s="1076"/>
      <c r="AS228" s="1076"/>
      <c r="AT228" s="1086"/>
      <c r="AU228" s="1088"/>
      <c r="AV228" s="1235"/>
    </row>
    <row r="229" spans="1:48" ht="16.5" customHeight="1">
      <c r="A229" s="1073"/>
      <c r="B229" s="1082" t="s">
        <v>8</v>
      </c>
      <c r="C229" s="1083" t="s">
        <v>366</v>
      </c>
      <c r="D229" s="1074"/>
      <c r="E229" s="1126"/>
      <c r="F229" s="1138"/>
      <c r="G229" s="1074"/>
      <c r="H229" s="1077"/>
      <c r="I229" s="1127"/>
      <c r="J229" s="1128"/>
      <c r="K229" s="1067"/>
      <c r="L229" s="1221"/>
      <c r="M229" s="1075"/>
      <c r="N229" s="1074" t="s">
        <v>8</v>
      </c>
      <c r="O229" s="1123" t="s">
        <v>365</v>
      </c>
      <c r="P229" s="1132">
        <v>1</v>
      </c>
      <c r="Q229" s="1133">
        <v>18.7</v>
      </c>
      <c r="R229" s="1038"/>
      <c r="S229" s="1074"/>
      <c r="T229" s="1075"/>
      <c r="U229" s="1091">
        <v>3</v>
      </c>
      <c r="V229" s="1185" t="s">
        <v>1</v>
      </c>
      <c r="W229" s="1140">
        <v>3</v>
      </c>
      <c r="X229" s="1141">
        <v>0</v>
      </c>
      <c r="Y229" s="1142">
        <v>0</v>
      </c>
      <c r="Z229" s="1143">
        <f>SUM(W229:Y229)</f>
        <v>3</v>
      </c>
      <c r="AA229" s="1074"/>
      <c r="AB229" s="1077"/>
      <c r="AC229" s="1073"/>
      <c r="AD229" s="1091"/>
      <c r="AE229" s="1076"/>
      <c r="AF229" s="1085"/>
      <c r="AG229" s="1086"/>
      <c r="AH229" s="1087">
        <v>350000</v>
      </c>
      <c r="AI229" s="1087">
        <f>AH229*Q229*0.5</f>
        <v>3272500</v>
      </c>
      <c r="AJ229" s="1088"/>
      <c r="AK229" s="1089">
        <v>10000</v>
      </c>
      <c r="AL229" s="1090">
        <f t="shared" si="23"/>
        <v>30000</v>
      </c>
      <c r="AM229" s="1086"/>
      <c r="AN229" s="1086"/>
      <c r="AO229" s="1087"/>
      <c r="AP229" s="1076"/>
      <c r="AQ229" s="1087"/>
      <c r="AR229" s="1076"/>
      <c r="AS229" s="1076"/>
      <c r="AT229" s="1086"/>
      <c r="AU229" s="1088"/>
      <c r="AV229" s="1235"/>
    </row>
    <row r="230" spans="1:48" ht="16.5" customHeight="1">
      <c r="A230" s="1073"/>
      <c r="B230" s="1082"/>
      <c r="C230" s="1083"/>
      <c r="D230" s="1074"/>
      <c r="E230" s="1126"/>
      <c r="F230" s="1138"/>
      <c r="G230" s="1074"/>
      <c r="H230" s="1077"/>
      <c r="I230" s="1127"/>
      <c r="J230" s="1128"/>
      <c r="K230" s="1067"/>
      <c r="L230" s="1221"/>
      <c r="M230" s="1075"/>
      <c r="N230" s="1074" t="s">
        <v>54</v>
      </c>
      <c r="O230" s="1123" t="s">
        <v>120</v>
      </c>
      <c r="P230" s="1132">
        <v>1</v>
      </c>
      <c r="Q230" s="1133">
        <v>2.1</v>
      </c>
      <c r="R230" s="1038"/>
      <c r="S230" s="1074"/>
      <c r="T230" s="1075"/>
      <c r="U230" s="1091">
        <v>4</v>
      </c>
      <c r="V230" s="1185" t="s">
        <v>143</v>
      </c>
      <c r="W230" s="1140">
        <v>2</v>
      </c>
      <c r="X230" s="1141">
        <v>0</v>
      </c>
      <c r="Y230" s="1142">
        <v>0</v>
      </c>
      <c r="Z230" s="1143">
        <f>SUM(W230:Y230)</f>
        <v>2</v>
      </c>
      <c r="AA230" s="1074"/>
      <c r="AB230" s="1077"/>
      <c r="AC230" s="1073"/>
      <c r="AD230" s="1091"/>
      <c r="AE230" s="1076"/>
      <c r="AF230" s="1085"/>
      <c r="AG230" s="1086"/>
      <c r="AH230" s="1087">
        <v>200000</v>
      </c>
      <c r="AI230" s="1087">
        <f>AH230*Q230*0.5</f>
        <v>210000</v>
      </c>
      <c r="AJ230" s="1088"/>
      <c r="AK230" s="1089">
        <v>10000</v>
      </c>
      <c r="AL230" s="1090">
        <f t="shared" si="23"/>
        <v>20000</v>
      </c>
      <c r="AM230" s="1086"/>
      <c r="AN230" s="1086"/>
      <c r="AO230" s="1087"/>
      <c r="AP230" s="1076"/>
      <c r="AQ230" s="1087"/>
      <c r="AR230" s="1076"/>
      <c r="AS230" s="1076"/>
      <c r="AT230" s="1086"/>
      <c r="AU230" s="1088"/>
      <c r="AV230" s="1235"/>
    </row>
    <row r="231" spans="1:48" ht="16.5" customHeight="1">
      <c r="A231" s="1073"/>
      <c r="B231" s="1082"/>
      <c r="C231" s="1083"/>
      <c r="D231" s="1074"/>
      <c r="E231" s="1126"/>
      <c r="F231" s="1138"/>
      <c r="G231" s="1074"/>
      <c r="H231" s="1077"/>
      <c r="I231" s="1127"/>
      <c r="J231" s="1128"/>
      <c r="K231" s="1067"/>
      <c r="L231" s="1221"/>
      <c r="M231" s="1075"/>
      <c r="N231" s="1074"/>
      <c r="O231" s="1126"/>
      <c r="P231" s="1073"/>
      <c r="Q231" s="1077"/>
      <c r="R231" s="1038"/>
      <c r="S231" s="1074"/>
      <c r="T231" s="1075"/>
      <c r="U231" s="1091">
        <v>5</v>
      </c>
      <c r="V231" s="1185" t="s">
        <v>36</v>
      </c>
      <c r="W231" s="1140">
        <v>1</v>
      </c>
      <c r="X231" s="1141">
        <v>0</v>
      </c>
      <c r="Y231" s="1142">
        <v>0</v>
      </c>
      <c r="Z231" s="1143">
        <f>SUM(W231:Y231)</f>
        <v>1</v>
      </c>
      <c r="AA231" s="1074"/>
      <c r="AB231" s="1077"/>
      <c r="AC231" s="1073"/>
      <c r="AD231" s="1091"/>
      <c r="AE231" s="1076"/>
      <c r="AF231" s="1085"/>
      <c r="AG231" s="1086"/>
      <c r="AH231" s="1087"/>
      <c r="AI231" s="1087"/>
      <c r="AJ231" s="1088"/>
      <c r="AK231" s="1089">
        <v>150000</v>
      </c>
      <c r="AL231" s="1090">
        <f t="shared" si="23"/>
        <v>150000</v>
      </c>
      <c r="AM231" s="1086"/>
      <c r="AN231" s="1086"/>
      <c r="AO231" s="1087"/>
      <c r="AP231" s="1076"/>
      <c r="AQ231" s="1087"/>
      <c r="AR231" s="1076"/>
      <c r="AS231" s="1076"/>
      <c r="AT231" s="1086"/>
      <c r="AU231" s="1088"/>
      <c r="AV231" s="1235"/>
    </row>
    <row r="232" spans="1:48" ht="16.5" customHeight="1">
      <c r="A232" s="1107"/>
      <c r="B232" s="1098"/>
      <c r="C232" s="1105"/>
      <c r="D232" s="1094"/>
      <c r="E232" s="1156"/>
      <c r="F232" s="1150"/>
      <c r="G232" s="1094"/>
      <c r="H232" s="1151"/>
      <c r="I232" s="1152"/>
      <c r="J232" s="1153"/>
      <c r="K232" s="1101"/>
      <c r="L232" s="1224"/>
      <c r="M232" s="1168"/>
      <c r="N232" s="1094"/>
      <c r="O232" s="1156"/>
      <c r="P232" s="1107"/>
      <c r="Q232" s="1151"/>
      <c r="R232" s="1095"/>
      <c r="S232" s="1094"/>
      <c r="T232" s="1168"/>
      <c r="U232" s="1109"/>
      <c r="V232" s="1108"/>
      <c r="W232" s="1111"/>
      <c r="X232" s="1110"/>
      <c r="Y232" s="1096"/>
      <c r="Z232" s="1286"/>
      <c r="AA232" s="1094"/>
      <c r="AB232" s="1151"/>
      <c r="AC232" s="1107"/>
      <c r="AD232" s="1109"/>
      <c r="AE232" s="1108"/>
      <c r="AF232" s="1115"/>
      <c r="AG232" s="1116"/>
      <c r="AH232" s="1117"/>
      <c r="AI232" s="1117"/>
      <c r="AJ232" s="1118"/>
      <c r="AK232" s="1119"/>
      <c r="AL232" s="1120"/>
      <c r="AM232" s="1116"/>
      <c r="AN232" s="1116"/>
      <c r="AO232" s="1117"/>
      <c r="AP232" s="1108"/>
      <c r="AQ232" s="1117"/>
      <c r="AR232" s="1108"/>
      <c r="AS232" s="1108"/>
      <c r="AT232" s="1116"/>
      <c r="AU232" s="1118"/>
      <c r="AV232" s="1235"/>
    </row>
    <row r="233" spans="1:48" ht="16.5" customHeight="1">
      <c r="A233" s="1047">
        <v>18</v>
      </c>
      <c r="B233" s="1033" t="s">
        <v>25</v>
      </c>
      <c r="C233" s="1273" t="s">
        <v>364</v>
      </c>
      <c r="D233" s="1034"/>
      <c r="E233" s="1199"/>
      <c r="F233" s="1171" t="s">
        <v>363</v>
      </c>
      <c r="G233" s="1172" t="s">
        <v>25</v>
      </c>
      <c r="H233" s="1173" t="s">
        <v>29</v>
      </c>
      <c r="I233" s="1288">
        <v>85</v>
      </c>
      <c r="J233" s="1175" t="s">
        <v>41</v>
      </c>
      <c r="K233" s="1041" t="s">
        <v>352</v>
      </c>
      <c r="L233" s="1276"/>
      <c r="M233" s="1048"/>
      <c r="N233" s="1034"/>
      <c r="O233" s="1173"/>
      <c r="P233" s="1047"/>
      <c r="Q233" s="1050"/>
      <c r="R233" s="1035"/>
      <c r="S233" s="1034"/>
      <c r="T233" s="1048"/>
      <c r="U233" s="1180"/>
      <c r="V233" s="1049"/>
      <c r="W233" s="1052"/>
      <c r="X233" s="1051"/>
      <c r="Y233" s="1036"/>
      <c r="Z233" s="1203"/>
      <c r="AA233" s="1034"/>
      <c r="AB233" s="1050"/>
      <c r="AC233" s="1047"/>
      <c r="AD233" s="1180"/>
      <c r="AE233" s="1049"/>
      <c r="AF233" s="1056">
        <f>Resum!F1</f>
        <v>356000</v>
      </c>
      <c r="AG233" s="1086">
        <f>AF233*I233</f>
        <v>30260000</v>
      </c>
      <c r="AH233" s="1058"/>
      <c r="AI233" s="1058"/>
      <c r="AJ233" s="1059"/>
      <c r="AK233" s="1060"/>
      <c r="AL233" s="1090"/>
      <c r="AM233" s="1057"/>
      <c r="AN233" s="1086">
        <f>AM233+AJ233+AG233</f>
        <v>30260000</v>
      </c>
      <c r="AO233" s="1058"/>
      <c r="AP233" s="1136">
        <f>AI234*15%</f>
        <v>0</v>
      </c>
      <c r="AQ233" s="1087">
        <v>0</v>
      </c>
      <c r="AR233" s="1136">
        <f>(AG233+AI233)*5%</f>
        <v>1513000</v>
      </c>
      <c r="AS233" s="1087">
        <f>0.5%*(AG233+AI233)*(3)</f>
        <v>453900</v>
      </c>
      <c r="AT233" s="1086">
        <f>+AS233+AR233+AQ233+AP233+AO233</f>
        <v>1966900</v>
      </c>
      <c r="AU233" s="1137">
        <f>AT233+AN233</f>
        <v>32226900</v>
      </c>
      <c r="AV233" s="1279"/>
    </row>
    <row r="234" spans="1:48" ht="16.5" customHeight="1">
      <c r="A234" s="1073"/>
      <c r="B234" s="1038" t="s">
        <v>16</v>
      </c>
      <c r="C234" s="1083" t="s">
        <v>362</v>
      </c>
      <c r="D234" s="1074"/>
      <c r="E234" s="1204"/>
      <c r="F234" s="1124"/>
      <c r="G234" s="1074" t="s">
        <v>16</v>
      </c>
      <c r="H234" s="1074" t="s">
        <v>22</v>
      </c>
      <c r="I234" s="1234"/>
      <c r="J234" s="1128"/>
      <c r="K234" s="1067"/>
      <c r="L234" s="1221"/>
      <c r="M234" s="1075"/>
      <c r="N234" s="1074"/>
      <c r="O234" s="1126"/>
      <c r="P234" s="1073"/>
      <c r="Q234" s="1077"/>
      <c r="R234" s="1038"/>
      <c r="S234" s="1074"/>
      <c r="T234" s="1075"/>
      <c r="U234" s="1091"/>
      <c r="V234" s="1076"/>
      <c r="W234" s="1079"/>
      <c r="X234" s="1078"/>
      <c r="Y234" s="1039"/>
      <c r="Z234" s="1134"/>
      <c r="AA234" s="1074"/>
      <c r="AB234" s="1077"/>
      <c r="AC234" s="1073"/>
      <c r="AD234" s="1091"/>
      <c r="AE234" s="1076"/>
      <c r="AF234" s="1085"/>
      <c r="AG234" s="1086"/>
      <c r="AH234" s="1087"/>
      <c r="AI234" s="1087"/>
      <c r="AJ234" s="1088"/>
      <c r="AK234" s="1089"/>
      <c r="AL234" s="1090"/>
      <c r="AM234" s="1086"/>
      <c r="AN234" s="1086"/>
      <c r="AO234" s="1087"/>
      <c r="AP234" s="1076"/>
      <c r="AQ234" s="1087"/>
      <c r="AR234" s="1076"/>
      <c r="AS234" s="1076"/>
      <c r="AT234" s="1086"/>
      <c r="AU234" s="1088"/>
      <c r="AV234" s="1235"/>
    </row>
    <row r="235" spans="1:48" ht="16.5" customHeight="1">
      <c r="A235" s="1073"/>
      <c r="B235" s="1038" t="s">
        <v>18</v>
      </c>
      <c r="C235" s="1083" t="s">
        <v>38</v>
      </c>
      <c r="D235" s="1074"/>
      <c r="E235" s="1204"/>
      <c r="F235" s="1124"/>
      <c r="G235" s="1074" t="s">
        <v>18</v>
      </c>
      <c r="H235" s="1074" t="s">
        <v>19</v>
      </c>
      <c r="I235" s="1234"/>
      <c r="J235" s="1128"/>
      <c r="K235" s="1067"/>
      <c r="L235" s="1221"/>
      <c r="M235" s="1075"/>
      <c r="N235" s="1074"/>
      <c r="O235" s="1126"/>
      <c r="P235" s="1073"/>
      <c r="Q235" s="1077"/>
      <c r="R235" s="1038"/>
      <c r="S235" s="1074"/>
      <c r="T235" s="1075"/>
      <c r="U235" s="1091"/>
      <c r="V235" s="1076"/>
      <c r="W235" s="1079"/>
      <c r="X235" s="1078"/>
      <c r="Y235" s="1039"/>
      <c r="Z235" s="1134"/>
      <c r="AA235" s="1074"/>
      <c r="AB235" s="1077"/>
      <c r="AC235" s="1073"/>
      <c r="AD235" s="1091"/>
      <c r="AE235" s="1076"/>
      <c r="AF235" s="1085"/>
      <c r="AG235" s="1086"/>
      <c r="AH235" s="1087"/>
      <c r="AI235" s="1087"/>
      <c r="AJ235" s="1088"/>
      <c r="AK235" s="1089"/>
      <c r="AL235" s="1090"/>
      <c r="AM235" s="1086"/>
      <c r="AN235" s="1086"/>
      <c r="AO235" s="1087"/>
      <c r="AP235" s="1076"/>
      <c r="AQ235" s="1087"/>
      <c r="AR235" s="1076"/>
      <c r="AS235" s="1076"/>
      <c r="AT235" s="1086"/>
      <c r="AU235" s="1088"/>
      <c r="AV235" s="1235"/>
    </row>
    <row r="236" spans="1:48" ht="49.5" customHeight="1">
      <c r="A236" s="1073"/>
      <c r="B236" s="1082" t="s">
        <v>12</v>
      </c>
      <c r="C236" s="1083" t="s">
        <v>361</v>
      </c>
      <c r="D236" s="1074"/>
      <c r="E236" s="1204"/>
      <c r="F236" s="1124"/>
      <c r="G236" s="1074"/>
      <c r="H236" s="1077"/>
      <c r="I236" s="1234"/>
      <c r="J236" s="1128"/>
      <c r="K236" s="1067"/>
      <c r="L236" s="1221"/>
      <c r="M236" s="1075"/>
      <c r="N236" s="1074"/>
      <c r="O236" s="1126"/>
      <c r="P236" s="1073"/>
      <c r="Q236" s="1077"/>
      <c r="R236" s="1038"/>
      <c r="S236" s="1074"/>
      <c r="T236" s="1075"/>
      <c r="U236" s="1091"/>
      <c r="V236" s="1076"/>
      <c r="W236" s="1079"/>
      <c r="X236" s="1078"/>
      <c r="Y236" s="1039"/>
      <c r="Z236" s="1134"/>
      <c r="AA236" s="1074"/>
      <c r="AB236" s="1077"/>
      <c r="AC236" s="1073"/>
      <c r="AD236" s="1091"/>
      <c r="AE236" s="1076"/>
      <c r="AF236" s="1085"/>
      <c r="AG236" s="1086"/>
      <c r="AH236" s="1087"/>
      <c r="AI236" s="1087"/>
      <c r="AJ236" s="1088"/>
      <c r="AK236" s="1089"/>
      <c r="AL236" s="1090"/>
      <c r="AM236" s="1086"/>
      <c r="AN236" s="1086"/>
      <c r="AO236" s="1087"/>
      <c r="AP236" s="1076"/>
      <c r="AQ236" s="1087"/>
      <c r="AR236" s="1076"/>
      <c r="AS236" s="1076"/>
      <c r="AT236" s="1086"/>
      <c r="AU236" s="1088"/>
      <c r="AV236" s="1235"/>
    </row>
    <row r="237" spans="1:48" ht="16.5" customHeight="1">
      <c r="A237" s="1107"/>
      <c r="B237" s="1098" t="s">
        <v>8</v>
      </c>
      <c r="C237" s="1283" t="s">
        <v>360</v>
      </c>
      <c r="D237" s="1094"/>
      <c r="E237" s="1149"/>
      <c r="F237" s="1289"/>
      <c r="G237" s="1094"/>
      <c r="H237" s="1151"/>
      <c r="I237" s="1290"/>
      <c r="J237" s="1153"/>
      <c r="K237" s="1101"/>
      <c r="L237" s="1224"/>
      <c r="M237" s="1168"/>
      <c r="N237" s="1094"/>
      <c r="O237" s="1156"/>
      <c r="P237" s="1107"/>
      <c r="Q237" s="1151"/>
      <c r="R237" s="1095"/>
      <c r="S237" s="1094"/>
      <c r="T237" s="1168"/>
      <c r="U237" s="1109"/>
      <c r="V237" s="1108"/>
      <c r="W237" s="1111"/>
      <c r="X237" s="1110"/>
      <c r="Y237" s="1096"/>
      <c r="Z237" s="1286"/>
      <c r="AA237" s="1094"/>
      <c r="AB237" s="1151"/>
      <c r="AC237" s="1107"/>
      <c r="AD237" s="1109"/>
      <c r="AE237" s="1108"/>
      <c r="AF237" s="1115"/>
      <c r="AG237" s="1116"/>
      <c r="AH237" s="1117"/>
      <c r="AI237" s="1117"/>
      <c r="AJ237" s="1118"/>
      <c r="AK237" s="1119"/>
      <c r="AL237" s="1120"/>
      <c r="AM237" s="1116"/>
      <c r="AN237" s="1116"/>
      <c r="AO237" s="1117"/>
      <c r="AP237" s="1108"/>
      <c r="AQ237" s="1117"/>
      <c r="AR237" s="1108"/>
      <c r="AS237" s="1108"/>
      <c r="AT237" s="1116"/>
      <c r="AU237" s="1118"/>
      <c r="AV237" s="1287"/>
    </row>
    <row r="238" spans="1:48" ht="16.5" customHeight="1">
      <c r="A238" s="1047">
        <v>19</v>
      </c>
      <c r="B238" s="1033" t="s">
        <v>25</v>
      </c>
      <c r="C238" s="1273" t="s">
        <v>359</v>
      </c>
      <c r="D238" s="1034"/>
      <c r="E238" s="1199"/>
      <c r="F238" s="1171" t="s">
        <v>358</v>
      </c>
      <c r="G238" s="1172" t="s">
        <v>25</v>
      </c>
      <c r="H238" s="1173" t="s">
        <v>29</v>
      </c>
      <c r="I238" s="1288">
        <v>85</v>
      </c>
      <c r="J238" s="1175" t="s">
        <v>41</v>
      </c>
      <c r="K238" s="1041" t="s">
        <v>352</v>
      </c>
      <c r="L238" s="1276"/>
      <c r="M238" s="1048"/>
      <c r="N238" s="1034"/>
      <c r="O238" s="1173"/>
      <c r="P238" s="1047"/>
      <c r="Q238" s="1050"/>
      <c r="R238" s="1035" t="s">
        <v>25</v>
      </c>
      <c r="S238" s="1034" t="s">
        <v>24</v>
      </c>
      <c r="T238" s="1048"/>
      <c r="U238" s="1180"/>
      <c r="V238" s="1049"/>
      <c r="W238" s="1052"/>
      <c r="X238" s="1051"/>
      <c r="Y238" s="1036"/>
      <c r="Z238" s="1203"/>
      <c r="AA238" s="1034"/>
      <c r="AB238" s="1050"/>
      <c r="AC238" s="1047"/>
      <c r="AD238" s="1180"/>
      <c r="AE238" s="1049"/>
      <c r="AF238" s="1056">
        <f>Resum!F1</f>
        <v>356000</v>
      </c>
      <c r="AG238" s="1086">
        <f>AF238*I238</f>
        <v>30260000</v>
      </c>
      <c r="AH238" s="1058"/>
      <c r="AI238" s="1058"/>
      <c r="AJ238" s="1059"/>
      <c r="AK238" s="1060"/>
      <c r="AL238" s="1090"/>
      <c r="AM238" s="1057">
        <f>SUM(AL240:AL247)</f>
        <v>852200</v>
      </c>
      <c r="AN238" s="1086">
        <f>AM238+AJ238+AG238</f>
        <v>31112200</v>
      </c>
      <c r="AO238" s="1058"/>
      <c r="AP238" s="1136">
        <f>AI239*15%</f>
        <v>0</v>
      </c>
      <c r="AQ238" s="1087">
        <v>0</v>
      </c>
      <c r="AR238" s="1136">
        <f>(AG238+AI238)*5%</f>
        <v>1513000</v>
      </c>
      <c r="AS238" s="1087">
        <f>0.5%*(AG238+AI238)*(3)</f>
        <v>453900</v>
      </c>
      <c r="AT238" s="1086">
        <f>+AS238+AR238+AQ238+AP238+AO238</f>
        <v>1966900</v>
      </c>
      <c r="AU238" s="1137">
        <f>ROUND(AT238+AN238,-3)</f>
        <v>33079000</v>
      </c>
      <c r="AV238" s="1279"/>
    </row>
    <row r="239" spans="1:48" ht="16.5" customHeight="1">
      <c r="A239" s="1073"/>
      <c r="B239" s="1038" t="s">
        <v>16</v>
      </c>
      <c r="C239" s="1083" t="s">
        <v>357</v>
      </c>
      <c r="D239" s="1074"/>
      <c r="E239" s="1204"/>
      <c r="F239" s="1124"/>
      <c r="G239" s="1074" t="s">
        <v>16</v>
      </c>
      <c r="H239" s="1074" t="s">
        <v>22</v>
      </c>
      <c r="I239" s="1234"/>
      <c r="J239" s="1128"/>
      <c r="K239" s="1067"/>
      <c r="L239" s="1221"/>
      <c r="M239" s="1075"/>
      <c r="N239" s="1074"/>
      <c r="O239" s="1126"/>
      <c r="P239" s="1073"/>
      <c r="Q239" s="1077"/>
      <c r="R239" s="1038"/>
      <c r="S239" s="1074"/>
      <c r="T239" s="1075"/>
      <c r="U239" s="1091"/>
      <c r="V239" s="1076"/>
      <c r="W239" s="1079"/>
      <c r="X239" s="1078"/>
      <c r="Y239" s="1039"/>
      <c r="Z239" s="1134"/>
      <c r="AA239" s="1074"/>
      <c r="AB239" s="1077"/>
      <c r="AC239" s="1073"/>
      <c r="AD239" s="1091"/>
      <c r="AE239" s="1076"/>
      <c r="AF239" s="1085"/>
      <c r="AG239" s="1086"/>
      <c r="AH239" s="1087"/>
      <c r="AI239" s="1087"/>
      <c r="AJ239" s="1088"/>
      <c r="AK239" s="1089"/>
      <c r="AL239" s="1090"/>
      <c r="AM239" s="1086"/>
      <c r="AN239" s="1086"/>
      <c r="AO239" s="1087"/>
      <c r="AP239" s="1076"/>
      <c r="AQ239" s="1087"/>
      <c r="AR239" s="1076"/>
      <c r="AS239" s="1076"/>
      <c r="AT239" s="1086"/>
      <c r="AU239" s="1088"/>
      <c r="AV239" s="1235"/>
    </row>
    <row r="240" spans="1:48" ht="16.5" customHeight="1">
      <c r="A240" s="1073"/>
      <c r="B240" s="1038" t="s">
        <v>18</v>
      </c>
      <c r="C240" s="1083" t="s">
        <v>60</v>
      </c>
      <c r="D240" s="1074"/>
      <c r="E240" s="1204"/>
      <c r="F240" s="1124"/>
      <c r="G240" s="1074" t="s">
        <v>18</v>
      </c>
      <c r="H240" s="1074" t="s">
        <v>19</v>
      </c>
      <c r="I240" s="1234"/>
      <c r="J240" s="1128"/>
      <c r="K240" s="1067"/>
      <c r="L240" s="1221"/>
      <c r="M240" s="1075"/>
      <c r="N240" s="1074"/>
      <c r="O240" s="1126"/>
      <c r="P240" s="1073"/>
      <c r="Q240" s="1077"/>
      <c r="R240" s="1038" t="s">
        <v>16</v>
      </c>
      <c r="S240" s="1074" t="s">
        <v>15</v>
      </c>
      <c r="T240" s="1075">
        <v>6</v>
      </c>
      <c r="U240" s="1091">
        <v>1</v>
      </c>
      <c r="V240" s="1185" t="s">
        <v>14</v>
      </c>
      <c r="W240" s="1140">
        <v>1</v>
      </c>
      <c r="X240" s="1141">
        <v>0</v>
      </c>
      <c r="Y240" s="1142">
        <v>0</v>
      </c>
      <c r="Z240" s="1143">
        <f t="shared" ref="Z240:Z245" si="24">SUM(W240:Y240)</f>
        <v>1</v>
      </c>
      <c r="AA240" s="1074"/>
      <c r="AB240" s="1077"/>
      <c r="AC240" s="1073"/>
      <c r="AD240" s="1091"/>
      <c r="AE240" s="1076"/>
      <c r="AF240" s="1085"/>
      <c r="AG240" s="1086"/>
      <c r="AH240" s="1087"/>
      <c r="AI240" s="1087"/>
      <c r="AJ240" s="1088"/>
      <c r="AK240" s="1089">
        <v>350000</v>
      </c>
      <c r="AL240" s="1087">
        <f t="shared" si="23"/>
        <v>350000</v>
      </c>
      <c r="AM240" s="1086"/>
      <c r="AN240" s="1086"/>
      <c r="AO240" s="1087"/>
      <c r="AP240" s="1076"/>
      <c r="AQ240" s="1087"/>
      <c r="AR240" s="1076"/>
      <c r="AS240" s="1076"/>
      <c r="AT240" s="1086"/>
      <c r="AU240" s="1088"/>
      <c r="AV240" s="1235"/>
    </row>
    <row r="241" spans="1:48" ht="49.5" customHeight="1">
      <c r="A241" s="1073"/>
      <c r="B241" s="1082" t="s">
        <v>12</v>
      </c>
      <c r="C241" s="1083" t="s">
        <v>356</v>
      </c>
      <c r="D241" s="1074"/>
      <c r="E241" s="1204"/>
      <c r="F241" s="1124"/>
      <c r="G241" s="1074"/>
      <c r="H241" s="1077"/>
      <c r="I241" s="1234"/>
      <c r="J241" s="1128"/>
      <c r="K241" s="1067"/>
      <c r="L241" s="1221"/>
      <c r="M241" s="1075"/>
      <c r="N241" s="1074"/>
      <c r="O241" s="1126"/>
      <c r="P241" s="1073"/>
      <c r="Q241" s="1077"/>
      <c r="R241" s="1038"/>
      <c r="S241" s="1074"/>
      <c r="T241" s="1075"/>
      <c r="U241" s="1091">
        <v>2</v>
      </c>
      <c r="V241" s="1185" t="s">
        <v>344</v>
      </c>
      <c r="W241" s="1140">
        <v>1</v>
      </c>
      <c r="X241" s="1141">
        <v>0</v>
      </c>
      <c r="Y241" s="1142">
        <v>0</v>
      </c>
      <c r="Z241" s="1143">
        <f t="shared" si="24"/>
        <v>1</v>
      </c>
      <c r="AA241" s="1074"/>
      <c r="AB241" s="1077"/>
      <c r="AC241" s="1073"/>
      <c r="AD241" s="1091"/>
      <c r="AE241" s="1076"/>
      <c r="AF241" s="1085"/>
      <c r="AG241" s="1086"/>
      <c r="AH241" s="1087"/>
      <c r="AI241" s="1087"/>
      <c r="AJ241" s="1088"/>
      <c r="AK241" s="1089">
        <v>150000</v>
      </c>
      <c r="AL241" s="1090">
        <f t="shared" si="23"/>
        <v>150000</v>
      </c>
      <c r="AM241" s="1086"/>
      <c r="AN241" s="1086"/>
      <c r="AO241" s="1087"/>
      <c r="AP241" s="1076"/>
      <c r="AQ241" s="1087"/>
      <c r="AR241" s="1076"/>
      <c r="AS241" s="1076"/>
      <c r="AT241" s="1086"/>
      <c r="AU241" s="1088"/>
      <c r="AV241" s="1235"/>
    </row>
    <row r="242" spans="1:48" ht="16.5" customHeight="1">
      <c r="A242" s="1073"/>
      <c r="B242" s="1082" t="s">
        <v>8</v>
      </c>
      <c r="C242" s="1083" t="s">
        <v>355</v>
      </c>
      <c r="D242" s="1074"/>
      <c r="E242" s="1204"/>
      <c r="F242" s="1124"/>
      <c r="G242" s="1074"/>
      <c r="H242" s="1077"/>
      <c r="I242" s="1234"/>
      <c r="J242" s="1128"/>
      <c r="K242" s="1067"/>
      <c r="L242" s="1221"/>
      <c r="M242" s="1075"/>
      <c r="N242" s="1074"/>
      <c r="O242" s="1126"/>
      <c r="P242" s="1073"/>
      <c r="Q242" s="1077"/>
      <c r="R242" s="1038"/>
      <c r="S242" s="1074"/>
      <c r="T242" s="1075"/>
      <c r="U242" s="1091">
        <v>3</v>
      </c>
      <c r="V242" s="1185" t="s">
        <v>3</v>
      </c>
      <c r="W242" s="1140">
        <v>1</v>
      </c>
      <c r="X242" s="1141">
        <v>0</v>
      </c>
      <c r="Y242" s="1142">
        <v>0</v>
      </c>
      <c r="Z242" s="1143">
        <f t="shared" si="24"/>
        <v>1</v>
      </c>
      <c r="AA242" s="1074"/>
      <c r="AB242" s="1077"/>
      <c r="AC242" s="1073"/>
      <c r="AD242" s="1091"/>
      <c r="AE242" s="1076"/>
      <c r="AF242" s="1085"/>
      <c r="AG242" s="1086"/>
      <c r="AH242" s="1087"/>
      <c r="AI242" s="1087"/>
      <c r="AJ242" s="1088"/>
      <c r="AK242" s="1089">
        <v>85000</v>
      </c>
      <c r="AL242" s="1090">
        <f t="shared" si="23"/>
        <v>85000</v>
      </c>
      <c r="AM242" s="1086"/>
      <c r="AN242" s="1086"/>
      <c r="AO242" s="1087"/>
      <c r="AP242" s="1076"/>
      <c r="AQ242" s="1087"/>
      <c r="AR242" s="1076"/>
      <c r="AS242" s="1076"/>
      <c r="AT242" s="1086"/>
      <c r="AU242" s="1088"/>
      <c r="AV242" s="1235"/>
    </row>
    <row r="243" spans="1:48" ht="16.5" customHeight="1">
      <c r="A243" s="1073"/>
      <c r="B243" s="1082"/>
      <c r="C243" s="1083"/>
      <c r="D243" s="1074"/>
      <c r="E243" s="1204"/>
      <c r="F243" s="1124"/>
      <c r="G243" s="1074"/>
      <c r="H243" s="1077"/>
      <c r="I243" s="1234"/>
      <c r="J243" s="1128"/>
      <c r="K243" s="1067"/>
      <c r="L243" s="1221"/>
      <c r="M243" s="1075"/>
      <c r="N243" s="1074"/>
      <c r="O243" s="1126"/>
      <c r="P243" s="1073"/>
      <c r="Q243" s="1077"/>
      <c r="R243" s="1038"/>
      <c r="S243" s="1074"/>
      <c r="T243" s="1075"/>
      <c r="U243" s="1091">
        <v>4</v>
      </c>
      <c r="V243" s="1185" t="s">
        <v>83</v>
      </c>
      <c r="W243" s="1140">
        <v>20</v>
      </c>
      <c r="X243" s="1141">
        <v>0</v>
      </c>
      <c r="Y243" s="1142">
        <v>0</v>
      </c>
      <c r="Z243" s="1143">
        <f t="shared" si="24"/>
        <v>20</v>
      </c>
      <c r="AA243" s="1074"/>
      <c r="AB243" s="1077"/>
      <c r="AC243" s="1073"/>
      <c r="AD243" s="1091"/>
      <c r="AE243" s="1076"/>
      <c r="AF243" s="1085"/>
      <c r="AG243" s="1086"/>
      <c r="AH243" s="1087"/>
      <c r="AI243" s="1087"/>
      <c r="AJ243" s="1088"/>
      <c r="AK243" s="1089">
        <v>3000</v>
      </c>
      <c r="AL243" s="1090">
        <f t="shared" si="23"/>
        <v>60000</v>
      </c>
      <c r="AM243" s="1086"/>
      <c r="AN243" s="1086"/>
      <c r="AO243" s="1087"/>
      <c r="AP243" s="1076"/>
      <c r="AQ243" s="1087"/>
      <c r="AR243" s="1076"/>
      <c r="AS243" s="1076"/>
      <c r="AT243" s="1086"/>
      <c r="AU243" s="1088"/>
      <c r="AV243" s="1235"/>
    </row>
    <row r="244" spans="1:48" ht="16.5" customHeight="1">
      <c r="A244" s="1073"/>
      <c r="B244" s="1082"/>
      <c r="C244" s="1083"/>
      <c r="D244" s="1074"/>
      <c r="E244" s="1204"/>
      <c r="F244" s="1124"/>
      <c r="G244" s="1074"/>
      <c r="H244" s="1077"/>
      <c r="I244" s="1234"/>
      <c r="J244" s="1128"/>
      <c r="K244" s="1067"/>
      <c r="L244" s="1221"/>
      <c r="M244" s="1075"/>
      <c r="N244" s="1074"/>
      <c r="O244" s="1126"/>
      <c r="P244" s="1073"/>
      <c r="Q244" s="1077"/>
      <c r="R244" s="1038"/>
      <c r="S244" s="1074"/>
      <c r="T244" s="1075"/>
      <c r="U244" s="1091">
        <v>5</v>
      </c>
      <c r="V244" s="1185" t="s">
        <v>48</v>
      </c>
      <c r="W244" s="1140">
        <v>4</v>
      </c>
      <c r="X244" s="1141">
        <v>0</v>
      </c>
      <c r="Y244" s="1142"/>
      <c r="Z244" s="1143">
        <f t="shared" si="24"/>
        <v>4</v>
      </c>
      <c r="AA244" s="1074"/>
      <c r="AB244" s="1077"/>
      <c r="AC244" s="1073"/>
      <c r="AD244" s="1091"/>
      <c r="AE244" s="1076"/>
      <c r="AF244" s="1085"/>
      <c r="AG244" s="1086"/>
      <c r="AH244" s="1087"/>
      <c r="AI244" s="1087"/>
      <c r="AJ244" s="1088"/>
      <c r="AK244" s="1089">
        <v>15000</v>
      </c>
      <c r="AL244" s="1090">
        <f>AK244*W244</f>
        <v>60000</v>
      </c>
      <c r="AM244" s="1086"/>
      <c r="AN244" s="1086"/>
      <c r="AO244" s="1087"/>
      <c r="AP244" s="1076"/>
      <c r="AQ244" s="1087"/>
      <c r="AR244" s="1076"/>
      <c r="AS244" s="1076"/>
      <c r="AT244" s="1086"/>
      <c r="AU244" s="1088"/>
      <c r="AV244" s="1235"/>
    </row>
    <row r="245" spans="1:48" ht="16.5" customHeight="1">
      <c r="A245" s="1073"/>
      <c r="B245" s="1082"/>
      <c r="C245" s="1083"/>
      <c r="D245" s="1074"/>
      <c r="E245" s="1204"/>
      <c r="F245" s="1124"/>
      <c r="G245" s="1074"/>
      <c r="H245" s="1077"/>
      <c r="I245" s="1234"/>
      <c r="J245" s="1128"/>
      <c r="K245" s="1067"/>
      <c r="L245" s="1221"/>
      <c r="M245" s="1075"/>
      <c r="N245" s="1074"/>
      <c r="O245" s="1126"/>
      <c r="P245" s="1073"/>
      <c r="Q245" s="1077"/>
      <c r="R245" s="1038"/>
      <c r="S245" s="1074"/>
      <c r="T245" s="1075"/>
      <c r="U245" s="1091"/>
      <c r="V245" s="1185" t="s">
        <v>48</v>
      </c>
      <c r="W245" s="1140"/>
      <c r="X245" s="1141">
        <v>0</v>
      </c>
      <c r="Y245" s="1142">
        <v>20</v>
      </c>
      <c r="Z245" s="1143">
        <f t="shared" si="24"/>
        <v>20</v>
      </c>
      <c r="AA245" s="1074"/>
      <c r="AB245" s="1077"/>
      <c r="AC245" s="1073"/>
      <c r="AD245" s="1091"/>
      <c r="AE245" s="1076"/>
      <c r="AF245" s="1085"/>
      <c r="AG245" s="1086"/>
      <c r="AH245" s="1087"/>
      <c r="AI245" s="1087"/>
      <c r="AJ245" s="1088"/>
      <c r="AK245" s="1089">
        <v>5000</v>
      </c>
      <c r="AL245" s="1090">
        <f>AK245*Y245</f>
        <v>100000</v>
      </c>
      <c r="AM245" s="1086"/>
      <c r="AN245" s="1086"/>
      <c r="AO245" s="1087"/>
      <c r="AP245" s="1076"/>
      <c r="AQ245" s="1087"/>
      <c r="AR245" s="1076"/>
      <c r="AS245" s="1076"/>
      <c r="AT245" s="1086"/>
      <c r="AU245" s="1088"/>
      <c r="AV245" s="1235"/>
    </row>
    <row r="246" spans="1:48" ht="16.5" customHeight="1">
      <c r="A246" s="1073"/>
      <c r="B246" s="1082"/>
      <c r="C246" s="1083"/>
      <c r="D246" s="1074"/>
      <c r="E246" s="1204"/>
      <c r="F246" s="1124"/>
      <c r="G246" s="1074"/>
      <c r="H246" s="1077"/>
      <c r="I246" s="1234"/>
      <c r="J246" s="1128"/>
      <c r="K246" s="1067"/>
      <c r="L246" s="1221"/>
      <c r="M246" s="1075"/>
      <c r="N246" s="1074"/>
      <c r="O246" s="1126"/>
      <c r="P246" s="1073"/>
      <c r="Q246" s="1077"/>
      <c r="R246" s="1038"/>
      <c r="S246" s="1074"/>
      <c r="T246" s="1075"/>
      <c r="U246" s="1091">
        <v>6</v>
      </c>
      <c r="V246" s="1185" t="s">
        <v>290</v>
      </c>
      <c r="W246" s="1140">
        <v>1</v>
      </c>
      <c r="X246" s="1141">
        <v>0</v>
      </c>
      <c r="Y246" s="1142">
        <v>0</v>
      </c>
      <c r="Z246" s="1134"/>
      <c r="AA246" s="1074"/>
      <c r="AB246" s="1077"/>
      <c r="AC246" s="1073"/>
      <c r="AD246" s="1091"/>
      <c r="AE246" s="1076"/>
      <c r="AF246" s="1085"/>
      <c r="AG246" s="1086"/>
      <c r="AH246" s="1087"/>
      <c r="AI246" s="1087"/>
      <c r="AJ246" s="1088"/>
      <c r="AK246" s="1089">
        <v>47200</v>
      </c>
      <c r="AL246" s="1090">
        <f t="shared" si="23"/>
        <v>47200</v>
      </c>
      <c r="AM246" s="1086"/>
      <c r="AN246" s="1086"/>
      <c r="AO246" s="1087"/>
      <c r="AP246" s="1076"/>
      <c r="AQ246" s="1087"/>
      <c r="AR246" s="1076"/>
      <c r="AS246" s="1076"/>
      <c r="AT246" s="1086"/>
      <c r="AU246" s="1088"/>
      <c r="AV246" s="1235"/>
    </row>
    <row r="247" spans="1:48" ht="16.5" customHeight="1">
      <c r="A247" s="1107"/>
      <c r="B247" s="1098"/>
      <c r="C247" s="1283"/>
      <c r="D247" s="1094"/>
      <c r="E247" s="1149"/>
      <c r="F247" s="1289"/>
      <c r="G247" s="1094"/>
      <c r="H247" s="1151"/>
      <c r="I247" s="1290"/>
      <c r="J247" s="1153"/>
      <c r="K247" s="1101"/>
      <c r="L247" s="1224"/>
      <c r="M247" s="1168"/>
      <c r="N247" s="1094"/>
      <c r="O247" s="1156"/>
      <c r="P247" s="1107"/>
      <c r="Q247" s="1151"/>
      <c r="R247" s="1095"/>
      <c r="S247" s="1094"/>
      <c r="T247" s="1168"/>
      <c r="U247" s="1109"/>
      <c r="V247" s="1108"/>
      <c r="W247" s="1111"/>
      <c r="X247" s="1110"/>
      <c r="Y247" s="1096"/>
      <c r="Z247" s="1286"/>
      <c r="AA247" s="1094"/>
      <c r="AB247" s="1151"/>
      <c r="AC247" s="1107"/>
      <c r="AD247" s="1109"/>
      <c r="AE247" s="1108"/>
      <c r="AF247" s="1115"/>
      <c r="AG247" s="1116"/>
      <c r="AH247" s="1117"/>
      <c r="AI247" s="1117"/>
      <c r="AJ247" s="1118"/>
      <c r="AK247" s="1119"/>
      <c r="AL247" s="1120"/>
      <c r="AM247" s="1116"/>
      <c r="AN247" s="1116"/>
      <c r="AO247" s="1117"/>
      <c r="AP247" s="1108"/>
      <c r="AQ247" s="1117"/>
      <c r="AR247" s="1108"/>
      <c r="AS247" s="1108"/>
      <c r="AT247" s="1116"/>
      <c r="AU247" s="1118"/>
      <c r="AV247" s="1287"/>
    </row>
    <row r="248" spans="1:48" ht="16.5" customHeight="1">
      <c r="A248" s="1169">
        <v>20</v>
      </c>
      <c r="B248" s="1033" t="s">
        <v>25</v>
      </c>
      <c r="C248" s="1036" t="s">
        <v>354</v>
      </c>
      <c r="D248" s="1170"/>
      <c r="E248" s="1034"/>
      <c r="F248" s="1171" t="s">
        <v>353</v>
      </c>
      <c r="G248" s="1172" t="s">
        <v>25</v>
      </c>
      <c r="H248" s="1173" t="s">
        <v>29</v>
      </c>
      <c r="I248" s="1275">
        <v>289</v>
      </c>
      <c r="J248" s="1175" t="s">
        <v>41</v>
      </c>
      <c r="K248" s="1041" t="s">
        <v>352</v>
      </c>
      <c r="L248" s="1276"/>
      <c r="M248" s="1043"/>
      <c r="N248" s="1181" t="s">
        <v>25</v>
      </c>
      <c r="O248" s="1177" t="s">
        <v>26</v>
      </c>
      <c r="P248" s="1178">
        <v>1</v>
      </c>
      <c r="Q248" s="1179">
        <v>121.32</v>
      </c>
      <c r="R248" s="1035" t="s">
        <v>25</v>
      </c>
      <c r="S248" s="1034" t="s">
        <v>24</v>
      </c>
      <c r="T248" s="1048">
        <v>1</v>
      </c>
      <c r="U248" s="1180">
        <v>1</v>
      </c>
      <c r="V248" s="1047" t="s">
        <v>61</v>
      </c>
      <c r="W248" s="1241" t="s">
        <v>46</v>
      </c>
      <c r="X248" s="1241" t="s">
        <v>46</v>
      </c>
      <c r="Y248" s="1202">
        <v>2</v>
      </c>
      <c r="Z248" s="1229">
        <f>SUM(W248:Y248)</f>
        <v>2</v>
      </c>
      <c r="AA248" s="1034"/>
      <c r="AB248" s="1050"/>
      <c r="AC248" s="1047"/>
      <c r="AD248" s="1180"/>
      <c r="AE248" s="1049"/>
      <c r="AF248" s="1056">
        <f>Resum!F1</f>
        <v>356000</v>
      </c>
      <c r="AG248" s="1086">
        <f>AF248*I248</f>
        <v>102884000</v>
      </c>
      <c r="AH248" s="1058">
        <v>1800000</v>
      </c>
      <c r="AI248" s="1087">
        <f>AH248*Q248*0.75</f>
        <v>163782000</v>
      </c>
      <c r="AJ248" s="1182">
        <f>SUM(AI248:AI254)</f>
        <v>175855625</v>
      </c>
      <c r="AK248" s="1060">
        <v>8250</v>
      </c>
      <c r="AL248" s="1090">
        <f>AK248*Y248</f>
        <v>16500</v>
      </c>
      <c r="AM248" s="1057">
        <f>SUM(AL248:AL270)</f>
        <v>2967420</v>
      </c>
      <c r="AN248" s="1086">
        <f>AM248+AJ248+AG248</f>
        <v>281707045</v>
      </c>
      <c r="AO248" s="1058"/>
      <c r="AP248" s="1136">
        <f>(AG248+AI248)*15%</f>
        <v>39999900</v>
      </c>
      <c r="AQ248" s="1087">
        <f>(AG248+AI248)*1%</f>
        <v>2666660</v>
      </c>
      <c r="AR248" s="1136">
        <f>(AG248+AI248)*5%</f>
        <v>13333300</v>
      </c>
      <c r="AS248" s="1087">
        <f>0.5%*(AG248+AI248)*(3)</f>
        <v>3999990</v>
      </c>
      <c r="AT248" s="1086">
        <f>+AS248+AR248+AQ248+AP248+AO248</f>
        <v>59999850</v>
      </c>
      <c r="AU248" s="1137">
        <f>ROUND(AT248+AN248,-3)</f>
        <v>341707000</v>
      </c>
      <c r="AV248" s="1279"/>
    </row>
    <row r="249" spans="1:48" ht="16.5" customHeight="1">
      <c r="A249" s="1073"/>
      <c r="B249" s="1038" t="s">
        <v>16</v>
      </c>
      <c r="C249" s="1071" t="s">
        <v>351</v>
      </c>
      <c r="D249" s="1074"/>
      <c r="E249" s="1063"/>
      <c r="F249" s="1138"/>
      <c r="G249" s="1074" t="s">
        <v>16</v>
      </c>
      <c r="H249" s="1074" t="s">
        <v>22</v>
      </c>
      <c r="I249" s="1127"/>
      <c r="J249" s="1128"/>
      <c r="K249" s="1067"/>
      <c r="L249" s="1221"/>
      <c r="M249" s="1069"/>
      <c r="N249" s="1063" t="s">
        <v>16</v>
      </c>
      <c r="O249" s="1131" t="s">
        <v>21</v>
      </c>
      <c r="P249" s="1132">
        <v>1</v>
      </c>
      <c r="Q249" s="1133">
        <v>15.4</v>
      </c>
      <c r="R249" s="1038"/>
      <c r="S249" s="1074"/>
      <c r="T249" s="1075"/>
      <c r="U249" s="1091">
        <v>1</v>
      </c>
      <c r="V249" s="1255" t="s">
        <v>14</v>
      </c>
      <c r="W249" s="1241">
        <v>1</v>
      </c>
      <c r="X249" s="1241"/>
      <c r="Y249" s="1242" t="s">
        <v>46</v>
      </c>
      <c r="Z249" s="1143"/>
      <c r="AA249" s="1074"/>
      <c r="AB249" s="1077"/>
      <c r="AC249" s="1073"/>
      <c r="AD249" s="1091"/>
      <c r="AE249" s="1076"/>
      <c r="AF249" s="1085"/>
      <c r="AG249" s="1086"/>
      <c r="AH249" s="1087">
        <v>350000</v>
      </c>
      <c r="AI249" s="1087">
        <f>AH249*Q249*0.6</f>
        <v>3234000</v>
      </c>
      <c r="AJ249" s="1088"/>
      <c r="AK249" s="1089">
        <v>350000</v>
      </c>
      <c r="AL249" s="1087">
        <f>AK249*W249</f>
        <v>350000</v>
      </c>
      <c r="AM249" s="1086"/>
      <c r="AN249" s="1086"/>
      <c r="AO249" s="1087"/>
      <c r="AP249" s="1076"/>
      <c r="AQ249" s="1087"/>
      <c r="AR249" s="1076"/>
      <c r="AS249" s="1076"/>
      <c r="AT249" s="1086"/>
      <c r="AU249" s="1088"/>
      <c r="AV249" s="1235"/>
    </row>
    <row r="250" spans="1:48" ht="16.5" customHeight="1">
      <c r="A250" s="1073"/>
      <c r="B250" s="1038" t="s">
        <v>18</v>
      </c>
      <c r="C250" s="1039" t="s">
        <v>350</v>
      </c>
      <c r="D250" s="1074"/>
      <c r="E250" s="1074"/>
      <c r="F250" s="1138"/>
      <c r="G250" s="1074" t="s">
        <v>18</v>
      </c>
      <c r="H250" s="1074" t="s">
        <v>19</v>
      </c>
      <c r="I250" s="1127"/>
      <c r="J250" s="1128"/>
      <c r="K250" s="1067"/>
      <c r="L250" s="1221"/>
      <c r="M250" s="1069"/>
      <c r="N250" s="1063" t="s">
        <v>18</v>
      </c>
      <c r="O250" s="1131" t="s">
        <v>17</v>
      </c>
      <c r="P250" s="1132">
        <v>1</v>
      </c>
      <c r="Q250" s="1133"/>
      <c r="R250" s="1038" t="s">
        <v>16</v>
      </c>
      <c r="S250" s="1074" t="s">
        <v>15</v>
      </c>
      <c r="T250" s="1075">
        <v>16</v>
      </c>
      <c r="U250" s="1091"/>
      <c r="V250" s="1255" t="s">
        <v>14</v>
      </c>
      <c r="W250" s="1241"/>
      <c r="X250" s="1241">
        <v>3</v>
      </c>
      <c r="Y250" s="1242" t="s">
        <v>46</v>
      </c>
      <c r="Z250" s="1143">
        <f>SUM(W249:Y249)</f>
        <v>1</v>
      </c>
      <c r="AA250" s="1074"/>
      <c r="AB250" s="1077"/>
      <c r="AC250" s="1073"/>
      <c r="AD250" s="1091"/>
      <c r="AE250" s="1076"/>
      <c r="AF250" s="1085"/>
      <c r="AG250" s="1086"/>
      <c r="AH250" s="1087">
        <v>2500000</v>
      </c>
      <c r="AI250" s="1087">
        <f>AH250*P250*0.5</f>
        <v>1250000</v>
      </c>
      <c r="AJ250" s="1088"/>
      <c r="AK250" s="1089">
        <v>231000</v>
      </c>
      <c r="AL250" s="1087">
        <f>AK250*X250</f>
        <v>693000</v>
      </c>
      <c r="AM250" s="1086"/>
      <c r="AN250" s="1086"/>
      <c r="AO250" s="1087"/>
      <c r="AP250" s="1076"/>
      <c r="AQ250" s="1087"/>
      <c r="AR250" s="1076"/>
      <c r="AS250" s="1076"/>
      <c r="AT250" s="1086"/>
      <c r="AU250" s="1088"/>
      <c r="AV250" s="1235"/>
    </row>
    <row r="251" spans="1:48" ht="49.5" customHeight="1">
      <c r="A251" s="1073"/>
      <c r="B251" s="1082" t="s">
        <v>12</v>
      </c>
      <c r="C251" s="1083" t="s">
        <v>349</v>
      </c>
      <c r="D251" s="1074"/>
      <c r="E251" s="1126"/>
      <c r="F251" s="1138"/>
      <c r="G251" s="1074"/>
      <c r="H251" s="1077"/>
      <c r="I251" s="1127"/>
      <c r="J251" s="1128"/>
      <c r="K251" s="1067"/>
      <c r="L251" s="1221"/>
      <c r="M251" s="1069"/>
      <c r="N251" s="1063" t="s">
        <v>12</v>
      </c>
      <c r="O251" s="1131" t="s">
        <v>11</v>
      </c>
      <c r="P251" s="1132">
        <v>1</v>
      </c>
      <c r="Q251" s="1133"/>
      <c r="R251" s="1038"/>
      <c r="S251" s="1074"/>
      <c r="T251" s="1075"/>
      <c r="U251" s="1091">
        <v>2</v>
      </c>
      <c r="V251" s="1255" t="s">
        <v>130</v>
      </c>
      <c r="W251" s="1241" t="s">
        <v>46</v>
      </c>
      <c r="X251" s="1241">
        <v>7</v>
      </c>
      <c r="Y251" s="1242" t="s">
        <v>46</v>
      </c>
      <c r="Z251" s="1143">
        <f t="shared" ref="Z251:Z269" si="25">SUM(W251:Y251)</f>
        <v>7</v>
      </c>
      <c r="AA251" s="1074"/>
      <c r="AB251" s="1077"/>
      <c r="AC251" s="1073"/>
      <c r="AD251" s="1091"/>
      <c r="AE251" s="1076"/>
      <c r="AF251" s="1085"/>
      <c r="AG251" s="1086"/>
      <c r="AH251" s="1087">
        <v>2500000</v>
      </c>
      <c r="AI251" s="1087">
        <f>AH251*P251*0.75</f>
        <v>1875000</v>
      </c>
      <c r="AJ251" s="1088"/>
      <c r="AK251" s="1089">
        <v>82500</v>
      </c>
      <c r="AL251" s="1090">
        <f>AK251*X251</f>
        <v>577500</v>
      </c>
      <c r="AM251" s="1086"/>
      <c r="AN251" s="1086"/>
      <c r="AO251" s="1087"/>
      <c r="AP251" s="1076"/>
      <c r="AQ251" s="1087"/>
      <c r="AR251" s="1076"/>
      <c r="AS251" s="1076"/>
      <c r="AT251" s="1086"/>
      <c r="AU251" s="1088"/>
      <c r="AV251" s="1235"/>
    </row>
    <row r="252" spans="1:48" ht="16.5" customHeight="1">
      <c r="A252" s="1073"/>
      <c r="B252" s="1038" t="s">
        <v>8</v>
      </c>
      <c r="C252" s="1244" t="s">
        <v>348</v>
      </c>
      <c r="D252" s="1074"/>
      <c r="E252" s="1126"/>
      <c r="F252" s="1138"/>
      <c r="G252" s="1074"/>
      <c r="H252" s="1077"/>
      <c r="I252" s="1127"/>
      <c r="J252" s="1128"/>
      <c r="K252" s="1067"/>
      <c r="L252" s="1221"/>
      <c r="M252" s="1069"/>
      <c r="N252" s="1063" t="s">
        <v>8</v>
      </c>
      <c r="O252" s="1131" t="s">
        <v>347</v>
      </c>
      <c r="P252" s="1132">
        <v>1</v>
      </c>
      <c r="Q252" s="1133">
        <v>24.9</v>
      </c>
      <c r="R252" s="1038"/>
      <c r="S252" s="1074"/>
      <c r="T252" s="1075"/>
      <c r="U252" s="1091">
        <v>3</v>
      </c>
      <c r="V252" s="1255" t="s">
        <v>346</v>
      </c>
      <c r="W252" s="1241">
        <v>1</v>
      </c>
      <c r="X252" s="1241" t="s">
        <v>46</v>
      </c>
      <c r="Y252" s="1242" t="s">
        <v>46</v>
      </c>
      <c r="Z252" s="1143">
        <f t="shared" si="25"/>
        <v>1</v>
      </c>
      <c r="AA252" s="1074"/>
      <c r="AB252" s="1077"/>
      <c r="AC252" s="1073"/>
      <c r="AD252" s="1091"/>
      <c r="AE252" s="1076"/>
      <c r="AF252" s="1085"/>
      <c r="AG252" s="1086"/>
      <c r="AH252" s="1087">
        <v>300000</v>
      </c>
      <c r="AI252" s="1087">
        <f>AH252*Q252*0.7</f>
        <v>5229000</v>
      </c>
      <c r="AJ252" s="1088"/>
      <c r="AK252" s="1089">
        <v>125000</v>
      </c>
      <c r="AL252" s="1090">
        <f t="shared" si="23"/>
        <v>125000</v>
      </c>
      <c r="AM252" s="1086"/>
      <c r="AN252" s="1086"/>
      <c r="AO252" s="1087"/>
      <c r="AP252" s="1076"/>
      <c r="AQ252" s="1087"/>
      <c r="AR252" s="1076"/>
      <c r="AS252" s="1076"/>
      <c r="AT252" s="1086"/>
      <c r="AU252" s="1088"/>
      <c r="AV252" s="1235"/>
    </row>
    <row r="253" spans="1:48" ht="16.5" customHeight="1">
      <c r="A253" s="1082"/>
      <c r="B253" s="1082"/>
      <c r="C253" s="1083"/>
      <c r="D253" s="1074"/>
      <c r="E253" s="1083"/>
      <c r="F253" s="1291"/>
      <c r="G253" s="1074"/>
      <c r="H253" s="1077"/>
      <c r="I253" s="1127"/>
      <c r="J253" s="1128"/>
      <c r="K253" s="1067"/>
      <c r="L253" s="1221"/>
      <c r="M253" s="1069"/>
      <c r="N253" s="1063" t="s">
        <v>54</v>
      </c>
      <c r="O253" s="1131" t="s">
        <v>345</v>
      </c>
      <c r="P253" s="1132">
        <v>1</v>
      </c>
      <c r="Q253" s="1133">
        <v>2.4</v>
      </c>
      <c r="R253" s="1038"/>
      <c r="S253" s="1074"/>
      <c r="T253" s="1075"/>
      <c r="U253" s="1091">
        <v>4</v>
      </c>
      <c r="V253" s="1255" t="s">
        <v>217</v>
      </c>
      <c r="W253" s="1241">
        <v>3</v>
      </c>
      <c r="X253" s="1241" t="s">
        <v>46</v>
      </c>
      <c r="Y253" s="1242" t="s">
        <v>46</v>
      </c>
      <c r="Z253" s="1143">
        <f t="shared" si="25"/>
        <v>3</v>
      </c>
      <c r="AA253" s="1074"/>
      <c r="AB253" s="1077"/>
      <c r="AC253" s="1073"/>
      <c r="AD253" s="1091"/>
      <c r="AE253" s="1076"/>
      <c r="AF253" s="1085"/>
      <c r="AG253" s="1086"/>
      <c r="AH253" s="1087">
        <v>100000</v>
      </c>
      <c r="AI253" s="1087">
        <f>AH253*Q253*0.5</f>
        <v>120000</v>
      </c>
      <c r="AJ253" s="1088"/>
      <c r="AK253" s="1089">
        <v>900</v>
      </c>
      <c r="AL253" s="1090">
        <f t="shared" si="23"/>
        <v>2700</v>
      </c>
      <c r="AM253" s="1086"/>
      <c r="AN253" s="1086"/>
      <c r="AO253" s="1087"/>
      <c r="AP253" s="1076"/>
      <c r="AQ253" s="1087"/>
      <c r="AR253" s="1076"/>
      <c r="AS253" s="1076"/>
      <c r="AT253" s="1086"/>
      <c r="AU253" s="1088"/>
      <c r="AV253" s="1235"/>
    </row>
    <row r="254" spans="1:48" ht="16.5" customHeight="1">
      <c r="A254" s="1073"/>
      <c r="C254" s="1247"/>
      <c r="D254" s="1074"/>
      <c r="E254" s="1126"/>
      <c r="F254" s="1138"/>
      <c r="G254" s="1074"/>
      <c r="H254" s="1077"/>
      <c r="I254" s="1127"/>
      <c r="J254" s="1128"/>
      <c r="K254" s="1067"/>
      <c r="L254" s="1221"/>
      <c r="M254" s="1069"/>
      <c r="N254" s="1063" t="s">
        <v>53</v>
      </c>
      <c r="O254" s="1131" t="s">
        <v>155</v>
      </c>
      <c r="P254" s="1132">
        <v>1</v>
      </c>
      <c r="Q254" s="1133">
        <v>5.85</v>
      </c>
      <c r="R254" s="1038"/>
      <c r="S254" s="1074"/>
      <c r="T254" s="1075"/>
      <c r="U254" s="1091">
        <v>5</v>
      </c>
      <c r="V254" s="1255" t="s">
        <v>4</v>
      </c>
      <c r="W254" s="1241">
        <v>3</v>
      </c>
      <c r="X254" s="1241" t="s">
        <v>46</v>
      </c>
      <c r="Y254" s="1242" t="s">
        <v>46</v>
      </c>
      <c r="Z254" s="1143">
        <f t="shared" si="25"/>
        <v>3</v>
      </c>
      <c r="AA254" s="1074"/>
      <c r="AB254" s="1077"/>
      <c r="AC254" s="1073"/>
      <c r="AD254" s="1091"/>
      <c r="AE254" s="1076"/>
      <c r="AF254" s="1085"/>
      <c r="AG254" s="1086"/>
      <c r="AH254" s="1087">
        <v>125000</v>
      </c>
      <c r="AI254" s="1087">
        <f t="shared" ref="AI254" si="26">AH254*Q254*0.5</f>
        <v>365625</v>
      </c>
      <c r="AJ254" s="1088"/>
      <c r="AK254" s="1089">
        <v>250</v>
      </c>
      <c r="AL254" s="1090">
        <f t="shared" si="23"/>
        <v>750</v>
      </c>
      <c r="AM254" s="1086"/>
      <c r="AN254" s="1086"/>
      <c r="AO254" s="1087"/>
      <c r="AP254" s="1076"/>
      <c r="AQ254" s="1087"/>
      <c r="AR254" s="1076"/>
      <c r="AS254" s="1076"/>
      <c r="AT254" s="1086"/>
      <c r="AU254" s="1088"/>
      <c r="AV254" s="1235"/>
    </row>
    <row r="255" spans="1:48" ht="16.5" customHeight="1">
      <c r="A255" s="1073"/>
      <c r="B255" s="1082"/>
      <c r="C255" s="1083"/>
      <c r="D255" s="1074"/>
      <c r="E255" s="1126"/>
      <c r="F255" s="1138"/>
      <c r="G255" s="1074"/>
      <c r="H255" s="1077"/>
      <c r="I255" s="1127"/>
      <c r="J255" s="1128"/>
      <c r="K255" s="1067"/>
      <c r="L255" s="1221"/>
      <c r="M255" s="1069"/>
      <c r="N255" s="1074"/>
      <c r="O255" s="1126"/>
      <c r="P255" s="1073"/>
      <c r="Q255" s="1077"/>
      <c r="R255" s="1038"/>
      <c r="S255" s="1074"/>
      <c r="T255" s="1075"/>
      <c r="U255" s="1091">
        <v>6</v>
      </c>
      <c r="V255" s="1255" t="s">
        <v>83</v>
      </c>
      <c r="W255" s="1241">
        <v>10</v>
      </c>
      <c r="X255" s="1241" t="s">
        <v>46</v>
      </c>
      <c r="Y255" s="1242" t="s">
        <v>46</v>
      </c>
      <c r="Z255" s="1143">
        <f t="shared" si="25"/>
        <v>10</v>
      </c>
      <c r="AA255" s="1074"/>
      <c r="AB255" s="1077"/>
      <c r="AC255" s="1073"/>
      <c r="AD255" s="1091"/>
      <c r="AE255" s="1076"/>
      <c r="AF255" s="1085"/>
      <c r="AG255" s="1086"/>
      <c r="AH255" s="1087"/>
      <c r="AI255" s="1087"/>
      <c r="AJ255" s="1088"/>
      <c r="AK255" s="1089">
        <v>3000</v>
      </c>
      <c r="AL255" s="1090">
        <f t="shared" si="23"/>
        <v>30000</v>
      </c>
      <c r="AM255" s="1086"/>
      <c r="AN255" s="1086"/>
      <c r="AO255" s="1087"/>
      <c r="AP255" s="1076"/>
      <c r="AQ255" s="1087"/>
      <c r="AR255" s="1076"/>
      <c r="AS255" s="1076"/>
      <c r="AT255" s="1086"/>
      <c r="AU255" s="1088"/>
      <c r="AV255" s="1235"/>
    </row>
    <row r="256" spans="1:48" ht="16.5" customHeight="1">
      <c r="A256" s="1073"/>
      <c r="B256" s="1082"/>
      <c r="C256" s="1083"/>
      <c r="D256" s="1074"/>
      <c r="E256" s="1126"/>
      <c r="F256" s="1138"/>
      <c r="G256" s="1074"/>
      <c r="H256" s="1077"/>
      <c r="I256" s="1127"/>
      <c r="J256" s="1128"/>
      <c r="K256" s="1067"/>
      <c r="L256" s="1221"/>
      <c r="M256" s="1069"/>
      <c r="N256" s="1074"/>
      <c r="O256" s="1126"/>
      <c r="P256" s="1073"/>
      <c r="Q256" s="1077"/>
      <c r="R256" s="1038"/>
      <c r="S256" s="1074"/>
      <c r="T256" s="1075"/>
      <c r="U256" s="1091">
        <v>7</v>
      </c>
      <c r="V256" s="1255" t="s">
        <v>265</v>
      </c>
      <c r="W256" s="1241" t="s">
        <v>46</v>
      </c>
      <c r="X256" s="1241" t="s">
        <v>46</v>
      </c>
      <c r="Y256" s="1242">
        <v>1</v>
      </c>
      <c r="Z256" s="1143">
        <f t="shared" si="25"/>
        <v>1</v>
      </c>
      <c r="AA256" s="1074"/>
      <c r="AB256" s="1077"/>
      <c r="AC256" s="1073"/>
      <c r="AD256" s="1091"/>
      <c r="AE256" s="1076"/>
      <c r="AF256" s="1085"/>
      <c r="AG256" s="1086"/>
      <c r="AH256" s="1087"/>
      <c r="AI256" s="1087"/>
      <c r="AJ256" s="1088"/>
      <c r="AK256" s="1089">
        <v>33000</v>
      </c>
      <c r="AL256" s="1090">
        <f>AK256*Y256</f>
        <v>33000</v>
      </c>
      <c r="AM256" s="1086"/>
      <c r="AN256" s="1086"/>
      <c r="AO256" s="1087"/>
      <c r="AP256" s="1076"/>
      <c r="AQ256" s="1087"/>
      <c r="AR256" s="1076"/>
      <c r="AS256" s="1076"/>
      <c r="AT256" s="1086"/>
      <c r="AU256" s="1088"/>
      <c r="AV256" s="1235"/>
    </row>
    <row r="257" spans="1:48" ht="16.5" customHeight="1">
      <c r="A257" s="1073"/>
      <c r="B257" s="1082"/>
      <c r="C257" s="1083"/>
      <c r="D257" s="1074"/>
      <c r="E257" s="1126"/>
      <c r="F257" s="1138"/>
      <c r="G257" s="1074"/>
      <c r="H257" s="1077"/>
      <c r="I257" s="1127"/>
      <c r="J257" s="1128"/>
      <c r="K257" s="1067"/>
      <c r="L257" s="1221"/>
      <c r="M257" s="1069"/>
      <c r="N257" s="1074"/>
      <c r="O257" s="1126"/>
      <c r="P257" s="1073"/>
      <c r="Q257" s="1077"/>
      <c r="R257" s="1038"/>
      <c r="S257" s="1074"/>
      <c r="T257" s="1075"/>
      <c r="U257" s="1091">
        <v>8</v>
      </c>
      <c r="V257" s="1255" t="s">
        <v>221</v>
      </c>
      <c r="W257" s="1241">
        <v>7</v>
      </c>
      <c r="X257" s="1241" t="s">
        <v>46</v>
      </c>
      <c r="Y257" s="1242" t="s">
        <v>46</v>
      </c>
      <c r="Z257" s="1143">
        <f t="shared" si="25"/>
        <v>7</v>
      </c>
      <c r="AA257" s="1074"/>
      <c r="AB257" s="1077"/>
      <c r="AC257" s="1073"/>
      <c r="AD257" s="1091"/>
      <c r="AE257" s="1076"/>
      <c r="AF257" s="1085"/>
      <c r="AG257" s="1086"/>
      <c r="AH257" s="1087"/>
      <c r="AI257" s="1087"/>
      <c r="AJ257" s="1088"/>
      <c r="AK257" s="1089">
        <v>4810</v>
      </c>
      <c r="AL257" s="1090">
        <f t="shared" si="23"/>
        <v>33670</v>
      </c>
      <c r="AM257" s="1086"/>
      <c r="AN257" s="1086"/>
      <c r="AO257" s="1087"/>
      <c r="AP257" s="1076"/>
      <c r="AQ257" s="1087"/>
      <c r="AR257" s="1076"/>
      <c r="AS257" s="1076"/>
      <c r="AT257" s="1086"/>
      <c r="AU257" s="1088"/>
      <c r="AV257" s="1235"/>
    </row>
    <row r="258" spans="1:48" ht="16.5" customHeight="1">
      <c r="A258" s="1073"/>
      <c r="B258" s="1082"/>
      <c r="C258" s="1083"/>
      <c r="D258" s="1074"/>
      <c r="E258" s="1126"/>
      <c r="F258" s="1138"/>
      <c r="G258" s="1074"/>
      <c r="H258" s="1077"/>
      <c r="I258" s="1127"/>
      <c r="J258" s="1128"/>
      <c r="K258" s="1067"/>
      <c r="L258" s="1221"/>
      <c r="M258" s="1069"/>
      <c r="N258" s="1074"/>
      <c r="O258" s="1126"/>
      <c r="P258" s="1073"/>
      <c r="Q258" s="1077"/>
      <c r="R258" s="1038"/>
      <c r="S258" s="1074"/>
      <c r="T258" s="1075"/>
      <c r="U258" s="1091">
        <v>9</v>
      </c>
      <c r="V258" s="1255" t="s">
        <v>228</v>
      </c>
      <c r="W258" s="1241">
        <v>1</v>
      </c>
      <c r="X258" s="1241"/>
      <c r="Y258" s="1242" t="s">
        <v>46</v>
      </c>
      <c r="Z258" s="1143">
        <f t="shared" si="25"/>
        <v>1</v>
      </c>
      <c r="AA258" s="1074"/>
      <c r="AB258" s="1077"/>
      <c r="AC258" s="1073"/>
      <c r="AD258" s="1091"/>
      <c r="AE258" s="1076"/>
      <c r="AF258" s="1085"/>
      <c r="AG258" s="1086"/>
      <c r="AH258" s="1087"/>
      <c r="AI258" s="1087"/>
      <c r="AJ258" s="1088"/>
      <c r="AK258" s="1089">
        <v>10000</v>
      </c>
      <c r="AL258" s="1090">
        <f t="shared" si="23"/>
        <v>10000</v>
      </c>
      <c r="AM258" s="1086"/>
      <c r="AN258" s="1086"/>
      <c r="AO258" s="1087"/>
      <c r="AP258" s="1076"/>
      <c r="AQ258" s="1087"/>
      <c r="AR258" s="1076"/>
      <c r="AS258" s="1076"/>
      <c r="AT258" s="1086"/>
      <c r="AU258" s="1088"/>
      <c r="AV258" s="1235"/>
    </row>
    <row r="259" spans="1:48" ht="16.5" customHeight="1">
      <c r="A259" s="1073"/>
      <c r="B259" s="1082"/>
      <c r="C259" s="1083"/>
      <c r="D259" s="1074"/>
      <c r="E259" s="1126"/>
      <c r="F259" s="1138"/>
      <c r="G259" s="1074"/>
      <c r="H259" s="1077"/>
      <c r="I259" s="1127"/>
      <c r="J259" s="1128"/>
      <c r="K259" s="1067"/>
      <c r="L259" s="1221"/>
      <c r="M259" s="1069"/>
      <c r="N259" s="1074"/>
      <c r="O259" s="1126"/>
      <c r="P259" s="1073"/>
      <c r="Q259" s="1077"/>
      <c r="R259" s="1038"/>
      <c r="S259" s="1074"/>
      <c r="T259" s="1075"/>
      <c r="U259" s="1091"/>
      <c r="V259" s="1255" t="s">
        <v>228</v>
      </c>
      <c r="W259" s="1241"/>
      <c r="X259" s="1241">
        <v>2</v>
      </c>
      <c r="Y259" s="1242" t="s">
        <v>46</v>
      </c>
      <c r="Z259" s="1143"/>
      <c r="AA259" s="1074"/>
      <c r="AB259" s="1077"/>
      <c r="AC259" s="1073"/>
      <c r="AD259" s="1091"/>
      <c r="AE259" s="1076"/>
      <c r="AF259" s="1085"/>
      <c r="AG259" s="1086"/>
      <c r="AH259" s="1087"/>
      <c r="AI259" s="1087"/>
      <c r="AJ259" s="1088"/>
      <c r="AK259" s="1089">
        <v>6650</v>
      </c>
      <c r="AL259" s="1090">
        <f>AK259*X259</f>
        <v>13300</v>
      </c>
      <c r="AM259" s="1086"/>
      <c r="AN259" s="1086"/>
      <c r="AO259" s="1087"/>
      <c r="AP259" s="1076"/>
      <c r="AQ259" s="1087"/>
      <c r="AR259" s="1076"/>
      <c r="AS259" s="1076"/>
      <c r="AT259" s="1086"/>
      <c r="AU259" s="1088"/>
      <c r="AV259" s="1235"/>
    </row>
    <row r="260" spans="1:48" ht="16.5" customHeight="1">
      <c r="A260" s="1073"/>
      <c r="B260" s="1082"/>
      <c r="C260" s="1083"/>
      <c r="D260" s="1074"/>
      <c r="E260" s="1126"/>
      <c r="F260" s="1138"/>
      <c r="G260" s="1074"/>
      <c r="H260" s="1077"/>
      <c r="I260" s="1127"/>
      <c r="J260" s="1128"/>
      <c r="K260" s="1067"/>
      <c r="L260" s="1221"/>
      <c r="M260" s="1069"/>
      <c r="N260" s="1074"/>
      <c r="O260" s="1126"/>
      <c r="P260" s="1073"/>
      <c r="Q260" s="1077"/>
      <c r="R260" s="1038"/>
      <c r="S260" s="1074"/>
      <c r="T260" s="1075"/>
      <c r="U260" s="1091">
        <v>10</v>
      </c>
      <c r="V260" s="1255" t="s">
        <v>257</v>
      </c>
      <c r="W260" s="1241">
        <v>4</v>
      </c>
      <c r="X260" s="1241" t="s">
        <v>46</v>
      </c>
      <c r="Y260" s="1242" t="s">
        <v>46</v>
      </c>
      <c r="Z260" s="1143">
        <f t="shared" si="25"/>
        <v>4</v>
      </c>
      <c r="AA260" s="1074"/>
      <c r="AB260" s="1077"/>
      <c r="AC260" s="1073"/>
      <c r="AD260" s="1091"/>
      <c r="AE260" s="1076"/>
      <c r="AF260" s="1085"/>
      <c r="AG260" s="1086"/>
      <c r="AH260" s="1087"/>
      <c r="AI260" s="1087"/>
      <c r="AJ260" s="1088"/>
      <c r="AK260" s="1089">
        <v>10000</v>
      </c>
      <c r="AL260" s="1090">
        <f t="shared" si="23"/>
        <v>40000</v>
      </c>
      <c r="AM260" s="1086"/>
      <c r="AN260" s="1086"/>
      <c r="AO260" s="1087"/>
      <c r="AP260" s="1076"/>
      <c r="AQ260" s="1087"/>
      <c r="AR260" s="1076"/>
      <c r="AS260" s="1076"/>
      <c r="AT260" s="1086"/>
      <c r="AU260" s="1088"/>
      <c r="AV260" s="1235"/>
    </row>
    <row r="261" spans="1:48" ht="16.5" customHeight="1">
      <c r="A261" s="1073"/>
      <c r="B261" s="1082"/>
      <c r="C261" s="1083"/>
      <c r="D261" s="1074"/>
      <c r="E261" s="1126"/>
      <c r="F261" s="1138"/>
      <c r="G261" s="1074"/>
      <c r="H261" s="1077"/>
      <c r="I261" s="1127"/>
      <c r="J261" s="1128"/>
      <c r="K261" s="1067"/>
      <c r="L261" s="1221"/>
      <c r="M261" s="1069"/>
      <c r="N261" s="1074"/>
      <c r="O261" s="1126"/>
      <c r="P261" s="1073"/>
      <c r="Q261" s="1077"/>
      <c r="R261" s="1038"/>
      <c r="S261" s="1074"/>
      <c r="T261" s="1075"/>
      <c r="U261" s="1091">
        <v>11</v>
      </c>
      <c r="V261" s="1255" t="s">
        <v>344</v>
      </c>
      <c r="W261" s="1241">
        <v>1</v>
      </c>
      <c r="X261" s="1241"/>
      <c r="Y261" s="1242" t="s">
        <v>46</v>
      </c>
      <c r="Z261" s="1143">
        <f t="shared" si="25"/>
        <v>1</v>
      </c>
      <c r="AA261" s="1074"/>
      <c r="AB261" s="1077"/>
      <c r="AC261" s="1073"/>
      <c r="AD261" s="1091"/>
      <c r="AE261" s="1076"/>
      <c r="AF261" s="1085"/>
      <c r="AG261" s="1086"/>
      <c r="AH261" s="1087"/>
      <c r="AI261" s="1087"/>
      <c r="AJ261" s="1088"/>
      <c r="AK261" s="1089">
        <v>150000</v>
      </c>
      <c r="AL261" s="1090">
        <f>AK261*W261</f>
        <v>150000</v>
      </c>
      <c r="AM261" s="1086"/>
      <c r="AN261" s="1086"/>
      <c r="AO261" s="1087"/>
      <c r="AP261" s="1076"/>
      <c r="AQ261" s="1087"/>
      <c r="AR261" s="1076"/>
      <c r="AS261" s="1076"/>
      <c r="AT261" s="1086"/>
      <c r="AU261" s="1088"/>
      <c r="AV261" s="1235"/>
    </row>
    <row r="262" spans="1:48" ht="16.5" customHeight="1">
      <c r="A262" s="1073"/>
      <c r="B262" s="1082"/>
      <c r="C262" s="1083"/>
      <c r="D262" s="1074"/>
      <c r="E262" s="1126"/>
      <c r="F262" s="1138"/>
      <c r="G262" s="1074"/>
      <c r="H262" s="1077"/>
      <c r="I262" s="1127"/>
      <c r="J262" s="1128"/>
      <c r="K262" s="1067"/>
      <c r="L262" s="1221"/>
      <c r="M262" s="1069"/>
      <c r="N262" s="1074"/>
      <c r="O262" s="1126"/>
      <c r="P262" s="1073"/>
      <c r="Q262" s="1077"/>
      <c r="R262" s="1038"/>
      <c r="S262" s="1074"/>
      <c r="T262" s="1075"/>
      <c r="U262" s="1091"/>
      <c r="V262" s="1255" t="s">
        <v>344</v>
      </c>
      <c r="W262" s="1241"/>
      <c r="X262" s="1241">
        <v>3</v>
      </c>
      <c r="Y262" s="1242" t="s">
        <v>46</v>
      </c>
      <c r="Z262" s="1143"/>
      <c r="AA262" s="1074"/>
      <c r="AB262" s="1077"/>
      <c r="AC262" s="1073"/>
      <c r="AD262" s="1091"/>
      <c r="AE262" s="1076"/>
      <c r="AF262" s="1085"/>
      <c r="AG262" s="1086"/>
      <c r="AH262" s="1087"/>
      <c r="AI262" s="1087"/>
      <c r="AJ262" s="1088"/>
      <c r="AK262" s="1089">
        <v>99000</v>
      </c>
      <c r="AL262" s="1090">
        <f>AK262*X262</f>
        <v>297000</v>
      </c>
      <c r="AM262" s="1086"/>
      <c r="AN262" s="1086"/>
      <c r="AO262" s="1087"/>
      <c r="AP262" s="1076"/>
      <c r="AQ262" s="1087"/>
      <c r="AR262" s="1076"/>
      <c r="AS262" s="1076"/>
      <c r="AT262" s="1086"/>
      <c r="AU262" s="1088"/>
      <c r="AV262" s="1235"/>
    </row>
    <row r="263" spans="1:48" ht="16.5" customHeight="1">
      <c r="A263" s="1073"/>
      <c r="B263" s="1082"/>
      <c r="C263" s="1083"/>
      <c r="D263" s="1074"/>
      <c r="E263" s="1126"/>
      <c r="F263" s="1138"/>
      <c r="G263" s="1074"/>
      <c r="H263" s="1077"/>
      <c r="I263" s="1127"/>
      <c r="J263" s="1128"/>
      <c r="K263" s="1067"/>
      <c r="L263" s="1221"/>
      <c r="M263" s="1069"/>
      <c r="N263" s="1074"/>
      <c r="O263" s="1126"/>
      <c r="P263" s="1073"/>
      <c r="Q263" s="1077"/>
      <c r="R263" s="1038"/>
      <c r="S263" s="1074"/>
      <c r="T263" s="1075"/>
      <c r="U263" s="1091">
        <v>12</v>
      </c>
      <c r="V263" s="1255" t="s">
        <v>307</v>
      </c>
      <c r="W263" s="1241">
        <v>1</v>
      </c>
      <c r="X263" s="1241" t="s">
        <v>46</v>
      </c>
      <c r="Y263" s="1242" t="s">
        <v>46</v>
      </c>
      <c r="Z263" s="1143">
        <f t="shared" si="25"/>
        <v>1</v>
      </c>
      <c r="AA263" s="1074"/>
      <c r="AB263" s="1077"/>
      <c r="AC263" s="1073"/>
      <c r="AD263" s="1091"/>
      <c r="AE263" s="1076"/>
      <c r="AF263" s="1085"/>
      <c r="AG263" s="1086"/>
      <c r="AH263" s="1087"/>
      <c r="AI263" s="1087"/>
      <c r="AJ263" s="1088"/>
      <c r="AK263" s="1089">
        <v>75000</v>
      </c>
      <c r="AL263" s="1090">
        <f t="shared" si="23"/>
        <v>75000</v>
      </c>
      <c r="AM263" s="1086"/>
      <c r="AN263" s="1086"/>
      <c r="AO263" s="1087"/>
      <c r="AP263" s="1076"/>
      <c r="AQ263" s="1087"/>
      <c r="AR263" s="1076"/>
      <c r="AS263" s="1076"/>
      <c r="AT263" s="1086"/>
      <c r="AU263" s="1088"/>
      <c r="AV263" s="1235"/>
    </row>
    <row r="264" spans="1:48" ht="16.5" customHeight="1">
      <c r="A264" s="1073"/>
      <c r="B264" s="1082"/>
      <c r="C264" s="1083"/>
      <c r="D264" s="1074"/>
      <c r="E264" s="1126"/>
      <c r="F264" s="1138"/>
      <c r="G264" s="1074"/>
      <c r="H264" s="1077"/>
      <c r="I264" s="1127"/>
      <c r="J264" s="1128"/>
      <c r="K264" s="1067"/>
      <c r="L264" s="1221"/>
      <c r="M264" s="1069"/>
      <c r="N264" s="1074"/>
      <c r="O264" s="1126"/>
      <c r="P264" s="1073"/>
      <c r="Q264" s="1077"/>
      <c r="R264" s="1038"/>
      <c r="S264" s="1074"/>
      <c r="T264" s="1075"/>
      <c r="U264" s="1091">
        <v>13</v>
      </c>
      <c r="V264" s="1255" t="s">
        <v>343</v>
      </c>
      <c r="W264" s="1241">
        <v>1</v>
      </c>
      <c r="X264" s="1241" t="s">
        <v>46</v>
      </c>
      <c r="Y264" s="1242" t="s">
        <v>46</v>
      </c>
      <c r="Z264" s="1143">
        <f t="shared" si="25"/>
        <v>1</v>
      </c>
      <c r="AA264" s="1074"/>
      <c r="AB264" s="1077"/>
      <c r="AC264" s="1073"/>
      <c r="AD264" s="1091"/>
      <c r="AE264" s="1076"/>
      <c r="AF264" s="1085"/>
      <c r="AG264" s="1086"/>
      <c r="AH264" s="1087"/>
      <c r="AI264" s="1087"/>
      <c r="AJ264" s="1088"/>
      <c r="AK264" s="1089">
        <v>15000</v>
      </c>
      <c r="AL264" s="1090">
        <f t="shared" si="23"/>
        <v>15000</v>
      </c>
      <c r="AM264" s="1086"/>
      <c r="AN264" s="1086"/>
      <c r="AO264" s="1087"/>
      <c r="AP264" s="1076"/>
      <c r="AQ264" s="1087"/>
      <c r="AR264" s="1076"/>
      <c r="AS264" s="1076"/>
      <c r="AT264" s="1086"/>
      <c r="AU264" s="1088"/>
      <c r="AV264" s="1235"/>
    </row>
    <row r="265" spans="1:48" ht="16.5" customHeight="1">
      <c r="A265" s="1073"/>
      <c r="B265" s="1082"/>
      <c r="C265" s="1083"/>
      <c r="D265" s="1074"/>
      <c r="E265" s="1126"/>
      <c r="F265" s="1138"/>
      <c r="G265" s="1074"/>
      <c r="H265" s="1077"/>
      <c r="I265" s="1127"/>
      <c r="J265" s="1128"/>
      <c r="K265" s="1067"/>
      <c r="L265" s="1221"/>
      <c r="M265" s="1069"/>
      <c r="N265" s="1074"/>
      <c r="O265" s="1126"/>
      <c r="P265" s="1073"/>
      <c r="Q265" s="1077"/>
      <c r="R265" s="1038"/>
      <c r="S265" s="1074"/>
      <c r="T265" s="1075"/>
      <c r="U265" s="1091">
        <v>14</v>
      </c>
      <c r="V265" s="1255" t="s">
        <v>6</v>
      </c>
      <c r="W265" s="1241">
        <v>1</v>
      </c>
      <c r="X265" s="1241" t="s">
        <v>46</v>
      </c>
      <c r="Y265" s="1256" t="s">
        <v>46</v>
      </c>
      <c r="Z265" s="1143">
        <f t="shared" si="25"/>
        <v>1</v>
      </c>
      <c r="AA265" s="1074"/>
      <c r="AB265" s="1077"/>
      <c r="AC265" s="1073"/>
      <c r="AD265" s="1091"/>
      <c r="AE265" s="1076"/>
      <c r="AF265" s="1085"/>
      <c r="AG265" s="1086"/>
      <c r="AH265" s="1087"/>
      <c r="AI265" s="1087"/>
      <c r="AJ265" s="1088"/>
      <c r="AK265" s="1089">
        <v>10000</v>
      </c>
      <c r="AL265" s="1090">
        <f t="shared" si="23"/>
        <v>10000</v>
      </c>
      <c r="AM265" s="1086"/>
      <c r="AN265" s="1086"/>
      <c r="AO265" s="1087"/>
      <c r="AP265" s="1076"/>
      <c r="AQ265" s="1087"/>
      <c r="AR265" s="1076"/>
      <c r="AS265" s="1076"/>
      <c r="AT265" s="1086"/>
      <c r="AU265" s="1088"/>
      <c r="AV265" s="1235"/>
    </row>
    <row r="266" spans="1:48" ht="16.5" customHeight="1">
      <c r="A266" s="1073"/>
      <c r="B266" s="1082"/>
      <c r="C266" s="1083"/>
      <c r="D266" s="1074"/>
      <c r="E266" s="1126"/>
      <c r="F266" s="1138"/>
      <c r="G266" s="1074"/>
      <c r="H266" s="1077"/>
      <c r="I266" s="1127"/>
      <c r="J266" s="1128"/>
      <c r="K266" s="1067"/>
      <c r="L266" s="1221"/>
      <c r="M266" s="1069"/>
      <c r="N266" s="1074"/>
      <c r="O266" s="1126"/>
      <c r="P266" s="1073"/>
      <c r="Q266" s="1077"/>
      <c r="R266" s="1038"/>
      <c r="S266" s="1074"/>
      <c r="T266" s="1075"/>
      <c r="U266" s="1091">
        <v>15</v>
      </c>
      <c r="V266" s="1255" t="s">
        <v>48</v>
      </c>
      <c r="W266" s="1241">
        <v>10</v>
      </c>
      <c r="X266" s="1241"/>
      <c r="Y266" s="1242"/>
      <c r="Z266" s="1143">
        <f t="shared" si="25"/>
        <v>10</v>
      </c>
      <c r="AA266" s="1074"/>
      <c r="AB266" s="1077"/>
      <c r="AC266" s="1073"/>
      <c r="AD266" s="1091"/>
      <c r="AE266" s="1076"/>
      <c r="AF266" s="1085"/>
      <c r="AG266" s="1086"/>
      <c r="AH266" s="1087"/>
      <c r="AI266" s="1087"/>
      <c r="AJ266" s="1088"/>
      <c r="AK266" s="1089">
        <v>15000</v>
      </c>
      <c r="AL266" s="1090">
        <f t="shared" si="23"/>
        <v>150000</v>
      </c>
      <c r="AM266" s="1086"/>
      <c r="AN266" s="1086"/>
      <c r="AO266" s="1087"/>
      <c r="AP266" s="1076"/>
      <c r="AQ266" s="1087"/>
      <c r="AR266" s="1076"/>
      <c r="AS266" s="1076"/>
      <c r="AT266" s="1086"/>
      <c r="AU266" s="1088"/>
      <c r="AV266" s="1235"/>
    </row>
    <row r="267" spans="1:48" ht="16.5" customHeight="1">
      <c r="A267" s="1073"/>
      <c r="B267" s="1077"/>
      <c r="C267" s="1083"/>
      <c r="D267" s="1074"/>
      <c r="E267" s="1126"/>
      <c r="F267" s="1138"/>
      <c r="G267" s="1074"/>
      <c r="H267" s="1077"/>
      <c r="I267" s="1127"/>
      <c r="J267" s="1128"/>
      <c r="K267" s="1067"/>
      <c r="L267" s="1221"/>
      <c r="M267" s="1069"/>
      <c r="N267" s="1074"/>
      <c r="O267" s="1126"/>
      <c r="P267" s="1073"/>
      <c r="Q267" s="1077"/>
      <c r="R267" s="1038"/>
      <c r="S267" s="1074"/>
      <c r="T267" s="1070"/>
      <c r="U267" s="1076"/>
      <c r="V267" s="1255" t="s">
        <v>48</v>
      </c>
      <c r="W267" s="1241"/>
      <c r="X267" s="1241">
        <v>1</v>
      </c>
      <c r="Y267" s="1242"/>
      <c r="Z267" s="1143"/>
      <c r="AA267" s="1074"/>
      <c r="AB267" s="1077"/>
      <c r="AC267" s="1073"/>
      <c r="AD267" s="1091"/>
      <c r="AE267" s="1076"/>
      <c r="AF267" s="1085"/>
      <c r="AG267" s="1086"/>
      <c r="AH267" s="1087"/>
      <c r="AI267" s="1087"/>
      <c r="AJ267" s="1088"/>
      <c r="AK267" s="1089">
        <v>10000</v>
      </c>
      <c r="AL267" s="1090">
        <f>AK267*X267</f>
        <v>10000</v>
      </c>
      <c r="AM267" s="1086"/>
      <c r="AN267" s="1086"/>
      <c r="AO267" s="1087"/>
      <c r="AP267" s="1076"/>
      <c r="AQ267" s="1087"/>
      <c r="AR267" s="1076"/>
      <c r="AS267" s="1076"/>
      <c r="AT267" s="1086"/>
      <c r="AU267" s="1088"/>
      <c r="AV267" s="1235"/>
    </row>
    <row r="268" spans="1:48" ht="16.5" customHeight="1">
      <c r="A268" s="1073"/>
      <c r="B268" s="1077"/>
      <c r="C268" s="1083"/>
      <c r="D268" s="1074"/>
      <c r="E268" s="1126"/>
      <c r="F268" s="1138"/>
      <c r="G268" s="1074"/>
      <c r="H268" s="1077"/>
      <c r="I268" s="1127"/>
      <c r="J268" s="1128"/>
      <c r="K268" s="1067"/>
      <c r="L268" s="1221"/>
      <c r="M268" s="1069"/>
      <c r="N268" s="1074"/>
      <c r="O268" s="1126"/>
      <c r="P268" s="1073"/>
      <c r="Q268" s="1077"/>
      <c r="R268" s="1038"/>
      <c r="S268" s="1074"/>
      <c r="T268" s="1070"/>
      <c r="U268" s="1076"/>
      <c r="V268" s="1255" t="s">
        <v>48</v>
      </c>
      <c r="W268" s="1241"/>
      <c r="X268" s="1241"/>
      <c r="Y268" s="1242">
        <v>50</v>
      </c>
      <c r="Z268" s="1143"/>
      <c r="AA268" s="1074"/>
      <c r="AB268" s="1077"/>
      <c r="AC268" s="1073"/>
      <c r="AD268" s="1091"/>
      <c r="AE268" s="1076"/>
      <c r="AF268" s="1085"/>
      <c r="AG268" s="1086"/>
      <c r="AH268" s="1087"/>
      <c r="AI268" s="1087"/>
      <c r="AJ268" s="1088"/>
      <c r="AK268" s="1089">
        <v>5000</v>
      </c>
      <c r="AL268" s="1090">
        <f>AK268*Y268</f>
        <v>250000</v>
      </c>
      <c r="AM268" s="1086"/>
      <c r="AN268" s="1086"/>
      <c r="AO268" s="1087"/>
      <c r="AP268" s="1076"/>
      <c r="AQ268" s="1087"/>
      <c r="AR268" s="1076"/>
      <c r="AS268" s="1076"/>
      <c r="AT268" s="1086"/>
      <c r="AU268" s="1088"/>
      <c r="AV268" s="1235"/>
    </row>
    <row r="269" spans="1:48" ht="16.5" customHeight="1">
      <c r="A269" s="1073"/>
      <c r="B269" s="1077"/>
      <c r="C269" s="1083"/>
      <c r="D269" s="1074"/>
      <c r="E269" s="1126"/>
      <c r="F269" s="1138"/>
      <c r="G269" s="1074"/>
      <c r="H269" s="1077"/>
      <c r="I269" s="1127"/>
      <c r="J269" s="1128"/>
      <c r="K269" s="1067"/>
      <c r="L269" s="1221"/>
      <c r="M269" s="1069"/>
      <c r="N269" s="1074"/>
      <c r="O269" s="1126"/>
      <c r="P269" s="1073"/>
      <c r="Q269" s="1077"/>
      <c r="R269" s="1038"/>
      <c r="S269" s="1074"/>
      <c r="T269" s="1070"/>
      <c r="U269" s="1076">
        <v>16</v>
      </c>
      <c r="V269" s="1255" t="s">
        <v>3</v>
      </c>
      <c r="W269" s="1241">
        <v>1</v>
      </c>
      <c r="X269" s="1241" t="s">
        <v>46</v>
      </c>
      <c r="Y269" s="1242" t="s">
        <v>46</v>
      </c>
      <c r="Z269" s="1143">
        <f t="shared" si="25"/>
        <v>1</v>
      </c>
      <c r="AA269" s="1074"/>
      <c r="AB269" s="1077"/>
      <c r="AC269" s="1073"/>
      <c r="AD269" s="1091"/>
      <c r="AE269" s="1076"/>
      <c r="AF269" s="1085"/>
      <c r="AG269" s="1086"/>
      <c r="AH269" s="1087"/>
      <c r="AI269" s="1087"/>
      <c r="AJ269" s="1088"/>
      <c r="AK269" s="1089">
        <v>85000</v>
      </c>
      <c r="AL269" s="1090">
        <f t="shared" si="23"/>
        <v>85000</v>
      </c>
      <c r="AM269" s="1086"/>
      <c r="AN269" s="1086"/>
      <c r="AO269" s="1087"/>
      <c r="AP269" s="1076"/>
      <c r="AQ269" s="1087"/>
      <c r="AR269" s="1076"/>
      <c r="AS269" s="1076"/>
      <c r="AT269" s="1086"/>
      <c r="AU269" s="1088"/>
      <c r="AV269" s="1235"/>
    </row>
    <row r="270" spans="1:48" ht="16.5" customHeight="1">
      <c r="A270" s="1107"/>
      <c r="C270" s="1264"/>
      <c r="D270" s="1094"/>
      <c r="E270" s="1149"/>
      <c r="F270" s="1150"/>
      <c r="G270" s="1094"/>
      <c r="H270" s="1151"/>
      <c r="I270" s="1152"/>
      <c r="J270" s="1153"/>
      <c r="K270" s="1101"/>
      <c r="L270" s="1224"/>
      <c r="M270" s="1103"/>
      <c r="N270" s="1094"/>
      <c r="O270" s="1156"/>
      <c r="P270" s="1107"/>
      <c r="Q270" s="1151"/>
      <c r="R270" s="1095"/>
      <c r="S270" s="1094"/>
      <c r="T270" s="1168"/>
      <c r="V270" s="1107"/>
      <c r="W270" s="1110"/>
      <c r="X270" s="1110"/>
      <c r="Y270" s="1112"/>
      <c r="Z270" s="1286"/>
      <c r="AA270" s="1094"/>
      <c r="AB270" s="1151"/>
      <c r="AC270" s="1107"/>
      <c r="AD270" s="1109"/>
      <c r="AE270" s="1108"/>
      <c r="AF270" s="1115"/>
      <c r="AG270" s="1116"/>
      <c r="AH270" s="1117"/>
      <c r="AI270" s="1117"/>
      <c r="AJ270" s="1118"/>
      <c r="AK270" s="1119"/>
      <c r="AL270" s="1120"/>
      <c r="AM270" s="1116"/>
      <c r="AN270" s="1116"/>
      <c r="AO270" s="1117"/>
      <c r="AP270" s="1108"/>
      <c r="AQ270" s="1117"/>
      <c r="AR270" s="1108"/>
      <c r="AS270" s="1108"/>
      <c r="AT270" s="1116"/>
      <c r="AU270" s="1118"/>
      <c r="AV270" s="1287"/>
    </row>
    <row r="271" spans="1:48" ht="16.5" customHeight="1">
      <c r="A271" s="1169">
        <v>21</v>
      </c>
      <c r="B271" s="1033" t="s">
        <v>25</v>
      </c>
      <c r="C271" s="1036" t="s">
        <v>342</v>
      </c>
      <c r="D271" s="1170"/>
      <c r="E271" s="1036"/>
      <c r="F271" s="1171" t="s">
        <v>341</v>
      </c>
      <c r="G271" s="1172" t="s">
        <v>25</v>
      </c>
      <c r="H271" s="1273" t="s">
        <v>29</v>
      </c>
      <c r="I271" s="1174">
        <v>589</v>
      </c>
      <c r="J271" s="1043" t="s">
        <v>41</v>
      </c>
      <c r="K271" s="1041" t="s">
        <v>340</v>
      </c>
      <c r="L271" s="1129" t="s">
        <v>46</v>
      </c>
      <c r="M271" s="1292"/>
      <c r="N271" s="1123" t="s">
        <v>25</v>
      </c>
      <c r="O271" s="1293" t="s">
        <v>26</v>
      </c>
      <c r="P271" s="1132">
        <v>1</v>
      </c>
      <c r="Q271" s="1213">
        <v>292.64</v>
      </c>
      <c r="R271" s="1035" t="s">
        <v>25</v>
      </c>
      <c r="S271" s="1034" t="s">
        <v>24</v>
      </c>
      <c r="T271" s="1048">
        <v>0</v>
      </c>
      <c r="U271" s="1049"/>
      <c r="V271" s="1047"/>
      <c r="W271" s="1051"/>
      <c r="X271" s="1051"/>
      <c r="Y271" s="1053"/>
      <c r="Z271" s="1203"/>
      <c r="AA271" s="1123"/>
      <c r="AB271" s="1126"/>
      <c r="AC271" s="1047"/>
      <c r="AD271" s="1055"/>
      <c r="AE271" s="1032"/>
      <c r="AF271" s="1056">
        <f>Resum!F1</f>
        <v>356000</v>
      </c>
      <c r="AG271" s="1086">
        <f>AF271*I271</f>
        <v>209684000</v>
      </c>
      <c r="AH271" s="1058">
        <v>2530000</v>
      </c>
      <c r="AI271" s="1087">
        <f>AH271*Q271*0.7</f>
        <v>518265439.99999994</v>
      </c>
      <c r="AJ271" s="1182">
        <f>SUM(AI271:AI280)</f>
        <v>696003940</v>
      </c>
      <c r="AK271" s="1060"/>
      <c r="AL271" s="1090"/>
      <c r="AM271" s="1057">
        <f>SUM(AL272:AL278)</f>
        <v>1183500</v>
      </c>
      <c r="AN271" s="1086">
        <f>AM271+AJ271+AG271</f>
        <v>906871440</v>
      </c>
      <c r="AO271" s="1058"/>
      <c r="AP271" s="1136">
        <f>(AG271+AI271)*10%</f>
        <v>72794944</v>
      </c>
      <c r="AQ271" s="1087">
        <f>(AG271+AI271)*1%</f>
        <v>7279494.4000000004</v>
      </c>
      <c r="AR271" s="1136">
        <f>(AG271+AI271)*5%</f>
        <v>36397472</v>
      </c>
      <c r="AS271" s="1087">
        <f>0.5%*(AG271+AI271)*(3)</f>
        <v>10919241.600000001</v>
      </c>
      <c r="AT271" s="1086">
        <f>+AS271+AR271+AQ271+AP271+AO271</f>
        <v>127391152</v>
      </c>
      <c r="AU271" s="1137">
        <f>ROUND(AT271+AN271,-3)</f>
        <v>1034263000</v>
      </c>
      <c r="AV271" s="1041"/>
    </row>
    <row r="272" spans="1:48" ht="16.5" customHeight="1">
      <c r="A272" s="1073"/>
      <c r="B272" s="1038" t="s">
        <v>16</v>
      </c>
      <c r="C272" s="1071" t="s">
        <v>339</v>
      </c>
      <c r="D272" s="1074"/>
      <c r="E272" s="1071"/>
      <c r="F272" s="1124"/>
      <c r="G272" s="1074" t="s">
        <v>16</v>
      </c>
      <c r="H272" s="1039" t="s">
        <v>22</v>
      </c>
      <c r="I272" s="1127"/>
      <c r="J272" s="1069"/>
      <c r="K272" s="1067"/>
      <c r="L272" s="1139"/>
      <c r="M272" s="1294"/>
      <c r="N272" s="1123" t="s">
        <v>16</v>
      </c>
      <c r="O272" s="1293" t="s">
        <v>52</v>
      </c>
      <c r="P272" s="1132">
        <v>1</v>
      </c>
      <c r="Q272" s="1213">
        <v>28.53</v>
      </c>
      <c r="R272" s="1038"/>
      <c r="S272" s="1074"/>
      <c r="T272" s="1075"/>
      <c r="U272" s="1076"/>
      <c r="V272" s="1073"/>
      <c r="W272" s="1078"/>
      <c r="X272" s="1078"/>
      <c r="Y272" s="1080"/>
      <c r="Z272" s="1134"/>
      <c r="AA272" s="1074"/>
      <c r="AB272" s="1126"/>
      <c r="AC272" s="1073"/>
      <c r="AD272" s="1084"/>
      <c r="AE272" s="1062"/>
      <c r="AF272" s="1085"/>
      <c r="AG272" s="1086"/>
      <c r="AH272" s="1087">
        <v>210000</v>
      </c>
      <c r="AI272" s="1087">
        <f>AH272*Q272*0.5</f>
        <v>2995650</v>
      </c>
      <c r="AJ272" s="1088"/>
      <c r="AK272" s="1089"/>
      <c r="AL272" s="1090"/>
      <c r="AM272" s="1086"/>
      <c r="AN272" s="1086"/>
      <c r="AO272" s="1087"/>
      <c r="AP272" s="1076"/>
      <c r="AQ272" s="1087"/>
      <c r="AR272" s="1076"/>
      <c r="AS272" s="1076"/>
      <c r="AT272" s="1086"/>
      <c r="AU272" s="1088"/>
      <c r="AV272" s="1067"/>
    </row>
    <row r="273" spans="1:48" ht="16.5" customHeight="1">
      <c r="A273" s="1073"/>
      <c r="B273" s="1038" t="s">
        <v>18</v>
      </c>
      <c r="C273" s="1039" t="s">
        <v>60</v>
      </c>
      <c r="D273" s="1074"/>
      <c r="E273" s="1039"/>
      <c r="F273" s="1124"/>
      <c r="G273" s="1074" t="s">
        <v>18</v>
      </c>
      <c r="H273" s="1039" t="s">
        <v>19</v>
      </c>
      <c r="I273" s="1127"/>
      <c r="J273" s="1069"/>
      <c r="K273" s="1067"/>
      <c r="L273" s="1139"/>
      <c r="M273" s="1294"/>
      <c r="N273" s="1123" t="s">
        <v>18</v>
      </c>
      <c r="O273" s="1293" t="s">
        <v>21</v>
      </c>
      <c r="P273" s="1132">
        <v>1</v>
      </c>
      <c r="Q273" s="1213">
        <v>28.53</v>
      </c>
      <c r="R273" s="1038" t="s">
        <v>16</v>
      </c>
      <c r="S273" s="1074" t="s">
        <v>15</v>
      </c>
      <c r="T273" s="1075">
        <v>6</v>
      </c>
      <c r="U273" s="1076">
        <v>1</v>
      </c>
      <c r="V273" s="1073" t="s">
        <v>14</v>
      </c>
      <c r="W273" s="1141">
        <v>2</v>
      </c>
      <c r="X273" s="1141">
        <v>0</v>
      </c>
      <c r="Y273" s="1195">
        <v>0</v>
      </c>
      <c r="Z273" s="1143">
        <f t="shared" ref="Z273:Z278" si="27">SUM(W273:Y273)</f>
        <v>2</v>
      </c>
      <c r="AA273" s="1074"/>
      <c r="AB273" s="1126"/>
      <c r="AC273" s="1073"/>
      <c r="AD273" s="1084"/>
      <c r="AE273" s="1062"/>
      <c r="AF273" s="1085"/>
      <c r="AG273" s="1086"/>
      <c r="AH273" s="1087">
        <v>350000</v>
      </c>
      <c r="AI273" s="1087">
        <f>AH273*Q273*0.7</f>
        <v>6989850</v>
      </c>
      <c r="AJ273" s="1088"/>
      <c r="AK273" s="1089">
        <v>350000</v>
      </c>
      <c r="AL273" s="1087">
        <f t="shared" si="23"/>
        <v>700000</v>
      </c>
      <c r="AM273" s="1086"/>
      <c r="AN273" s="1086"/>
      <c r="AO273" s="1087"/>
      <c r="AP273" s="1076"/>
      <c r="AQ273" s="1087"/>
      <c r="AR273" s="1076"/>
      <c r="AS273" s="1076"/>
      <c r="AT273" s="1086"/>
      <c r="AU273" s="1088"/>
      <c r="AV273" s="1067"/>
    </row>
    <row r="274" spans="1:48" ht="49.5" customHeight="1">
      <c r="A274" s="1073"/>
      <c r="B274" s="1082" t="s">
        <v>12</v>
      </c>
      <c r="C274" s="1083" t="s">
        <v>13</v>
      </c>
      <c r="D274" s="1077"/>
      <c r="E274" s="1083"/>
      <c r="F274" s="1124"/>
      <c r="G274" s="1074"/>
      <c r="H274" s="1092"/>
      <c r="I274" s="1127"/>
      <c r="J274" s="1069"/>
      <c r="K274" s="1067"/>
      <c r="L274" s="1139"/>
      <c r="M274" s="1294"/>
      <c r="N274" s="1123" t="s">
        <v>12</v>
      </c>
      <c r="O274" s="1131" t="s">
        <v>17</v>
      </c>
      <c r="P274" s="1132">
        <v>2</v>
      </c>
      <c r="Q274" s="1133"/>
      <c r="R274" s="1038"/>
      <c r="S274" s="1039"/>
      <c r="T274" s="1075"/>
      <c r="U274" s="1076">
        <v>2</v>
      </c>
      <c r="V274" s="1073" t="s">
        <v>268</v>
      </c>
      <c r="W274" s="1141">
        <v>0</v>
      </c>
      <c r="X274" s="1141">
        <v>0</v>
      </c>
      <c r="Y274" s="1195">
        <v>2</v>
      </c>
      <c r="Z274" s="1143">
        <f t="shared" si="27"/>
        <v>2</v>
      </c>
      <c r="AA274" s="1074"/>
      <c r="AB274" s="1126"/>
      <c r="AC274" s="1073"/>
      <c r="AD274" s="1084"/>
      <c r="AE274" s="1062"/>
      <c r="AF274" s="1085"/>
      <c r="AG274" s="1086"/>
      <c r="AH274" s="1087">
        <v>2500000</v>
      </c>
      <c r="AI274" s="1087">
        <f>AH274*P274*0.5</f>
        <v>2500000</v>
      </c>
      <c r="AJ274" s="1088"/>
      <c r="AK274" s="1089">
        <v>66000</v>
      </c>
      <c r="AL274" s="1090">
        <f>AK274*Y274</f>
        <v>132000</v>
      </c>
      <c r="AM274" s="1086"/>
      <c r="AN274" s="1086"/>
      <c r="AO274" s="1087"/>
      <c r="AP274" s="1076"/>
      <c r="AQ274" s="1087"/>
      <c r="AR274" s="1076"/>
      <c r="AS274" s="1076"/>
      <c r="AT274" s="1086"/>
      <c r="AU274" s="1088"/>
      <c r="AV274" s="1067"/>
    </row>
    <row r="275" spans="1:48" ht="16.5" customHeight="1">
      <c r="A275" s="1073"/>
      <c r="B275" s="1038" t="s">
        <v>8</v>
      </c>
      <c r="C275" s="1244" t="s">
        <v>338</v>
      </c>
      <c r="D275" s="1077"/>
      <c r="E275" s="1083"/>
      <c r="F275" s="1124"/>
      <c r="G275" s="1074"/>
      <c r="H275" s="1092"/>
      <c r="I275" s="1127"/>
      <c r="J275" s="1069"/>
      <c r="K275" s="1067"/>
      <c r="L275" s="1139"/>
      <c r="M275" s="1294"/>
      <c r="N275" s="1123" t="s">
        <v>8</v>
      </c>
      <c r="O275" s="1131" t="s">
        <v>11</v>
      </c>
      <c r="P275" s="1132">
        <v>3</v>
      </c>
      <c r="Q275" s="1213"/>
      <c r="R275" s="1038"/>
      <c r="S275" s="1039"/>
      <c r="T275" s="1075"/>
      <c r="U275" s="1076">
        <v>3</v>
      </c>
      <c r="V275" s="1073" t="s">
        <v>313</v>
      </c>
      <c r="W275" s="1141">
        <v>0</v>
      </c>
      <c r="X275" s="1141">
        <v>0</v>
      </c>
      <c r="Y275" s="1195">
        <v>2</v>
      </c>
      <c r="Z275" s="1143">
        <f t="shared" si="27"/>
        <v>2</v>
      </c>
      <c r="AA275" s="1074"/>
      <c r="AB275" s="1126"/>
      <c r="AC275" s="1073"/>
      <c r="AD275" s="1084"/>
      <c r="AE275" s="1062"/>
      <c r="AF275" s="1085"/>
      <c r="AG275" s="1086"/>
      <c r="AH275" s="1087">
        <v>2500000</v>
      </c>
      <c r="AI275" s="1087">
        <f>AH275*P275*0.75</f>
        <v>5625000</v>
      </c>
      <c r="AJ275" s="1088"/>
      <c r="AK275" s="1089">
        <v>53000</v>
      </c>
      <c r="AL275" s="1090">
        <f>AK275*Y275</f>
        <v>106000</v>
      </c>
      <c r="AM275" s="1086"/>
      <c r="AN275" s="1086"/>
      <c r="AO275" s="1087"/>
      <c r="AP275" s="1076"/>
      <c r="AQ275" s="1087"/>
      <c r="AR275" s="1076"/>
      <c r="AS275" s="1076"/>
      <c r="AT275" s="1086"/>
      <c r="AU275" s="1088"/>
      <c r="AV275" s="1067"/>
    </row>
    <row r="276" spans="1:48" ht="16.5" customHeight="1">
      <c r="A276" s="1073"/>
      <c r="B276" s="1038"/>
      <c r="C276" s="1244"/>
      <c r="D276" s="1077"/>
      <c r="E276" s="1083"/>
      <c r="F276" s="1124"/>
      <c r="G276" s="1074"/>
      <c r="H276" s="1077"/>
      <c r="I276" s="1234"/>
      <c r="J276" s="1069"/>
      <c r="K276" s="1235"/>
      <c r="L276" s="1236"/>
      <c r="M276" s="1295"/>
      <c r="N276" s="1123" t="s">
        <v>54</v>
      </c>
      <c r="O276" s="1131" t="s">
        <v>7</v>
      </c>
      <c r="P276" s="1132">
        <v>1</v>
      </c>
      <c r="Q276" s="1213">
        <v>46.8</v>
      </c>
      <c r="R276" s="1038"/>
      <c r="S276" s="1039"/>
      <c r="T276" s="1134"/>
      <c r="U276" s="1076">
        <v>4</v>
      </c>
      <c r="V276" s="1073" t="s">
        <v>48</v>
      </c>
      <c r="W276" s="1140">
        <v>4</v>
      </c>
      <c r="X276" s="1141">
        <v>0</v>
      </c>
      <c r="Y276" s="1142">
        <v>0</v>
      </c>
      <c r="Z276" s="1143">
        <f t="shared" si="27"/>
        <v>4</v>
      </c>
      <c r="AA276" s="1074"/>
      <c r="AB276" s="1126"/>
      <c r="AC276" s="1073"/>
      <c r="AD276" s="1091"/>
      <c r="AE276" s="1076"/>
      <c r="AF276" s="1296"/>
      <c r="AG276" s="1297"/>
      <c r="AH276" s="1298">
        <v>500000</v>
      </c>
      <c r="AI276" s="1087">
        <f>AH276*Q276*0.5</f>
        <v>11700000</v>
      </c>
      <c r="AJ276" s="1299"/>
      <c r="AK276" s="1300">
        <v>15000</v>
      </c>
      <c r="AL276" s="1090">
        <f t="shared" si="23"/>
        <v>60000</v>
      </c>
      <c r="AM276" s="1297"/>
      <c r="AN276" s="1297"/>
      <c r="AO276" s="1298"/>
      <c r="AP276" s="1301"/>
      <c r="AQ276" s="1298"/>
      <c r="AR276" s="1301"/>
      <c r="AS276" s="1301"/>
      <c r="AT276" s="1297"/>
      <c r="AU276" s="1299"/>
      <c r="AV276" s="1302"/>
    </row>
    <row r="277" spans="1:48" ht="16.5" customHeight="1">
      <c r="A277" s="1073"/>
      <c r="B277" s="1038"/>
      <c r="C277" s="1244"/>
      <c r="D277" s="1077"/>
      <c r="E277" s="1083"/>
      <c r="F277" s="1124"/>
      <c r="G277" s="1074"/>
      <c r="H277" s="1077"/>
      <c r="I277" s="1234"/>
      <c r="J277" s="1069"/>
      <c r="K277" s="1235"/>
      <c r="L277" s="1236"/>
      <c r="M277" s="1295"/>
      <c r="N277" s="1123" t="s">
        <v>53</v>
      </c>
      <c r="O277" s="1131" t="s">
        <v>120</v>
      </c>
      <c r="P277" s="1132">
        <v>1</v>
      </c>
      <c r="Q277" s="1213">
        <v>1.2</v>
      </c>
      <c r="R277" s="1038"/>
      <c r="S277" s="1039"/>
      <c r="T277" s="1134"/>
      <c r="U277" s="1076">
        <v>5</v>
      </c>
      <c r="V277" s="1073" t="s">
        <v>3</v>
      </c>
      <c r="W277" s="1140">
        <v>1</v>
      </c>
      <c r="X277" s="1141">
        <v>0</v>
      </c>
      <c r="Y277" s="1142">
        <v>0</v>
      </c>
      <c r="Z277" s="1143">
        <f t="shared" si="27"/>
        <v>1</v>
      </c>
      <c r="AA277" s="1074"/>
      <c r="AB277" s="1126"/>
      <c r="AC277" s="1073"/>
      <c r="AD277" s="1091"/>
      <c r="AE277" s="1076"/>
      <c r="AF277" s="1296"/>
      <c r="AG277" s="1297"/>
      <c r="AH277" s="1298">
        <v>200000</v>
      </c>
      <c r="AI277" s="1087">
        <f>AH277*Q277*0.5</f>
        <v>120000</v>
      </c>
      <c r="AJ277" s="1299"/>
      <c r="AK277" s="1089">
        <v>85000</v>
      </c>
      <c r="AL277" s="1090">
        <f t="shared" si="23"/>
        <v>85000</v>
      </c>
      <c r="AM277" s="1297"/>
      <c r="AN277" s="1297"/>
      <c r="AO277" s="1298"/>
      <c r="AP277" s="1301"/>
      <c r="AQ277" s="1298"/>
      <c r="AR277" s="1301"/>
      <c r="AS277" s="1301"/>
      <c r="AT277" s="1297"/>
      <c r="AU277" s="1299"/>
      <c r="AV277" s="1302"/>
    </row>
    <row r="278" spans="1:48" ht="16.5" customHeight="1">
      <c r="A278" s="1073"/>
      <c r="B278" s="1038"/>
      <c r="C278" s="1244"/>
      <c r="D278" s="1077"/>
      <c r="E278" s="1083"/>
      <c r="F278" s="1124"/>
      <c r="G278" s="1074"/>
      <c r="H278" s="1077"/>
      <c r="I278" s="1234"/>
      <c r="J278" s="1069"/>
      <c r="K278" s="1235"/>
      <c r="L278" s="1236"/>
      <c r="M278" s="1295"/>
      <c r="N278" s="1123" t="s">
        <v>51</v>
      </c>
      <c r="O278" s="1131" t="s">
        <v>337</v>
      </c>
      <c r="P278" s="1132">
        <v>1</v>
      </c>
      <c r="Q278" s="1213">
        <v>2</v>
      </c>
      <c r="R278" s="1038"/>
      <c r="S278" s="1039"/>
      <c r="T278" s="1134"/>
      <c r="U278" s="1076">
        <v>6</v>
      </c>
      <c r="V278" s="1073" t="s">
        <v>144</v>
      </c>
      <c r="W278" s="1140">
        <v>5</v>
      </c>
      <c r="X278" s="1141">
        <v>0</v>
      </c>
      <c r="Y278" s="1142">
        <v>0</v>
      </c>
      <c r="Z278" s="1143">
        <f t="shared" si="27"/>
        <v>5</v>
      </c>
      <c r="AA278" s="1074"/>
      <c r="AB278" s="1126"/>
      <c r="AC278" s="1073"/>
      <c r="AD278" s="1091"/>
      <c r="AE278" s="1076"/>
      <c r="AF278" s="1296"/>
      <c r="AG278" s="1297"/>
      <c r="AH278" s="1298">
        <v>300000</v>
      </c>
      <c r="AI278" s="1087">
        <f>AH278*Q278*0.5</f>
        <v>300000</v>
      </c>
      <c r="AJ278" s="1299"/>
      <c r="AK278" s="1300">
        <v>20100</v>
      </c>
      <c r="AL278" s="1090">
        <f t="shared" si="23"/>
        <v>100500</v>
      </c>
      <c r="AM278" s="1297"/>
      <c r="AN278" s="1297"/>
      <c r="AO278" s="1298"/>
      <c r="AP278" s="1301"/>
      <c r="AQ278" s="1298"/>
      <c r="AR278" s="1301"/>
      <c r="AS278" s="1301"/>
      <c r="AT278" s="1297"/>
      <c r="AU278" s="1299"/>
      <c r="AV278" s="1302"/>
    </row>
    <row r="279" spans="1:48" ht="16.5" customHeight="1">
      <c r="A279" s="1073"/>
      <c r="B279" s="1038"/>
      <c r="C279" s="1244"/>
      <c r="D279" s="1077"/>
      <c r="E279" s="1083"/>
      <c r="F279" s="1124"/>
      <c r="G279" s="1074"/>
      <c r="H279" s="1077"/>
      <c r="I279" s="1234"/>
      <c r="J279" s="1069"/>
      <c r="K279" s="1235"/>
      <c r="L279" s="1236"/>
      <c r="M279" s="1295"/>
      <c r="N279" s="1074" t="s">
        <v>154</v>
      </c>
      <c r="O279" s="1131" t="s">
        <v>26</v>
      </c>
      <c r="P279" s="1132">
        <v>1</v>
      </c>
      <c r="Q279" s="1213">
        <v>132.6</v>
      </c>
      <c r="R279" s="1038"/>
      <c r="S279" s="1039"/>
      <c r="T279" s="1134"/>
      <c r="U279" s="1091"/>
      <c r="V279" s="1073"/>
      <c r="W279" s="1079"/>
      <c r="X279" s="1078"/>
      <c r="Y279" s="1039"/>
      <c r="Z279" s="1134"/>
      <c r="AA279" s="1074"/>
      <c r="AB279" s="1126"/>
      <c r="AC279" s="1073"/>
      <c r="AD279" s="1091"/>
      <c r="AE279" s="1076"/>
      <c r="AF279" s="1296"/>
      <c r="AG279" s="1297"/>
      <c r="AH279" s="1298">
        <v>1800000</v>
      </c>
      <c r="AI279" s="1087">
        <f>AH279*Q279*0.6</f>
        <v>143208000</v>
      </c>
      <c r="AJ279" s="1299"/>
      <c r="AK279" s="1300"/>
      <c r="AL279" s="1090"/>
      <c r="AM279" s="1297"/>
      <c r="AN279" s="1297"/>
      <c r="AO279" s="1298"/>
      <c r="AP279" s="1301"/>
      <c r="AQ279" s="1298"/>
      <c r="AR279" s="1301"/>
      <c r="AS279" s="1301"/>
      <c r="AT279" s="1297"/>
      <c r="AU279" s="1299"/>
      <c r="AV279" s="1302"/>
    </row>
    <row r="280" spans="1:48" ht="16.5" customHeight="1">
      <c r="A280" s="1073"/>
      <c r="B280" s="1038"/>
      <c r="C280" s="1244"/>
      <c r="D280" s="1077"/>
      <c r="E280" s="1083"/>
      <c r="F280" s="1124"/>
      <c r="G280" s="1074"/>
      <c r="H280" s="1077"/>
      <c r="I280" s="1234"/>
      <c r="J280" s="1069"/>
      <c r="K280" s="1235"/>
      <c r="L280" s="1236"/>
      <c r="M280" s="1295"/>
      <c r="N280" s="1074" t="s">
        <v>172</v>
      </c>
      <c r="O280" s="1131" t="s">
        <v>1980</v>
      </c>
      <c r="P280" s="1132">
        <v>1</v>
      </c>
      <c r="Q280" s="1213">
        <v>20</v>
      </c>
      <c r="R280" s="1038"/>
      <c r="S280" s="1039"/>
      <c r="T280" s="1134"/>
      <c r="U280" s="1091"/>
      <c r="V280" s="1073"/>
      <c r="W280" s="1079"/>
      <c r="X280" s="1078"/>
      <c r="Y280" s="1039"/>
      <c r="Z280" s="1134"/>
      <c r="AA280" s="1074"/>
      <c r="AB280" s="1126"/>
      <c r="AC280" s="1073"/>
      <c r="AD280" s="1091"/>
      <c r="AE280" s="1076"/>
      <c r="AF280" s="1296"/>
      <c r="AG280" s="1297"/>
      <c r="AH280" s="1298">
        <v>430000</v>
      </c>
      <c r="AI280" s="1087">
        <f>AH280*Q280*0.5</f>
        <v>4300000</v>
      </c>
      <c r="AJ280" s="1299"/>
      <c r="AK280" s="1300"/>
      <c r="AL280" s="1090"/>
      <c r="AM280" s="1297"/>
      <c r="AN280" s="1297"/>
      <c r="AO280" s="1298"/>
      <c r="AP280" s="1301"/>
      <c r="AQ280" s="1298"/>
      <c r="AR280" s="1301"/>
      <c r="AS280" s="1301"/>
      <c r="AT280" s="1297"/>
      <c r="AU280" s="1299"/>
      <c r="AV280" s="1302"/>
    </row>
    <row r="281" spans="1:48" ht="16.5" customHeight="1">
      <c r="A281" s="1073"/>
      <c r="B281" s="1038"/>
      <c r="C281" s="1244"/>
      <c r="D281" s="1077"/>
      <c r="E281" s="1083"/>
      <c r="F281" s="1124"/>
      <c r="G281" s="1074"/>
      <c r="H281" s="1077"/>
      <c r="I281" s="1234"/>
      <c r="J281" s="1069"/>
      <c r="K281" s="1235"/>
      <c r="L281" s="1236"/>
      <c r="M281" s="1295"/>
      <c r="N281" s="1074"/>
      <c r="O281" s="1126"/>
      <c r="P281" s="1192"/>
      <c r="Q281" s="1303"/>
      <c r="R281" s="1038"/>
      <c r="S281" s="1039"/>
      <c r="T281" s="1134"/>
      <c r="U281" s="1091"/>
      <c r="V281" s="1073"/>
      <c r="W281" s="1079"/>
      <c r="X281" s="1078"/>
      <c r="Y281" s="1039"/>
      <c r="Z281" s="1134"/>
      <c r="AA281" s="1074"/>
      <c r="AB281" s="1126"/>
      <c r="AC281" s="1073"/>
      <c r="AD281" s="1091"/>
      <c r="AE281" s="1076"/>
      <c r="AF281" s="1296"/>
      <c r="AG281" s="1297"/>
      <c r="AH281" s="1298"/>
      <c r="AI281" s="1298"/>
      <c r="AJ281" s="1299"/>
      <c r="AK281" s="1300"/>
      <c r="AL281" s="1090"/>
      <c r="AM281" s="1297"/>
      <c r="AN281" s="1297"/>
      <c r="AO281" s="1298"/>
      <c r="AP281" s="1301"/>
      <c r="AQ281" s="1298"/>
      <c r="AR281" s="1301"/>
      <c r="AS281" s="1301"/>
      <c r="AT281" s="1297"/>
      <c r="AU281" s="1299"/>
      <c r="AV281" s="1302"/>
    </row>
    <row r="282" spans="1:48" ht="16.5" customHeight="1">
      <c r="A282" s="1073"/>
      <c r="B282" s="1038"/>
      <c r="C282" s="1244"/>
      <c r="D282" s="1077"/>
      <c r="E282" s="1083"/>
      <c r="F282" s="1124"/>
      <c r="G282" s="1074"/>
      <c r="H282" s="1077"/>
      <c r="I282" s="1234"/>
      <c r="J282" s="1069"/>
      <c r="K282" s="1235"/>
      <c r="L282" s="1236"/>
      <c r="M282" s="1295"/>
      <c r="N282" s="1074"/>
      <c r="O282" s="1126"/>
      <c r="P282" s="1192"/>
      <c r="Q282" s="1303"/>
      <c r="R282" s="1038"/>
      <c r="S282" s="1039"/>
      <c r="T282" s="1134"/>
      <c r="U282" s="1091"/>
      <c r="V282" s="1073"/>
      <c r="W282" s="1079"/>
      <c r="X282" s="1078"/>
      <c r="Y282" s="1039"/>
      <c r="Z282" s="1134"/>
      <c r="AA282" s="1074"/>
      <c r="AB282" s="1126"/>
      <c r="AC282" s="1073"/>
      <c r="AD282" s="1091"/>
      <c r="AE282" s="1076"/>
      <c r="AF282" s="1296"/>
      <c r="AG282" s="1297"/>
      <c r="AH282" s="1298"/>
      <c r="AI282" s="1298"/>
      <c r="AJ282" s="1299"/>
      <c r="AK282" s="1300"/>
      <c r="AL282" s="1090"/>
      <c r="AM282" s="1297"/>
      <c r="AN282" s="1297"/>
      <c r="AO282" s="1298"/>
      <c r="AP282" s="1301"/>
      <c r="AQ282" s="1298"/>
      <c r="AR282" s="1301"/>
      <c r="AS282" s="1301"/>
      <c r="AT282" s="1297"/>
      <c r="AU282" s="1299"/>
      <c r="AV282" s="1302"/>
    </row>
    <row r="283" spans="1:48" ht="16.5" customHeight="1">
      <c r="A283" s="1073"/>
      <c r="B283" s="1038"/>
      <c r="C283" s="1244"/>
      <c r="D283" s="1077"/>
      <c r="E283" s="1083"/>
      <c r="F283" s="1124"/>
      <c r="G283" s="1074"/>
      <c r="H283" s="1077"/>
      <c r="I283" s="1234"/>
      <c r="J283" s="1069"/>
      <c r="K283" s="1235"/>
      <c r="L283" s="1236"/>
      <c r="M283" s="1295"/>
      <c r="N283" s="1074"/>
      <c r="O283" s="1126"/>
      <c r="P283" s="1192"/>
      <c r="Q283" s="1303"/>
      <c r="R283" s="1038"/>
      <c r="S283" s="1039"/>
      <c r="T283" s="1134"/>
      <c r="U283" s="1091"/>
      <c r="V283" s="1073"/>
      <c r="W283" s="1079"/>
      <c r="X283" s="1078"/>
      <c r="Y283" s="1039"/>
      <c r="Z283" s="1134"/>
      <c r="AA283" s="1074"/>
      <c r="AB283" s="1126"/>
      <c r="AC283" s="1073"/>
      <c r="AD283" s="1091"/>
      <c r="AE283" s="1076"/>
      <c r="AF283" s="1296"/>
      <c r="AG283" s="1297"/>
      <c r="AH283" s="1298"/>
      <c r="AI283" s="1298"/>
      <c r="AJ283" s="1299"/>
      <c r="AK283" s="1300"/>
      <c r="AL283" s="1090"/>
      <c r="AM283" s="1297"/>
      <c r="AN283" s="1297"/>
      <c r="AO283" s="1298"/>
      <c r="AP283" s="1301"/>
      <c r="AQ283" s="1298"/>
      <c r="AR283" s="1301"/>
      <c r="AS283" s="1301"/>
      <c r="AT283" s="1297"/>
      <c r="AU283" s="1299"/>
      <c r="AV283" s="1302"/>
    </row>
    <row r="284" spans="1:48" ht="16.5" customHeight="1">
      <c r="A284" s="1073"/>
      <c r="B284" s="1038"/>
      <c r="C284" s="1244"/>
      <c r="D284" s="1077"/>
      <c r="E284" s="1083"/>
      <c r="F284" s="1124"/>
      <c r="G284" s="1074"/>
      <c r="H284" s="1077"/>
      <c r="I284" s="1234"/>
      <c r="J284" s="1069"/>
      <c r="K284" s="1235"/>
      <c r="L284" s="1236"/>
      <c r="M284" s="1295"/>
      <c r="N284" s="1074"/>
      <c r="O284" s="1126"/>
      <c r="P284" s="1192"/>
      <c r="Q284" s="1303"/>
      <c r="R284" s="1038"/>
      <c r="S284" s="1039"/>
      <c r="T284" s="1134"/>
      <c r="U284" s="1091"/>
      <c r="V284" s="1073"/>
      <c r="W284" s="1079"/>
      <c r="X284" s="1078"/>
      <c r="Y284" s="1039"/>
      <c r="Z284" s="1134"/>
      <c r="AA284" s="1074"/>
      <c r="AB284" s="1126"/>
      <c r="AC284" s="1073"/>
      <c r="AD284" s="1091"/>
      <c r="AE284" s="1076"/>
      <c r="AF284" s="1296"/>
      <c r="AG284" s="1297"/>
      <c r="AH284" s="1298"/>
      <c r="AI284" s="1298"/>
      <c r="AJ284" s="1299"/>
      <c r="AK284" s="1300"/>
      <c r="AL284" s="1090"/>
      <c r="AM284" s="1297"/>
      <c r="AN284" s="1297"/>
      <c r="AO284" s="1298"/>
      <c r="AP284" s="1301"/>
      <c r="AQ284" s="1298"/>
      <c r="AR284" s="1301"/>
      <c r="AS284" s="1301"/>
      <c r="AT284" s="1297"/>
      <c r="AU284" s="1299"/>
      <c r="AV284" s="1302"/>
    </row>
    <row r="285" spans="1:48" ht="16.5" customHeight="1">
      <c r="A285" s="1073"/>
      <c r="B285" s="1038"/>
      <c r="C285" s="1186"/>
      <c r="D285" s="1151"/>
      <c r="E285" s="1105"/>
      <c r="F285" s="1289"/>
      <c r="G285" s="1074"/>
      <c r="H285" s="1077"/>
      <c r="I285" s="1234"/>
      <c r="J285" s="1103"/>
      <c r="K285" s="1235"/>
      <c r="L285" s="1304"/>
      <c r="M285" s="1295"/>
      <c r="N285" s="1074"/>
      <c r="O285" s="1126"/>
      <c r="P285" s="1192"/>
      <c r="Q285" s="1107"/>
      <c r="R285" s="1095"/>
      <c r="S285" s="1096"/>
      <c r="T285" s="1134"/>
      <c r="U285" s="1091"/>
      <c r="V285" s="1073"/>
      <c r="W285" s="1079"/>
      <c r="X285" s="1078"/>
      <c r="Y285" s="1039"/>
      <c r="Z285" s="1286"/>
      <c r="AA285" s="1074"/>
      <c r="AB285" s="1126"/>
      <c r="AC285" s="1107"/>
      <c r="AD285" s="1108"/>
      <c r="AE285" s="1108"/>
      <c r="AF285" s="1305"/>
      <c r="AG285" s="1306"/>
      <c r="AH285" s="1307"/>
      <c r="AI285" s="1307"/>
      <c r="AJ285" s="1308"/>
      <c r="AK285" s="1309"/>
      <c r="AL285" s="1120"/>
      <c r="AM285" s="1306"/>
      <c r="AN285" s="1306"/>
      <c r="AO285" s="1307"/>
      <c r="AP285" s="1310"/>
      <c r="AQ285" s="1307"/>
      <c r="AR285" s="1310"/>
      <c r="AS285" s="1310"/>
      <c r="AT285" s="1306"/>
      <c r="AU285" s="1308"/>
      <c r="AV285" s="1311"/>
    </row>
    <row r="286" spans="1:48" ht="16.5" customHeight="1">
      <c r="A286" s="1169">
        <v>22</v>
      </c>
      <c r="B286" s="1033" t="s">
        <v>25</v>
      </c>
      <c r="C286" s="1036" t="s">
        <v>333</v>
      </c>
      <c r="D286" s="1170"/>
      <c r="E286" s="1034"/>
      <c r="F286" s="1171" t="s">
        <v>332</v>
      </c>
      <c r="G286" s="1172" t="s">
        <v>25</v>
      </c>
      <c r="H286" s="1173" t="s">
        <v>29</v>
      </c>
      <c r="I286" s="1275">
        <v>135.411</v>
      </c>
      <c r="J286" s="1175" t="s">
        <v>41</v>
      </c>
      <c r="K286" s="1041" t="s">
        <v>331</v>
      </c>
      <c r="L286" s="1129" t="s">
        <v>46</v>
      </c>
      <c r="M286" s="1176"/>
      <c r="N286" s="1170" t="s">
        <v>25</v>
      </c>
      <c r="O286" s="1177" t="s">
        <v>26</v>
      </c>
      <c r="P286" s="1178">
        <v>1</v>
      </c>
      <c r="Q286" s="1212">
        <v>74.03</v>
      </c>
      <c r="R286" s="1035" t="s">
        <v>25</v>
      </c>
      <c r="S286" s="1034" t="s">
        <v>24</v>
      </c>
      <c r="T286" s="1048"/>
      <c r="U286" s="1180"/>
      <c r="V286" s="1047"/>
      <c r="W286" s="1052"/>
      <c r="X286" s="1051"/>
      <c r="Y286" s="1036"/>
      <c r="Z286" s="1312"/>
      <c r="AA286" s="1170"/>
      <c r="AB286" s="1173"/>
      <c r="AC286" s="1047"/>
      <c r="AD286" s="1055"/>
      <c r="AE286" s="1032"/>
      <c r="AF286" s="1056">
        <f>Resum!F1</f>
        <v>356000</v>
      </c>
      <c r="AG286" s="1086">
        <f>AF286*I286</f>
        <v>48206316</v>
      </c>
      <c r="AH286" s="1058">
        <v>2530000</v>
      </c>
      <c r="AI286" s="1087">
        <f>AH286*Q286*0.9</f>
        <v>168566310</v>
      </c>
      <c r="AJ286" s="1182">
        <f>SUM(AI286:AI292)</f>
        <v>180536810</v>
      </c>
      <c r="AK286" s="1060"/>
      <c r="AL286" s="1090"/>
      <c r="AM286" s="1057">
        <f>SUM(AL286:AL293)</f>
        <v>860000</v>
      </c>
      <c r="AN286" s="1086">
        <f>AM286+AJ286+AG286</f>
        <v>229603126</v>
      </c>
      <c r="AO286" s="1058"/>
      <c r="AP286" s="1136">
        <f>(AG286+AI286)*15%</f>
        <v>32515893.899999999</v>
      </c>
      <c r="AQ286" s="1087">
        <f>(AG286+AI286)*1%</f>
        <v>2167726.2600000002</v>
      </c>
      <c r="AR286" s="1136">
        <f>(AG286+AI286)*5%</f>
        <v>10838631.300000001</v>
      </c>
      <c r="AS286" s="1087">
        <f>0.5%*(AG286+AI286)*(3)</f>
        <v>3251589.3900000006</v>
      </c>
      <c r="AT286" s="1086">
        <f>+AS286+AR286+AQ286+AP286+AO286</f>
        <v>48773840.850000001</v>
      </c>
      <c r="AU286" s="1137">
        <f>ROUND(AT286+AN286,-3)</f>
        <v>278377000</v>
      </c>
      <c r="AV286" s="1041"/>
    </row>
    <row r="287" spans="1:48" ht="16.5" customHeight="1">
      <c r="A287" s="1073"/>
      <c r="B287" s="1038" t="s">
        <v>16</v>
      </c>
      <c r="C287" s="1071" t="s">
        <v>330</v>
      </c>
      <c r="D287" s="1074"/>
      <c r="E287" s="1063"/>
      <c r="F287" s="1138"/>
      <c r="G287" s="1074" t="s">
        <v>16</v>
      </c>
      <c r="H287" s="1074" t="s">
        <v>22</v>
      </c>
      <c r="I287" s="1127"/>
      <c r="J287" s="1128"/>
      <c r="K287" s="1067"/>
      <c r="L287" s="1139"/>
      <c r="M287" s="1130"/>
      <c r="N287" s="1074" t="s">
        <v>16</v>
      </c>
      <c r="O287" s="1131" t="s">
        <v>21</v>
      </c>
      <c r="P287" s="1132">
        <v>1</v>
      </c>
      <c r="Q287" s="1213">
        <v>6.6</v>
      </c>
      <c r="R287" s="1038"/>
      <c r="S287" s="1074"/>
      <c r="T287" s="1144"/>
      <c r="U287" s="1184"/>
      <c r="V287" s="1313"/>
      <c r="W287" s="1314"/>
      <c r="X287" s="1315"/>
      <c r="Y287" s="1316"/>
      <c r="Z287" s="1183"/>
      <c r="AA287" s="1074"/>
      <c r="AB287" s="1126"/>
      <c r="AC287" s="1073"/>
      <c r="AD287" s="1084"/>
      <c r="AE287" s="1062"/>
      <c r="AF287" s="1085"/>
      <c r="AG287" s="1086"/>
      <c r="AH287" s="1087">
        <v>350000</v>
      </c>
      <c r="AI287" s="1087">
        <f>AH287*Q287*0.75</f>
        <v>1732500</v>
      </c>
      <c r="AJ287" s="1088"/>
      <c r="AK287" s="1089"/>
      <c r="AL287" s="1090"/>
      <c r="AM287" s="1086"/>
      <c r="AN287" s="1086"/>
      <c r="AO287" s="1087"/>
      <c r="AP287" s="1076"/>
      <c r="AQ287" s="1087"/>
      <c r="AR287" s="1076"/>
      <c r="AS287" s="1076"/>
      <c r="AT287" s="1086"/>
      <c r="AU287" s="1088"/>
      <c r="AV287" s="1067"/>
    </row>
    <row r="288" spans="1:48" ht="16.5" customHeight="1">
      <c r="A288" s="1073"/>
      <c r="B288" s="1038" t="s">
        <v>18</v>
      </c>
      <c r="C288" s="1039" t="s">
        <v>60</v>
      </c>
      <c r="D288" s="1074"/>
      <c r="E288" s="1074"/>
      <c r="F288" s="1138"/>
      <c r="G288" s="1074" t="s">
        <v>18</v>
      </c>
      <c r="H288" s="1074" t="s">
        <v>19</v>
      </c>
      <c r="I288" s="1127"/>
      <c r="J288" s="1128"/>
      <c r="K288" s="1067"/>
      <c r="L288" s="1139"/>
      <c r="M288" s="1130"/>
      <c r="N288" s="1074" t="s">
        <v>18</v>
      </c>
      <c r="O288" s="1131" t="s">
        <v>199</v>
      </c>
      <c r="P288" s="1132">
        <v>1</v>
      </c>
      <c r="Q288" s="1213">
        <v>39.68</v>
      </c>
      <c r="R288" s="1038" t="s">
        <v>16</v>
      </c>
      <c r="S288" s="1074" t="s">
        <v>15</v>
      </c>
      <c r="T288" s="1075">
        <v>5</v>
      </c>
      <c r="U288" s="1091">
        <v>1</v>
      </c>
      <c r="V288" s="1073" t="s">
        <v>14</v>
      </c>
      <c r="W288" s="1140">
        <v>2</v>
      </c>
      <c r="X288" s="1141">
        <v>0</v>
      </c>
      <c r="Y288" s="1142">
        <v>0</v>
      </c>
      <c r="Z288" s="1143">
        <f>SUM(W288:Y288)</f>
        <v>2</v>
      </c>
      <c r="AA288" s="1074"/>
      <c r="AB288" s="1126"/>
      <c r="AC288" s="1073"/>
      <c r="AD288" s="1084"/>
      <c r="AE288" s="1062"/>
      <c r="AF288" s="1085"/>
      <c r="AG288" s="1086"/>
      <c r="AH288" s="1087">
        <v>125000</v>
      </c>
      <c r="AI288" s="1087">
        <f>AH288*Q288*0.6</f>
        <v>2976000</v>
      </c>
      <c r="AJ288" s="1088"/>
      <c r="AK288" s="1089">
        <v>350000</v>
      </c>
      <c r="AL288" s="1087">
        <f t="shared" ref="AL288:AL345" si="28">AK288*W288</f>
        <v>700000</v>
      </c>
      <c r="AM288" s="1086"/>
      <c r="AN288" s="1086"/>
      <c r="AO288" s="1087"/>
      <c r="AP288" s="1076"/>
      <c r="AQ288" s="1087"/>
      <c r="AR288" s="1076"/>
      <c r="AS288" s="1076"/>
      <c r="AT288" s="1086"/>
      <c r="AU288" s="1088"/>
      <c r="AV288" s="1067"/>
    </row>
    <row r="289" spans="1:48" ht="49.5" customHeight="1">
      <c r="A289" s="1073"/>
      <c r="B289" s="1082" t="s">
        <v>12</v>
      </c>
      <c r="C289" s="1083" t="s">
        <v>13</v>
      </c>
      <c r="D289" s="1074"/>
      <c r="E289" s="1126"/>
      <c r="F289" s="1138"/>
      <c r="G289" s="1074"/>
      <c r="H289" s="1077"/>
      <c r="I289" s="1127"/>
      <c r="J289" s="1128"/>
      <c r="K289" s="1067"/>
      <c r="L289" s="1139"/>
      <c r="M289" s="1130"/>
      <c r="N289" s="1074" t="s">
        <v>12</v>
      </c>
      <c r="O289" s="1131" t="s">
        <v>120</v>
      </c>
      <c r="P289" s="1132">
        <v>1</v>
      </c>
      <c r="Q289" s="1213">
        <v>0.15</v>
      </c>
      <c r="R289" s="1038"/>
      <c r="S289" s="1074"/>
      <c r="T289" s="1144"/>
      <c r="U289" s="1184">
        <v>2</v>
      </c>
      <c r="V289" s="1073" t="s">
        <v>137</v>
      </c>
      <c r="W289" s="1140">
        <v>1</v>
      </c>
      <c r="X289" s="1141">
        <v>0</v>
      </c>
      <c r="Y289" s="1142">
        <v>0</v>
      </c>
      <c r="Z289" s="1143">
        <f>SUM(W289:Y289)</f>
        <v>1</v>
      </c>
      <c r="AA289" s="1074"/>
      <c r="AB289" s="1063"/>
      <c r="AC289" s="1075"/>
      <c r="AD289" s="1084"/>
      <c r="AE289" s="1062"/>
      <c r="AF289" s="1085"/>
      <c r="AG289" s="1086"/>
      <c r="AH289" s="1087">
        <v>200000</v>
      </c>
      <c r="AI289" s="1087">
        <f>AH289*Q289*0.5</f>
        <v>15000</v>
      </c>
      <c r="AJ289" s="1088"/>
      <c r="AK289" s="1089">
        <v>125000</v>
      </c>
      <c r="AL289" s="1090">
        <f t="shared" si="28"/>
        <v>125000</v>
      </c>
      <c r="AM289" s="1086"/>
      <c r="AN289" s="1086"/>
      <c r="AO289" s="1087"/>
      <c r="AP289" s="1076"/>
      <c r="AQ289" s="1087"/>
      <c r="AR289" s="1076"/>
      <c r="AS289" s="1076"/>
      <c r="AT289" s="1086"/>
      <c r="AU289" s="1088"/>
      <c r="AV289" s="1067"/>
    </row>
    <row r="290" spans="1:48" ht="16.5" customHeight="1">
      <c r="A290" s="1073"/>
      <c r="B290" s="1082" t="s">
        <v>8</v>
      </c>
      <c r="C290" s="1083" t="s">
        <v>329</v>
      </c>
      <c r="D290" s="1074"/>
      <c r="E290" s="1126"/>
      <c r="F290" s="1138"/>
      <c r="G290" s="1074"/>
      <c r="H290" s="1077"/>
      <c r="I290" s="1127"/>
      <c r="J290" s="1128"/>
      <c r="K290" s="1067"/>
      <c r="L290" s="1139"/>
      <c r="M290" s="1130"/>
      <c r="N290" s="1074" t="s">
        <v>8</v>
      </c>
      <c r="O290" s="1131" t="s">
        <v>17</v>
      </c>
      <c r="P290" s="1132">
        <v>1</v>
      </c>
      <c r="Q290" s="1213">
        <v>1</v>
      </c>
      <c r="R290" s="1038"/>
      <c r="S290" s="1074"/>
      <c r="T290" s="1144"/>
      <c r="U290" s="1184">
        <v>3</v>
      </c>
      <c r="V290" s="1073" t="s">
        <v>328</v>
      </c>
      <c r="W290" s="1140">
        <v>2</v>
      </c>
      <c r="X290" s="1141">
        <v>0</v>
      </c>
      <c r="Y290" s="1142">
        <v>0</v>
      </c>
      <c r="Z290" s="1143">
        <f>SUM(W290:Y290)</f>
        <v>2</v>
      </c>
      <c r="AA290" s="1074"/>
      <c r="AB290" s="1063"/>
      <c r="AC290" s="1075"/>
      <c r="AD290" s="1084"/>
      <c r="AE290" s="1062"/>
      <c r="AF290" s="1085"/>
      <c r="AG290" s="1086"/>
      <c r="AH290" s="1087">
        <v>2500000</v>
      </c>
      <c r="AI290" s="1087">
        <f>AH290*Q290*0.5</f>
        <v>1250000</v>
      </c>
      <c r="AJ290" s="1088"/>
      <c r="AK290" s="1089">
        <v>15000</v>
      </c>
      <c r="AL290" s="1090">
        <f t="shared" si="28"/>
        <v>30000</v>
      </c>
      <c r="AM290" s="1086"/>
      <c r="AN290" s="1086"/>
      <c r="AO290" s="1087"/>
      <c r="AP290" s="1076"/>
      <c r="AQ290" s="1087"/>
      <c r="AR290" s="1076"/>
      <c r="AS290" s="1076"/>
      <c r="AT290" s="1086"/>
      <c r="AU290" s="1088"/>
      <c r="AV290" s="1067"/>
    </row>
    <row r="291" spans="1:48" ht="16.5" customHeight="1">
      <c r="A291" s="1073"/>
      <c r="B291" s="1082"/>
      <c r="C291" s="1083"/>
      <c r="D291" s="1074"/>
      <c r="E291" s="1126"/>
      <c r="F291" s="1138"/>
      <c r="G291" s="1074"/>
      <c r="H291" s="1077"/>
      <c r="I291" s="1127"/>
      <c r="J291" s="1128"/>
      <c r="K291" s="1067"/>
      <c r="L291" s="1139"/>
      <c r="M291" s="1130"/>
      <c r="N291" s="1074" t="s">
        <v>54</v>
      </c>
      <c r="O291" s="1131" t="s">
        <v>11</v>
      </c>
      <c r="P291" s="1132">
        <v>1</v>
      </c>
      <c r="Q291" s="1213">
        <v>1</v>
      </c>
      <c r="R291" s="1038"/>
      <c r="S291" s="1074"/>
      <c r="T291" s="1144"/>
      <c r="U291" s="1184">
        <v>4</v>
      </c>
      <c r="V291" s="1073" t="s">
        <v>6</v>
      </c>
      <c r="W291" s="1140">
        <v>0</v>
      </c>
      <c r="X291" s="1141">
        <v>1</v>
      </c>
      <c r="Y291" s="1194">
        <v>0</v>
      </c>
      <c r="Z291" s="1143">
        <f>SUM(W291:Y291)</f>
        <v>1</v>
      </c>
      <c r="AA291" s="1074"/>
      <c r="AB291" s="1063"/>
      <c r="AC291" s="1075"/>
      <c r="AD291" s="1084"/>
      <c r="AE291" s="1062"/>
      <c r="AF291" s="1085"/>
      <c r="AG291" s="1086"/>
      <c r="AH291" s="1087">
        <v>2500000</v>
      </c>
      <c r="AI291" s="1087">
        <f>AH291*Q291*0.75</f>
        <v>1875000</v>
      </c>
      <c r="AJ291" s="1088"/>
      <c r="AK291" s="1089">
        <v>5000</v>
      </c>
      <c r="AL291" s="1090">
        <f>AK291*X291</f>
        <v>5000</v>
      </c>
      <c r="AM291" s="1086"/>
      <c r="AN291" s="1086"/>
      <c r="AO291" s="1087"/>
      <c r="AP291" s="1076"/>
      <c r="AQ291" s="1087"/>
      <c r="AR291" s="1076"/>
      <c r="AS291" s="1076"/>
      <c r="AT291" s="1086"/>
      <c r="AU291" s="1088"/>
      <c r="AV291" s="1067"/>
    </row>
    <row r="292" spans="1:48" ht="16.5" customHeight="1">
      <c r="A292" s="1073"/>
      <c r="B292" s="1082"/>
      <c r="C292" s="1083"/>
      <c r="D292" s="1074"/>
      <c r="E292" s="1126"/>
      <c r="F292" s="1138"/>
      <c r="G292" s="1074"/>
      <c r="H292" s="1077"/>
      <c r="I292" s="1127"/>
      <c r="J292" s="1128"/>
      <c r="K292" s="1067"/>
      <c r="L292" s="1139"/>
      <c r="M292" s="1130"/>
      <c r="N292" s="1074" t="s">
        <v>53</v>
      </c>
      <c r="O292" s="1131" t="s">
        <v>121</v>
      </c>
      <c r="P292" s="1132">
        <v>1</v>
      </c>
      <c r="Q292" s="1213">
        <v>22.9</v>
      </c>
      <c r="R292" s="1038"/>
      <c r="S292" s="1074"/>
      <c r="T292" s="1144"/>
      <c r="U292" s="1184">
        <v>5</v>
      </c>
      <c r="V292" s="1073" t="s">
        <v>0</v>
      </c>
      <c r="W292" s="1140">
        <v>0</v>
      </c>
      <c r="X292" s="1141">
        <v>0</v>
      </c>
      <c r="Y292" s="1142">
        <v>0</v>
      </c>
      <c r="Z292" s="1143">
        <v>5</v>
      </c>
      <c r="AA292" s="1074"/>
      <c r="AB292" s="1063"/>
      <c r="AC292" s="1075"/>
      <c r="AD292" s="1084"/>
      <c r="AE292" s="1062"/>
      <c r="AF292" s="1085"/>
      <c r="AG292" s="1086"/>
      <c r="AH292" s="1087">
        <v>300000</v>
      </c>
      <c r="AI292" s="1087">
        <f>AH292*Q292*0.6</f>
        <v>4122000</v>
      </c>
      <c r="AJ292" s="1088"/>
      <c r="AK292" s="1089">
        <v>6000</v>
      </c>
      <c r="AL292" s="1090">
        <f>AK292*W292</f>
        <v>0</v>
      </c>
      <c r="AM292" s="1086"/>
      <c r="AN292" s="1086"/>
      <c r="AO292" s="1087"/>
      <c r="AP292" s="1076"/>
      <c r="AQ292" s="1087"/>
      <c r="AR292" s="1076"/>
      <c r="AS292" s="1076"/>
      <c r="AT292" s="1086"/>
      <c r="AU292" s="1088"/>
      <c r="AV292" s="1067"/>
    </row>
    <row r="293" spans="1:48" ht="16.5" customHeight="1">
      <c r="A293" s="1107"/>
      <c r="B293" s="1095"/>
      <c r="C293" s="1186"/>
      <c r="D293" s="1094"/>
      <c r="E293" s="1149"/>
      <c r="F293" s="1150"/>
      <c r="G293" s="1094"/>
      <c r="H293" s="1151"/>
      <c r="I293" s="1152"/>
      <c r="J293" s="1153"/>
      <c r="K293" s="1101"/>
      <c r="L293" s="1154"/>
      <c r="M293" s="1155"/>
      <c r="N293" s="1094"/>
      <c r="O293" s="1156"/>
      <c r="P293" s="1107"/>
      <c r="Q293" s="1151"/>
      <c r="R293" s="1095"/>
      <c r="S293" s="1094"/>
      <c r="T293" s="1168"/>
      <c r="U293" s="1109"/>
      <c r="V293" s="1107"/>
      <c r="W293" s="1111"/>
      <c r="X293" s="1110"/>
      <c r="Y293" s="1096"/>
      <c r="Z293" s="1166"/>
      <c r="AA293" s="1094"/>
      <c r="AB293" s="1151"/>
      <c r="AC293" s="1107"/>
      <c r="AD293" s="1114"/>
      <c r="AE293" s="1093"/>
      <c r="AF293" s="1115"/>
      <c r="AG293" s="1116"/>
      <c r="AH293" s="1117"/>
      <c r="AI293" s="1117"/>
      <c r="AJ293" s="1118"/>
      <c r="AK293" s="1119"/>
      <c r="AL293" s="1120"/>
      <c r="AM293" s="1116"/>
      <c r="AN293" s="1116"/>
      <c r="AO293" s="1117"/>
      <c r="AP293" s="1108"/>
      <c r="AQ293" s="1117"/>
      <c r="AR293" s="1108"/>
      <c r="AS293" s="1108"/>
      <c r="AT293" s="1116"/>
      <c r="AU293" s="1118"/>
      <c r="AV293" s="1101"/>
    </row>
    <row r="294" spans="1:48" ht="16.5" customHeight="1">
      <c r="A294" s="1169">
        <v>23</v>
      </c>
      <c r="B294" s="1033" t="s">
        <v>25</v>
      </c>
      <c r="C294" s="1036" t="s">
        <v>327</v>
      </c>
      <c r="D294" s="1034"/>
      <c r="E294" s="1199"/>
      <c r="F294" s="1171" t="s">
        <v>326</v>
      </c>
      <c r="G294" s="1172" t="s">
        <v>25</v>
      </c>
      <c r="H294" s="1173" t="s">
        <v>29</v>
      </c>
      <c r="I294" s="1275">
        <v>132</v>
      </c>
      <c r="J294" s="1175" t="s">
        <v>41</v>
      </c>
      <c r="K294" s="1041" t="s">
        <v>325</v>
      </c>
      <c r="L294" s="1129" t="s">
        <v>46</v>
      </c>
      <c r="M294" s="1176"/>
      <c r="N294" s="1170" t="s">
        <v>25</v>
      </c>
      <c r="O294" s="1177" t="s">
        <v>26</v>
      </c>
      <c r="P294" s="1178">
        <v>1</v>
      </c>
      <c r="Q294" s="1212">
        <v>75.599999999999994</v>
      </c>
      <c r="R294" s="1035" t="s">
        <v>25</v>
      </c>
      <c r="S294" s="1034" t="s">
        <v>24</v>
      </c>
      <c r="T294" s="1048"/>
      <c r="U294" s="1180"/>
      <c r="V294" s="1047"/>
      <c r="W294" s="1052"/>
      <c r="X294" s="1051"/>
      <c r="Y294" s="1036"/>
      <c r="Z294" s="1134"/>
      <c r="AA294" s="1170"/>
      <c r="AB294" s="1173"/>
      <c r="AC294" s="1047"/>
      <c r="AD294" s="1055"/>
      <c r="AE294" s="1032"/>
      <c r="AF294" s="1056">
        <f>Resum!F1</f>
        <v>356000</v>
      </c>
      <c r="AG294" s="1086">
        <f>AF294*I294</f>
        <v>46992000</v>
      </c>
      <c r="AH294" s="1058">
        <v>1800000</v>
      </c>
      <c r="AI294" s="1087">
        <f>AH294*Q294*0.8</f>
        <v>108864000</v>
      </c>
      <c r="AJ294" s="1182">
        <f>SUM(AI294:AI303)</f>
        <v>121828700</v>
      </c>
      <c r="AK294" s="1060"/>
      <c r="AL294" s="1090"/>
      <c r="AM294" s="1057">
        <f>SUM(AL294:AL303)</f>
        <v>430000</v>
      </c>
      <c r="AN294" s="1086">
        <f>AM294+AJ294+AG294</f>
        <v>169250700</v>
      </c>
      <c r="AO294" s="1058"/>
      <c r="AP294" s="1136">
        <f>(AG294+AI294)*15%</f>
        <v>23378400</v>
      </c>
      <c r="AQ294" s="1087">
        <f>(AG294+AI294)*1%</f>
        <v>1558560</v>
      </c>
      <c r="AR294" s="1136">
        <f>(AG294+AI294)*5%</f>
        <v>7792800</v>
      </c>
      <c r="AS294" s="1087">
        <f>0.5%*(AG294+AI294)*(3)</f>
        <v>2337840</v>
      </c>
      <c r="AT294" s="1086">
        <f>+AS294+AR294+AQ294+AP294+AO294</f>
        <v>35067600</v>
      </c>
      <c r="AU294" s="1137">
        <f>ROUND(AT294+AN294,-3)</f>
        <v>204318000</v>
      </c>
      <c r="AV294" s="1041"/>
    </row>
    <row r="295" spans="1:48" ht="16.5" customHeight="1">
      <c r="A295" s="1073"/>
      <c r="B295" s="1038" t="s">
        <v>16</v>
      </c>
      <c r="C295" s="1071" t="s">
        <v>324</v>
      </c>
      <c r="D295" s="1074"/>
      <c r="E295" s="1204"/>
      <c r="F295" s="1138"/>
      <c r="G295" s="1074" t="s">
        <v>16</v>
      </c>
      <c r="H295" s="1074" t="s">
        <v>22</v>
      </c>
      <c r="I295" s="1127"/>
      <c r="J295" s="1128"/>
      <c r="K295" s="1067"/>
      <c r="L295" s="1139"/>
      <c r="M295" s="1130"/>
      <c r="N295" s="1074" t="s">
        <v>16</v>
      </c>
      <c r="O295" s="1131" t="s">
        <v>323</v>
      </c>
      <c r="P295" s="1132">
        <v>1</v>
      </c>
      <c r="Q295" s="1213">
        <v>24</v>
      </c>
      <c r="R295" s="1038"/>
      <c r="S295" s="1074"/>
      <c r="T295" s="1075"/>
      <c r="U295" s="1091">
        <v>1</v>
      </c>
      <c r="V295" s="1073" t="s">
        <v>322</v>
      </c>
      <c r="W295" s="1140">
        <v>3</v>
      </c>
      <c r="X295" s="1141">
        <v>0</v>
      </c>
      <c r="Y295" s="1142"/>
      <c r="Z295" s="1134"/>
      <c r="AA295" s="1074"/>
      <c r="AB295" s="1126"/>
      <c r="AC295" s="1073"/>
      <c r="AD295" s="1084"/>
      <c r="AE295" s="1062"/>
      <c r="AF295" s="1085"/>
      <c r="AG295" s="1086"/>
      <c r="AH295" s="1087">
        <v>430000</v>
      </c>
      <c r="AI295" s="1087">
        <f>AH295*Q295*0.5</f>
        <v>5160000</v>
      </c>
      <c r="AJ295" s="1088"/>
      <c r="AK295" s="1089">
        <v>5000</v>
      </c>
      <c r="AL295" s="1090">
        <f>AK295*W295</f>
        <v>15000</v>
      </c>
      <c r="AM295" s="1086"/>
      <c r="AN295" s="1086"/>
      <c r="AO295" s="1087"/>
      <c r="AP295" s="1076"/>
      <c r="AQ295" s="1087"/>
      <c r="AR295" s="1076"/>
      <c r="AS295" s="1076"/>
      <c r="AT295" s="1086"/>
      <c r="AU295" s="1088"/>
      <c r="AV295" s="1067"/>
    </row>
    <row r="296" spans="1:48" ht="16.5" customHeight="1">
      <c r="A296" s="1073"/>
      <c r="B296" s="1038" t="s">
        <v>18</v>
      </c>
      <c r="C296" s="1039" t="s">
        <v>60</v>
      </c>
      <c r="D296" s="1074"/>
      <c r="E296" s="1204"/>
      <c r="F296" s="1138"/>
      <c r="G296" s="1074" t="s">
        <v>18</v>
      </c>
      <c r="H296" s="1074" t="s">
        <v>19</v>
      </c>
      <c r="I296" s="1127"/>
      <c r="J296" s="1128"/>
      <c r="K296" s="1067"/>
      <c r="L296" s="1139"/>
      <c r="M296" s="1130"/>
      <c r="N296" s="1074" t="s">
        <v>18</v>
      </c>
      <c r="O296" s="1131" t="s">
        <v>52</v>
      </c>
      <c r="P296" s="1132">
        <v>1</v>
      </c>
      <c r="Q296" s="1213">
        <v>8.64</v>
      </c>
      <c r="R296" s="1038" t="s">
        <v>16</v>
      </c>
      <c r="S296" s="1074" t="s">
        <v>15</v>
      </c>
      <c r="T296" s="1075">
        <v>4</v>
      </c>
      <c r="U296" s="1091"/>
      <c r="V296" s="1073" t="s">
        <v>322</v>
      </c>
      <c r="W296" s="1140"/>
      <c r="X296" s="1141">
        <v>0</v>
      </c>
      <c r="Y296" s="1142">
        <v>112</v>
      </c>
      <c r="Z296" s="1143">
        <f>SUM(W296:Y296)</f>
        <v>112</v>
      </c>
      <c r="AA296" s="1074"/>
      <c r="AB296" s="1126"/>
      <c r="AC296" s="1073"/>
      <c r="AD296" s="1084"/>
      <c r="AE296" s="1062"/>
      <c r="AF296" s="1085"/>
      <c r="AG296" s="1086"/>
      <c r="AH296" s="1087">
        <v>210000</v>
      </c>
      <c r="AI296" s="1087">
        <f>AH296*Q296*0.5</f>
        <v>907200.00000000012</v>
      </c>
      <c r="AJ296" s="1088"/>
      <c r="AK296" s="1089">
        <v>2000</v>
      </c>
      <c r="AL296" s="1090">
        <f>AK296*Y296</f>
        <v>224000</v>
      </c>
      <c r="AM296" s="1086"/>
      <c r="AN296" s="1086"/>
      <c r="AO296" s="1087"/>
      <c r="AP296" s="1076"/>
      <c r="AQ296" s="1087"/>
      <c r="AR296" s="1076"/>
      <c r="AS296" s="1076"/>
      <c r="AT296" s="1086"/>
      <c r="AU296" s="1088"/>
      <c r="AV296" s="1067"/>
    </row>
    <row r="297" spans="1:48" ht="49.5" customHeight="1">
      <c r="A297" s="1073"/>
      <c r="B297" s="1082" t="s">
        <v>12</v>
      </c>
      <c r="C297" s="1083" t="s">
        <v>123</v>
      </c>
      <c r="D297" s="1074"/>
      <c r="E297" s="1204"/>
      <c r="F297" s="1138"/>
      <c r="G297" s="1074"/>
      <c r="H297" s="1077"/>
      <c r="I297" s="1127"/>
      <c r="J297" s="1128"/>
      <c r="K297" s="1067"/>
      <c r="L297" s="1139"/>
      <c r="M297" s="1130"/>
      <c r="N297" s="1074" t="s">
        <v>12</v>
      </c>
      <c r="O297" s="1131" t="s">
        <v>21</v>
      </c>
      <c r="P297" s="1132">
        <v>1</v>
      </c>
      <c r="Q297" s="1213">
        <v>6.6</v>
      </c>
      <c r="R297" s="1038"/>
      <c r="S297" s="1074"/>
      <c r="T297" s="1075"/>
      <c r="U297" s="1184">
        <v>2</v>
      </c>
      <c r="V297" s="1185" t="s">
        <v>143</v>
      </c>
      <c r="W297" s="1140">
        <v>3</v>
      </c>
      <c r="X297" s="1141">
        <v>0</v>
      </c>
      <c r="Y297" s="1142">
        <v>0</v>
      </c>
      <c r="Z297" s="1143">
        <f>SUM(W297:Y297)</f>
        <v>3</v>
      </c>
      <c r="AA297" s="1074"/>
      <c r="AB297" s="1126"/>
      <c r="AC297" s="1073"/>
      <c r="AD297" s="1084"/>
      <c r="AE297" s="1062"/>
      <c r="AF297" s="1085"/>
      <c r="AG297" s="1086"/>
      <c r="AH297" s="1087">
        <v>250000</v>
      </c>
      <c r="AI297" s="1087">
        <f>AH297*Q297*0.65</f>
        <v>1072500</v>
      </c>
      <c r="AJ297" s="1088"/>
      <c r="AK297" s="1089">
        <v>10000</v>
      </c>
      <c r="AL297" s="1090">
        <f>AK297*W297</f>
        <v>30000</v>
      </c>
      <c r="AM297" s="1086"/>
      <c r="AN297" s="1086"/>
      <c r="AO297" s="1087"/>
      <c r="AP297" s="1076"/>
      <c r="AQ297" s="1087"/>
      <c r="AR297" s="1076"/>
      <c r="AS297" s="1076"/>
      <c r="AT297" s="1086"/>
      <c r="AU297" s="1088"/>
      <c r="AV297" s="1067"/>
    </row>
    <row r="298" spans="1:48" ht="16.5" customHeight="1">
      <c r="A298" s="1073"/>
      <c r="B298" s="1082" t="s">
        <v>8</v>
      </c>
      <c r="C298" s="1083" t="s">
        <v>321</v>
      </c>
      <c r="D298" s="1074"/>
      <c r="E298" s="1204"/>
      <c r="F298" s="1138"/>
      <c r="G298" s="1074"/>
      <c r="H298" s="1077"/>
      <c r="I298" s="1127"/>
      <c r="J298" s="1128"/>
      <c r="K298" s="1067"/>
      <c r="L298" s="1139"/>
      <c r="M298" s="1130"/>
      <c r="N298" s="1074" t="s">
        <v>8</v>
      </c>
      <c r="O298" s="1131" t="s">
        <v>17</v>
      </c>
      <c r="P298" s="1132">
        <v>1</v>
      </c>
      <c r="Q298" s="1213">
        <v>1</v>
      </c>
      <c r="R298" s="1038"/>
      <c r="S298" s="1074"/>
      <c r="T298" s="1075"/>
      <c r="U298" s="1184">
        <v>3</v>
      </c>
      <c r="V298" s="1185" t="s">
        <v>232</v>
      </c>
      <c r="W298" s="1140">
        <v>5</v>
      </c>
      <c r="X298" s="1141">
        <v>0</v>
      </c>
      <c r="Y298" s="1142">
        <v>0</v>
      </c>
      <c r="Z298" s="1143">
        <f>SUM(W298:Y298)</f>
        <v>5</v>
      </c>
      <c r="AA298" s="1074"/>
      <c r="AB298" s="1126"/>
      <c r="AC298" s="1073"/>
      <c r="AD298" s="1084"/>
      <c r="AE298" s="1062"/>
      <c r="AF298" s="1085"/>
      <c r="AG298" s="1086"/>
      <c r="AH298" s="1087">
        <v>2500000</v>
      </c>
      <c r="AI298" s="1087">
        <f>AH298*Q298*0.5</f>
        <v>1250000</v>
      </c>
      <c r="AJ298" s="1088"/>
      <c r="AK298" s="1089">
        <v>25000</v>
      </c>
      <c r="AL298" s="1090">
        <f>AK298*W298</f>
        <v>125000</v>
      </c>
      <c r="AM298" s="1086"/>
      <c r="AN298" s="1086"/>
      <c r="AO298" s="1087"/>
      <c r="AP298" s="1076"/>
      <c r="AQ298" s="1087"/>
      <c r="AR298" s="1076"/>
      <c r="AS298" s="1076"/>
      <c r="AT298" s="1086"/>
      <c r="AU298" s="1088"/>
      <c r="AV298" s="1067"/>
    </row>
    <row r="299" spans="1:48" ht="16.5" customHeight="1">
      <c r="A299" s="1073"/>
      <c r="B299" s="1082"/>
      <c r="C299" s="1083"/>
      <c r="D299" s="1074"/>
      <c r="E299" s="1204"/>
      <c r="F299" s="1138"/>
      <c r="G299" s="1074"/>
      <c r="H299" s="1077"/>
      <c r="I299" s="1127"/>
      <c r="J299" s="1128"/>
      <c r="K299" s="1067"/>
      <c r="L299" s="1139"/>
      <c r="M299" s="1130"/>
      <c r="N299" s="1074" t="s">
        <v>54</v>
      </c>
      <c r="O299" s="1131" t="s">
        <v>11</v>
      </c>
      <c r="P299" s="1132">
        <v>1</v>
      </c>
      <c r="Q299" s="1213">
        <v>1</v>
      </c>
      <c r="R299" s="1038"/>
      <c r="S299" s="1074"/>
      <c r="T299" s="1075"/>
      <c r="U299" s="1184">
        <v>4</v>
      </c>
      <c r="V299" s="1185" t="s">
        <v>0</v>
      </c>
      <c r="W299" s="1140">
        <v>6</v>
      </c>
      <c r="X299" s="1141">
        <v>0</v>
      </c>
      <c r="Y299" s="1142">
        <v>0</v>
      </c>
      <c r="Z299" s="1143">
        <f>SUM(W299:Y299)</f>
        <v>6</v>
      </c>
      <c r="AA299" s="1074"/>
      <c r="AB299" s="1126"/>
      <c r="AC299" s="1073"/>
      <c r="AD299" s="1084"/>
      <c r="AE299" s="1062"/>
      <c r="AF299" s="1085"/>
      <c r="AG299" s="1086"/>
      <c r="AH299" s="1087">
        <v>2500000</v>
      </c>
      <c r="AI299" s="1087">
        <f>AH299*Q299*0.75</f>
        <v>1875000</v>
      </c>
      <c r="AJ299" s="1088"/>
      <c r="AK299" s="1089">
        <v>6000</v>
      </c>
      <c r="AL299" s="1090">
        <f t="shared" si="28"/>
        <v>36000</v>
      </c>
      <c r="AM299" s="1086"/>
      <c r="AN299" s="1086"/>
      <c r="AO299" s="1087"/>
      <c r="AP299" s="1076"/>
      <c r="AQ299" s="1087"/>
      <c r="AR299" s="1076"/>
      <c r="AS299" s="1076"/>
      <c r="AT299" s="1086"/>
      <c r="AU299" s="1088"/>
      <c r="AV299" s="1067"/>
    </row>
    <row r="300" spans="1:48" ht="16.5" customHeight="1">
      <c r="A300" s="1073"/>
      <c r="B300" s="1082"/>
      <c r="C300" s="1083"/>
      <c r="D300" s="1074"/>
      <c r="E300" s="1204"/>
      <c r="F300" s="1138"/>
      <c r="G300" s="1074"/>
      <c r="H300" s="1077"/>
      <c r="I300" s="1127"/>
      <c r="J300" s="1128"/>
      <c r="K300" s="1067"/>
      <c r="L300" s="1139"/>
      <c r="M300" s="1130"/>
      <c r="N300" s="1074" t="s">
        <v>53</v>
      </c>
      <c r="O300" s="1131" t="s">
        <v>320</v>
      </c>
      <c r="P300" s="1132">
        <v>1</v>
      </c>
      <c r="Q300" s="1213">
        <v>12</v>
      </c>
      <c r="R300" s="1038"/>
      <c r="S300" s="1074"/>
      <c r="T300" s="1075"/>
      <c r="U300" s="1184"/>
      <c r="V300" s="1185"/>
      <c r="W300" s="1079"/>
      <c r="X300" s="1078"/>
      <c r="Y300" s="1039"/>
      <c r="Z300" s="1183"/>
      <c r="AA300" s="1074"/>
      <c r="AB300" s="1126"/>
      <c r="AC300" s="1073"/>
      <c r="AD300" s="1084"/>
      <c r="AE300" s="1062"/>
      <c r="AF300" s="1085"/>
      <c r="AG300" s="1086"/>
      <c r="AH300" s="1087">
        <v>350000</v>
      </c>
      <c r="AI300" s="1087">
        <f>AH300*Q300*0.5</f>
        <v>2100000</v>
      </c>
      <c r="AJ300" s="1088"/>
      <c r="AK300" s="1089"/>
      <c r="AL300" s="1090"/>
      <c r="AM300" s="1086"/>
      <c r="AN300" s="1086"/>
      <c r="AO300" s="1087"/>
      <c r="AP300" s="1076"/>
      <c r="AQ300" s="1087"/>
      <c r="AR300" s="1076"/>
      <c r="AS300" s="1076"/>
      <c r="AT300" s="1086"/>
      <c r="AU300" s="1088"/>
      <c r="AV300" s="1067"/>
    </row>
    <row r="301" spans="1:48" ht="16.5" customHeight="1">
      <c r="A301" s="1073"/>
      <c r="B301" s="1082"/>
      <c r="C301" s="1083"/>
      <c r="D301" s="1074"/>
      <c r="E301" s="1204"/>
      <c r="F301" s="1138"/>
      <c r="G301" s="1074"/>
      <c r="H301" s="1077"/>
      <c r="I301" s="1127"/>
      <c r="J301" s="1128"/>
      <c r="K301" s="1067"/>
      <c r="L301" s="1139"/>
      <c r="M301" s="1130"/>
      <c r="N301" s="1074" t="s">
        <v>51</v>
      </c>
      <c r="O301" s="1131" t="s">
        <v>319</v>
      </c>
      <c r="P301" s="1132">
        <v>1</v>
      </c>
      <c r="Q301" s="1213">
        <v>6</v>
      </c>
      <c r="R301" s="1038"/>
      <c r="S301" s="1074"/>
      <c r="T301" s="1075"/>
      <c r="U301" s="1184"/>
      <c r="V301" s="1185"/>
      <c r="W301" s="1079"/>
      <c r="X301" s="1078"/>
      <c r="Y301" s="1039"/>
      <c r="Z301" s="1183"/>
      <c r="AA301" s="1074"/>
      <c r="AB301" s="1126"/>
      <c r="AC301" s="1073"/>
      <c r="AD301" s="1084"/>
      <c r="AE301" s="1062"/>
      <c r="AF301" s="1085"/>
      <c r="AG301" s="1086"/>
      <c r="AH301" s="1087">
        <v>150000</v>
      </c>
      <c r="AI301" s="1087">
        <f>AH301*Q301*0.5</f>
        <v>450000</v>
      </c>
      <c r="AJ301" s="1088"/>
      <c r="AK301" s="1089"/>
      <c r="AL301" s="1090"/>
      <c r="AM301" s="1086"/>
      <c r="AN301" s="1086"/>
      <c r="AO301" s="1087"/>
      <c r="AP301" s="1076"/>
      <c r="AQ301" s="1087"/>
      <c r="AR301" s="1076"/>
      <c r="AS301" s="1076"/>
      <c r="AT301" s="1086"/>
      <c r="AU301" s="1088"/>
      <c r="AV301" s="1067"/>
    </row>
    <row r="302" spans="1:48" ht="16.5" customHeight="1">
      <c r="A302" s="1073"/>
      <c r="B302" s="1082"/>
      <c r="C302" s="1083"/>
      <c r="D302" s="1074"/>
      <c r="E302" s="1204"/>
      <c r="F302" s="1138"/>
      <c r="G302" s="1074"/>
      <c r="H302" s="1077"/>
      <c r="I302" s="1127"/>
      <c r="J302" s="1128"/>
      <c r="K302" s="1067"/>
      <c r="L302" s="1139"/>
      <c r="M302" s="1130"/>
      <c r="N302" s="1074" t="s">
        <v>154</v>
      </c>
      <c r="O302" s="1131" t="s">
        <v>120</v>
      </c>
      <c r="P302" s="1132">
        <v>1</v>
      </c>
      <c r="Q302" s="1213">
        <v>1.5</v>
      </c>
      <c r="R302" s="1038"/>
      <c r="S302" s="1074"/>
      <c r="T302" s="1075"/>
      <c r="U302" s="1184"/>
      <c r="V302" s="1185"/>
      <c r="W302" s="1079"/>
      <c r="X302" s="1078"/>
      <c r="Y302" s="1039"/>
      <c r="Z302" s="1183"/>
      <c r="AA302" s="1074"/>
      <c r="AB302" s="1126"/>
      <c r="AC302" s="1073"/>
      <c r="AD302" s="1084"/>
      <c r="AE302" s="1062"/>
      <c r="AF302" s="1085"/>
      <c r="AG302" s="1086"/>
      <c r="AH302" s="1087">
        <v>200000</v>
      </c>
      <c r="AI302" s="1087">
        <f>AH302*Q302*0.5</f>
        <v>150000</v>
      </c>
      <c r="AJ302" s="1088"/>
      <c r="AK302" s="1089"/>
      <c r="AL302" s="1090"/>
      <c r="AM302" s="1086"/>
      <c r="AN302" s="1086"/>
      <c r="AO302" s="1087"/>
      <c r="AP302" s="1076"/>
      <c r="AQ302" s="1087"/>
      <c r="AR302" s="1076"/>
      <c r="AS302" s="1076"/>
      <c r="AT302" s="1086"/>
      <c r="AU302" s="1088"/>
      <c r="AV302" s="1067"/>
    </row>
    <row r="303" spans="1:48" ht="16.5" customHeight="1">
      <c r="A303" s="1107"/>
      <c r="B303" s="1095"/>
      <c r="C303" s="1186"/>
      <c r="D303" s="1094"/>
      <c r="E303" s="1149"/>
      <c r="F303" s="1150"/>
      <c r="G303" s="1094"/>
      <c r="H303" s="1151"/>
      <c r="I303" s="1152"/>
      <c r="J303" s="1153"/>
      <c r="K303" s="1101"/>
      <c r="L303" s="1154"/>
      <c r="M303" s="1155"/>
      <c r="N303" s="1094"/>
      <c r="O303" s="1156"/>
      <c r="P303" s="1107"/>
      <c r="Q303" s="1151"/>
      <c r="R303" s="1095"/>
      <c r="S303" s="1094"/>
      <c r="T303" s="1168"/>
      <c r="U303" s="1188"/>
      <c r="V303" s="1189"/>
      <c r="W303" s="1111"/>
      <c r="X303" s="1110"/>
      <c r="Y303" s="1096"/>
      <c r="Z303" s="1166"/>
      <c r="AA303" s="1094"/>
      <c r="AB303" s="1156"/>
      <c r="AC303" s="1107"/>
      <c r="AD303" s="1114"/>
      <c r="AE303" s="1093"/>
      <c r="AF303" s="1115"/>
      <c r="AG303" s="1116"/>
      <c r="AH303" s="1117"/>
      <c r="AI303" s="1117"/>
      <c r="AJ303" s="1118"/>
      <c r="AK303" s="1119"/>
      <c r="AL303" s="1120"/>
      <c r="AM303" s="1116"/>
      <c r="AN303" s="1116"/>
      <c r="AO303" s="1117"/>
      <c r="AP303" s="1108"/>
      <c r="AQ303" s="1117"/>
      <c r="AR303" s="1108"/>
      <c r="AS303" s="1108"/>
      <c r="AT303" s="1116"/>
      <c r="AU303" s="1118"/>
      <c r="AV303" s="1101"/>
    </row>
    <row r="304" spans="1:48" ht="16.5" customHeight="1">
      <c r="A304" s="1169">
        <v>24</v>
      </c>
      <c r="B304" s="1033" t="s">
        <v>25</v>
      </c>
      <c r="C304" s="1036" t="s">
        <v>318</v>
      </c>
      <c r="D304" s="1170"/>
      <c r="E304" s="1034"/>
      <c r="F304" s="1171" t="s">
        <v>317</v>
      </c>
      <c r="G304" s="1172" t="s">
        <v>25</v>
      </c>
      <c r="H304" s="1273" t="s">
        <v>29</v>
      </c>
      <c r="I304" s="1275">
        <v>134.18600000000001</v>
      </c>
      <c r="J304" s="1175" t="s">
        <v>41</v>
      </c>
      <c r="K304" s="1041" t="s">
        <v>316</v>
      </c>
      <c r="L304" s="1276"/>
      <c r="M304" s="1048"/>
      <c r="N304" s="1170" t="s">
        <v>25</v>
      </c>
      <c r="O304" s="1177" t="s">
        <v>26</v>
      </c>
      <c r="P304" s="1178">
        <v>1</v>
      </c>
      <c r="Q304" s="1212">
        <v>89.4</v>
      </c>
      <c r="R304" s="1035" t="s">
        <v>25</v>
      </c>
      <c r="S304" s="1034" t="s">
        <v>24</v>
      </c>
      <c r="T304" s="1048"/>
      <c r="U304" s="1180"/>
      <c r="V304" s="1047"/>
      <c r="W304" s="1052"/>
      <c r="X304" s="1051"/>
      <c r="Y304" s="1036"/>
      <c r="Z304" s="1134"/>
      <c r="AA304" s="1034"/>
      <c r="AB304" s="1050"/>
      <c r="AC304" s="1047"/>
      <c r="AD304" s="1180"/>
      <c r="AE304" s="1049"/>
      <c r="AF304" s="1056">
        <f>Resum!F1</f>
        <v>356000</v>
      </c>
      <c r="AG304" s="1086">
        <f>AF304*I304</f>
        <v>47770216</v>
      </c>
      <c r="AH304" s="1058">
        <v>2530000</v>
      </c>
      <c r="AI304" s="1087">
        <f>AH304*Q304*0.9</f>
        <v>203563800</v>
      </c>
      <c r="AJ304" s="1182">
        <f>SUM(AI304:AI311)</f>
        <v>211557300</v>
      </c>
      <c r="AK304" s="1060"/>
      <c r="AL304" s="1090"/>
      <c r="AM304" s="1057">
        <f>SUM(AL304:AL312)</f>
        <v>239000</v>
      </c>
      <c r="AN304" s="1086">
        <f>AM304+AJ304+AG304</f>
        <v>259566516</v>
      </c>
      <c r="AO304" s="1087">
        <f>100000*30*3</f>
        <v>9000000</v>
      </c>
      <c r="AP304" s="1136">
        <f>(AG304+AI304)*15%</f>
        <v>37700102.399999999</v>
      </c>
      <c r="AQ304" s="1087">
        <f>(AG304+AI304)*1%</f>
        <v>2513340.16</v>
      </c>
      <c r="AR304" s="1136">
        <f>(AG304+AI304)*5%</f>
        <v>12566700.800000001</v>
      </c>
      <c r="AS304" s="1087">
        <f>0.5%*(AG304+AI304)*(3)</f>
        <v>3770010.24</v>
      </c>
      <c r="AT304" s="1086">
        <f>+AS304+AR304+AQ304+AP304+AO304</f>
        <v>65550153.600000001</v>
      </c>
      <c r="AU304" s="1137">
        <f>ROUND(AT304+AN304,-3)</f>
        <v>325117000</v>
      </c>
      <c r="AV304" s="1279"/>
    </row>
    <row r="305" spans="1:48" ht="16.5" customHeight="1">
      <c r="A305" s="1073"/>
      <c r="B305" s="1038" t="s">
        <v>16</v>
      </c>
      <c r="C305" s="1071" t="s">
        <v>315</v>
      </c>
      <c r="D305" s="1074"/>
      <c r="E305" s="1063"/>
      <c r="F305" s="1138"/>
      <c r="G305" s="1074" t="s">
        <v>16</v>
      </c>
      <c r="H305" s="1039" t="s">
        <v>22</v>
      </c>
      <c r="I305" s="1127"/>
      <c r="J305" s="1128"/>
      <c r="K305" s="1067"/>
      <c r="L305" s="1221"/>
      <c r="M305" s="1075"/>
      <c r="N305" s="1074" t="s">
        <v>16</v>
      </c>
      <c r="O305" s="1131" t="s">
        <v>21</v>
      </c>
      <c r="P305" s="1132">
        <v>1</v>
      </c>
      <c r="Q305" s="1213">
        <v>7.2</v>
      </c>
      <c r="R305" s="1038"/>
      <c r="S305" s="1074"/>
      <c r="T305" s="1075"/>
      <c r="U305" s="1091"/>
      <c r="V305" s="1073"/>
      <c r="W305" s="1079"/>
      <c r="X305" s="1078"/>
      <c r="Y305" s="1039"/>
      <c r="Z305" s="1134"/>
      <c r="AA305" s="1074"/>
      <c r="AB305" s="1077"/>
      <c r="AC305" s="1073"/>
      <c r="AD305" s="1091"/>
      <c r="AE305" s="1076"/>
      <c r="AF305" s="1085"/>
      <c r="AG305" s="1086"/>
      <c r="AH305" s="1087">
        <v>350000</v>
      </c>
      <c r="AI305" s="1087">
        <f>AH305*Q305*0.75</f>
        <v>1890000</v>
      </c>
      <c r="AJ305" s="1088"/>
      <c r="AK305" s="1089"/>
      <c r="AL305" s="1090"/>
      <c r="AM305" s="1086"/>
      <c r="AN305" s="1086"/>
      <c r="AO305" s="1087"/>
      <c r="AP305" s="1076"/>
      <c r="AQ305" s="1087"/>
      <c r="AR305" s="1076"/>
      <c r="AS305" s="1076"/>
      <c r="AT305" s="1086"/>
      <c r="AU305" s="1088"/>
      <c r="AV305" s="1235"/>
    </row>
    <row r="306" spans="1:48" ht="16.5" customHeight="1">
      <c r="A306" s="1073"/>
      <c r="B306" s="1038" t="s">
        <v>18</v>
      </c>
      <c r="C306" s="1039" t="s">
        <v>124</v>
      </c>
      <c r="D306" s="1074"/>
      <c r="E306" s="1074"/>
      <c r="F306" s="1138"/>
      <c r="G306" s="1074" t="s">
        <v>18</v>
      </c>
      <c r="H306" s="1039" t="s">
        <v>19</v>
      </c>
      <c r="I306" s="1127"/>
      <c r="J306" s="1128"/>
      <c r="K306" s="1067"/>
      <c r="L306" s="1221"/>
      <c r="M306" s="1075"/>
      <c r="N306" s="1074" t="s">
        <v>18</v>
      </c>
      <c r="O306" s="1131" t="s">
        <v>17</v>
      </c>
      <c r="P306" s="1132">
        <v>1</v>
      </c>
      <c r="Q306" s="1213"/>
      <c r="R306" s="1038" t="s">
        <v>16</v>
      </c>
      <c r="S306" s="1074" t="s">
        <v>15</v>
      </c>
      <c r="T306" s="1075">
        <v>3</v>
      </c>
      <c r="U306" s="1091">
        <v>1</v>
      </c>
      <c r="V306" s="1185" t="s">
        <v>314</v>
      </c>
      <c r="W306" s="1140">
        <v>10</v>
      </c>
      <c r="X306" s="1141">
        <v>0</v>
      </c>
      <c r="Y306" s="1142">
        <v>0</v>
      </c>
      <c r="Z306" s="1143">
        <f>SUM(W306:Y306)</f>
        <v>10</v>
      </c>
      <c r="AA306" s="1074"/>
      <c r="AB306" s="1077"/>
      <c r="AC306" s="1073"/>
      <c r="AD306" s="1091"/>
      <c r="AE306" s="1076"/>
      <c r="AF306" s="1085"/>
      <c r="AG306" s="1086"/>
      <c r="AH306" s="1087">
        <v>2500000</v>
      </c>
      <c r="AI306" s="1087">
        <f>AH306*P306*0.5</f>
        <v>1250000</v>
      </c>
      <c r="AJ306" s="1088"/>
      <c r="AK306" s="1089">
        <v>6000</v>
      </c>
      <c r="AL306" s="1090">
        <f t="shared" si="28"/>
        <v>60000</v>
      </c>
      <c r="AM306" s="1086"/>
      <c r="AN306" s="1086"/>
      <c r="AO306" s="1087"/>
      <c r="AP306" s="1076"/>
      <c r="AQ306" s="1087"/>
      <c r="AR306" s="1076"/>
      <c r="AS306" s="1076"/>
      <c r="AT306" s="1086"/>
      <c r="AU306" s="1088"/>
      <c r="AV306" s="1235"/>
    </row>
    <row r="307" spans="1:48" ht="49.5" customHeight="1">
      <c r="A307" s="1073"/>
      <c r="B307" s="1082" t="s">
        <v>12</v>
      </c>
      <c r="C307" s="1083" t="s">
        <v>13</v>
      </c>
      <c r="D307" s="1077"/>
      <c r="E307" s="1126"/>
      <c r="F307" s="1138"/>
      <c r="G307" s="1074"/>
      <c r="H307" s="1092"/>
      <c r="I307" s="1127"/>
      <c r="J307" s="1128"/>
      <c r="K307" s="1067"/>
      <c r="L307" s="1221"/>
      <c r="M307" s="1075"/>
      <c r="N307" s="1074" t="s">
        <v>12</v>
      </c>
      <c r="O307" s="1131" t="s">
        <v>11</v>
      </c>
      <c r="P307" s="1132">
        <v>1</v>
      </c>
      <c r="Q307" s="1213"/>
      <c r="R307" s="1038"/>
      <c r="S307" s="1074"/>
      <c r="T307" s="1075"/>
      <c r="U307" s="1091">
        <v>2</v>
      </c>
      <c r="V307" s="1185" t="s">
        <v>313</v>
      </c>
      <c r="W307" s="1140">
        <v>0</v>
      </c>
      <c r="X307" s="1141">
        <v>0</v>
      </c>
      <c r="Y307" s="1142">
        <v>3</v>
      </c>
      <c r="Z307" s="1143">
        <f>SUM(W307:Y307)</f>
        <v>3</v>
      </c>
      <c r="AA307" s="1074"/>
      <c r="AB307" s="1077"/>
      <c r="AC307" s="1073"/>
      <c r="AD307" s="1091"/>
      <c r="AE307" s="1076"/>
      <c r="AF307" s="1085"/>
      <c r="AG307" s="1086"/>
      <c r="AH307" s="1087">
        <v>2500000</v>
      </c>
      <c r="AI307" s="1087">
        <f>AH307*P307*0.75</f>
        <v>1875000</v>
      </c>
      <c r="AJ307" s="1088"/>
      <c r="AK307" s="1089">
        <v>53000</v>
      </c>
      <c r="AL307" s="1090">
        <f>AK307*Y307</f>
        <v>159000</v>
      </c>
      <c r="AM307" s="1086"/>
      <c r="AN307" s="1086"/>
      <c r="AO307" s="1087"/>
      <c r="AP307" s="1076"/>
      <c r="AQ307" s="1087"/>
      <c r="AR307" s="1076"/>
      <c r="AS307" s="1076"/>
      <c r="AT307" s="1086"/>
      <c r="AU307" s="1088"/>
      <c r="AV307" s="1235"/>
    </row>
    <row r="308" spans="1:48" ht="16.5" customHeight="1">
      <c r="A308" s="1073"/>
      <c r="B308" s="1082" t="s">
        <v>8</v>
      </c>
      <c r="C308" s="1083" t="s">
        <v>312</v>
      </c>
      <c r="D308" s="1077"/>
      <c r="E308" s="1126"/>
      <c r="F308" s="1138"/>
      <c r="G308" s="1074"/>
      <c r="H308" s="1092"/>
      <c r="I308" s="1127"/>
      <c r="J308" s="1128"/>
      <c r="K308" s="1067"/>
      <c r="L308" s="1221"/>
      <c r="M308" s="1075"/>
      <c r="N308" s="1074" t="s">
        <v>8</v>
      </c>
      <c r="O308" s="1131" t="s">
        <v>311</v>
      </c>
      <c r="P308" s="1132">
        <v>1</v>
      </c>
      <c r="Q308" s="1213">
        <v>5</v>
      </c>
      <c r="R308" s="1038"/>
      <c r="S308" s="1074"/>
      <c r="T308" s="1075"/>
      <c r="U308" s="1091">
        <v>3</v>
      </c>
      <c r="V308" s="1185" t="s">
        <v>1</v>
      </c>
      <c r="W308" s="1140">
        <v>2</v>
      </c>
      <c r="X308" s="1141">
        <v>0</v>
      </c>
      <c r="Y308" s="1142">
        <v>0</v>
      </c>
      <c r="Z308" s="1143">
        <f>SUM(W308:Y308)</f>
        <v>2</v>
      </c>
      <c r="AA308" s="1074"/>
      <c r="AB308" s="1077"/>
      <c r="AC308" s="1073"/>
      <c r="AD308" s="1091"/>
      <c r="AE308" s="1076"/>
      <c r="AF308" s="1085"/>
      <c r="AG308" s="1086"/>
      <c r="AH308" s="1087">
        <v>150000</v>
      </c>
      <c r="AI308" s="1087">
        <f>AH308*Q308*0.5</f>
        <v>375000</v>
      </c>
      <c r="AJ308" s="1088"/>
      <c r="AK308" s="1089">
        <v>10000</v>
      </c>
      <c r="AL308" s="1090">
        <f t="shared" si="28"/>
        <v>20000</v>
      </c>
      <c r="AM308" s="1086"/>
      <c r="AN308" s="1086"/>
      <c r="AO308" s="1087"/>
      <c r="AP308" s="1076"/>
      <c r="AQ308" s="1087"/>
      <c r="AR308" s="1076"/>
      <c r="AS308" s="1076"/>
      <c r="AT308" s="1086"/>
      <c r="AU308" s="1088"/>
      <c r="AV308" s="1235"/>
    </row>
    <row r="309" spans="1:48" ht="16.5" customHeight="1">
      <c r="A309" s="1073"/>
      <c r="B309" s="1082"/>
      <c r="C309" s="1083"/>
      <c r="D309" s="1077"/>
      <c r="E309" s="1126"/>
      <c r="F309" s="1138"/>
      <c r="G309" s="1074"/>
      <c r="H309" s="1092"/>
      <c r="I309" s="1127"/>
      <c r="J309" s="1128"/>
      <c r="K309" s="1067"/>
      <c r="L309" s="1221"/>
      <c r="M309" s="1075"/>
      <c r="N309" s="1074" t="s">
        <v>54</v>
      </c>
      <c r="O309" s="1131" t="s">
        <v>120</v>
      </c>
      <c r="P309" s="1132">
        <v>1</v>
      </c>
      <c r="Q309" s="1213">
        <v>1.32</v>
      </c>
      <c r="R309" s="1038"/>
      <c r="S309" s="1074"/>
      <c r="T309" s="1075"/>
      <c r="U309" s="1091"/>
      <c r="V309" s="1076"/>
      <c r="W309" s="1079"/>
      <c r="X309" s="1078"/>
      <c r="Y309" s="1039"/>
      <c r="Z309" s="1134"/>
      <c r="AA309" s="1074"/>
      <c r="AB309" s="1077"/>
      <c r="AC309" s="1073"/>
      <c r="AD309" s="1091"/>
      <c r="AE309" s="1076"/>
      <c r="AF309" s="1085"/>
      <c r="AG309" s="1086"/>
      <c r="AH309" s="1087">
        <v>200000</v>
      </c>
      <c r="AI309" s="1087">
        <f>AH309*Q309*0.5</f>
        <v>132000</v>
      </c>
      <c r="AJ309" s="1088"/>
      <c r="AK309" s="1089"/>
      <c r="AL309" s="1090"/>
      <c r="AM309" s="1086"/>
      <c r="AN309" s="1086"/>
      <c r="AO309" s="1087"/>
      <c r="AP309" s="1076"/>
      <c r="AQ309" s="1087"/>
      <c r="AR309" s="1076"/>
      <c r="AS309" s="1076"/>
      <c r="AT309" s="1086"/>
      <c r="AU309" s="1088"/>
      <c r="AV309" s="1235"/>
    </row>
    <row r="310" spans="1:48" ht="16.5" customHeight="1">
      <c r="A310" s="1073"/>
      <c r="B310" s="1082"/>
      <c r="C310" s="1083"/>
      <c r="D310" s="1077"/>
      <c r="E310" s="1126"/>
      <c r="F310" s="1138"/>
      <c r="G310" s="1074"/>
      <c r="H310" s="1092"/>
      <c r="I310" s="1127"/>
      <c r="J310" s="1128"/>
      <c r="K310" s="1067"/>
      <c r="L310" s="1221"/>
      <c r="M310" s="1075"/>
      <c r="N310" s="1074" t="s">
        <v>53</v>
      </c>
      <c r="O310" s="1131" t="s">
        <v>310</v>
      </c>
      <c r="P310" s="1132">
        <v>1</v>
      </c>
      <c r="Q310" s="1213">
        <v>7</v>
      </c>
      <c r="R310" s="1038"/>
      <c r="S310" s="1074"/>
      <c r="T310" s="1075"/>
      <c r="U310" s="1091"/>
      <c r="V310" s="1076"/>
      <c r="W310" s="1079"/>
      <c r="X310" s="1078"/>
      <c r="Y310" s="1039"/>
      <c r="Z310" s="1134"/>
      <c r="AA310" s="1074"/>
      <c r="AB310" s="1077"/>
      <c r="AC310" s="1073"/>
      <c r="AD310" s="1091"/>
      <c r="AE310" s="1076"/>
      <c r="AF310" s="1085"/>
      <c r="AG310" s="1086"/>
      <c r="AH310" s="1087">
        <v>250000</v>
      </c>
      <c r="AI310" s="1087">
        <f>AH310*Q310*0.5</f>
        <v>875000</v>
      </c>
      <c r="AJ310" s="1088"/>
      <c r="AK310" s="1089"/>
      <c r="AL310" s="1090"/>
      <c r="AM310" s="1086"/>
      <c r="AN310" s="1086"/>
      <c r="AO310" s="1087"/>
      <c r="AP310" s="1076"/>
      <c r="AQ310" s="1087"/>
      <c r="AR310" s="1076"/>
      <c r="AS310" s="1076"/>
      <c r="AT310" s="1086"/>
      <c r="AU310" s="1088"/>
      <c r="AV310" s="1235"/>
    </row>
    <row r="311" spans="1:48" ht="16.5" customHeight="1">
      <c r="A311" s="1073"/>
      <c r="B311" s="1082"/>
      <c r="C311" s="1083"/>
      <c r="D311" s="1077"/>
      <c r="E311" s="1126"/>
      <c r="F311" s="1138"/>
      <c r="G311" s="1074"/>
      <c r="H311" s="1092"/>
      <c r="I311" s="1127"/>
      <c r="J311" s="1128"/>
      <c r="K311" s="1067"/>
      <c r="L311" s="1221"/>
      <c r="M311" s="1075"/>
      <c r="N311" s="1074" t="s">
        <v>51</v>
      </c>
      <c r="O311" s="1131" t="s">
        <v>70</v>
      </c>
      <c r="P311" s="1132">
        <v>1</v>
      </c>
      <c r="Q311" s="1213">
        <v>31.93</v>
      </c>
      <c r="R311" s="1038"/>
      <c r="S311" s="1074"/>
      <c r="T311" s="1075"/>
      <c r="U311" s="1091"/>
      <c r="V311" s="1076"/>
      <c r="W311" s="1079"/>
      <c r="X311" s="1078"/>
      <c r="Y311" s="1039"/>
      <c r="Z311" s="1134"/>
      <c r="AA311" s="1074"/>
      <c r="AB311" s="1077"/>
      <c r="AC311" s="1073"/>
      <c r="AD311" s="1091"/>
      <c r="AE311" s="1076"/>
      <c r="AF311" s="1085"/>
      <c r="AG311" s="1086"/>
      <c r="AH311" s="1087">
        <v>100000</v>
      </c>
      <c r="AI311" s="1087">
        <f>AH311*Q311*0.5</f>
        <v>1596500</v>
      </c>
      <c r="AJ311" s="1088"/>
      <c r="AK311" s="1089"/>
      <c r="AL311" s="1090"/>
      <c r="AM311" s="1086"/>
      <c r="AN311" s="1086"/>
      <c r="AO311" s="1087"/>
      <c r="AP311" s="1076"/>
      <c r="AQ311" s="1087"/>
      <c r="AR311" s="1076"/>
      <c r="AS311" s="1076"/>
      <c r="AT311" s="1086"/>
      <c r="AU311" s="1088"/>
      <c r="AV311" s="1235"/>
    </row>
    <row r="312" spans="1:48" ht="16.5" customHeight="1">
      <c r="A312" s="1107"/>
      <c r="B312" s="1095"/>
      <c r="C312" s="1186"/>
      <c r="D312" s="1094"/>
      <c r="E312" s="1149"/>
      <c r="F312" s="1150"/>
      <c r="G312" s="1094"/>
      <c r="H312" s="1099"/>
      <c r="I312" s="1152"/>
      <c r="J312" s="1153"/>
      <c r="K312" s="1101"/>
      <c r="L312" s="1224"/>
      <c r="M312" s="1168"/>
      <c r="N312" s="1094"/>
      <c r="O312" s="1156"/>
      <c r="P312" s="1107"/>
      <c r="Q312" s="1151"/>
      <c r="R312" s="1095"/>
      <c r="S312" s="1094"/>
      <c r="T312" s="1168"/>
      <c r="U312" s="1109"/>
      <c r="V312" s="1108"/>
      <c r="W312" s="1111"/>
      <c r="X312" s="1110"/>
      <c r="Y312" s="1096"/>
      <c r="Z312" s="1286"/>
      <c r="AA312" s="1094"/>
      <c r="AB312" s="1151"/>
      <c r="AC312" s="1107"/>
      <c r="AD312" s="1109"/>
      <c r="AE312" s="1108"/>
      <c r="AF312" s="1115"/>
      <c r="AG312" s="1116"/>
      <c r="AH312" s="1117"/>
      <c r="AI312" s="1117"/>
      <c r="AJ312" s="1118"/>
      <c r="AK312" s="1119"/>
      <c r="AL312" s="1120"/>
      <c r="AM312" s="1116"/>
      <c r="AN312" s="1116"/>
      <c r="AO312" s="1117"/>
      <c r="AP312" s="1108"/>
      <c r="AQ312" s="1117"/>
      <c r="AR312" s="1108"/>
      <c r="AS312" s="1108"/>
      <c r="AT312" s="1116"/>
      <c r="AU312" s="1118"/>
      <c r="AV312" s="1287"/>
    </row>
    <row r="313" spans="1:48" ht="16.5" customHeight="1">
      <c r="A313" s="1269">
        <v>25</v>
      </c>
      <c r="B313" s="1033" t="s">
        <v>25</v>
      </c>
      <c r="C313" s="1036" t="s">
        <v>171</v>
      </c>
      <c r="D313" s="1170"/>
      <c r="E313" s="1034"/>
      <c r="F313" s="1171" t="s">
        <v>309</v>
      </c>
      <c r="G313" s="1172" t="s">
        <v>25</v>
      </c>
      <c r="H313" s="1173" t="s">
        <v>29</v>
      </c>
      <c r="I313" s="1275">
        <v>217</v>
      </c>
      <c r="J313" s="1175" t="s">
        <v>41</v>
      </c>
      <c r="K313" s="1041" t="s">
        <v>308</v>
      </c>
      <c r="L313" s="1276"/>
      <c r="M313" s="1043"/>
      <c r="N313" s="1034"/>
      <c r="O313" s="1217"/>
      <c r="P313" s="1317"/>
      <c r="Q313" s="1318"/>
      <c r="R313" s="1035" t="s">
        <v>25</v>
      </c>
      <c r="S313" s="1034" t="s">
        <v>24</v>
      </c>
      <c r="T313" s="1048">
        <v>1</v>
      </c>
      <c r="U313" s="1180">
        <v>1</v>
      </c>
      <c r="V313" s="1319" t="s">
        <v>290</v>
      </c>
      <c r="W313" s="1241" t="s">
        <v>46</v>
      </c>
      <c r="X313" s="1241" t="s">
        <v>46</v>
      </c>
      <c r="Y313" s="1202">
        <v>1</v>
      </c>
      <c r="Z313" s="1229">
        <f>SUM(W313:Y313)</f>
        <v>1</v>
      </c>
      <c r="AA313" s="1034"/>
      <c r="AB313" s="1050"/>
      <c r="AC313" s="1047"/>
      <c r="AD313" s="1180"/>
      <c r="AE313" s="1049"/>
      <c r="AF313" s="1056">
        <f>Resum!F1</f>
        <v>356000</v>
      </c>
      <c r="AG313" s="1086">
        <f>AF313*I313</f>
        <v>77252000</v>
      </c>
      <c r="AH313" s="1058"/>
      <c r="AI313" s="1058"/>
      <c r="AJ313" s="1059"/>
      <c r="AK313" s="1060">
        <v>15500</v>
      </c>
      <c r="AL313" s="1090">
        <f>AK313*Y313</f>
        <v>15500</v>
      </c>
      <c r="AM313" s="1057">
        <f>SUM(AL313:AL324)</f>
        <v>745290</v>
      </c>
      <c r="AN313" s="1086">
        <f>AM313+AJ313+AG313</f>
        <v>77997290</v>
      </c>
      <c r="AO313" s="1058"/>
      <c r="AP313" s="1136">
        <v>0</v>
      </c>
      <c r="AQ313" s="1087">
        <v>0</v>
      </c>
      <c r="AR313" s="1136">
        <f>(AG313+AI313)*5%</f>
        <v>3862600</v>
      </c>
      <c r="AS313" s="1087">
        <f>0.5%*(AG313+AI313)*(3)</f>
        <v>1158780</v>
      </c>
      <c r="AT313" s="1086">
        <f>+AS313+AR313+AQ313+AP313+AO313</f>
        <v>5021380</v>
      </c>
      <c r="AU313" s="1137">
        <f>ROUND(AT313+AN313,-3)</f>
        <v>83019000</v>
      </c>
      <c r="AV313" s="1279"/>
    </row>
    <row r="314" spans="1:48" ht="16.5" customHeight="1">
      <c r="A314" s="1082"/>
      <c r="B314" s="1038" t="s">
        <v>16</v>
      </c>
      <c r="C314" s="1071" t="s">
        <v>168</v>
      </c>
      <c r="D314" s="1074"/>
      <c r="E314" s="1063"/>
      <c r="F314" s="1138"/>
      <c r="G314" s="1074" t="s">
        <v>16</v>
      </c>
      <c r="H314" s="1074" t="s">
        <v>22</v>
      </c>
      <c r="I314" s="1127"/>
      <c r="J314" s="1128"/>
      <c r="K314" s="1067"/>
      <c r="L314" s="1221"/>
      <c r="M314" s="1069"/>
      <c r="N314" s="1074"/>
      <c r="O314" s="1257"/>
      <c r="P314" s="1320"/>
      <c r="Q314" s="1321"/>
      <c r="R314" s="1038"/>
      <c r="S314" s="1074"/>
      <c r="T314" s="1075"/>
      <c r="U314" s="1091"/>
      <c r="V314" s="1076"/>
      <c r="W314" s="1140"/>
      <c r="X314" s="1141"/>
      <c r="Y314" s="1142"/>
      <c r="Z314" s="1143"/>
      <c r="AA314" s="1074"/>
      <c r="AB314" s="1077"/>
      <c r="AC314" s="1073"/>
      <c r="AD314" s="1091"/>
      <c r="AE314" s="1076"/>
      <c r="AF314" s="1085"/>
      <c r="AG314" s="1086"/>
      <c r="AH314" s="1087"/>
      <c r="AI314" s="1087"/>
      <c r="AJ314" s="1088"/>
      <c r="AK314" s="1089"/>
      <c r="AL314" s="1090"/>
      <c r="AM314" s="1086"/>
      <c r="AN314" s="1086"/>
      <c r="AO314" s="1087"/>
      <c r="AP314" s="1076"/>
      <c r="AQ314" s="1087"/>
      <c r="AR314" s="1076"/>
      <c r="AS314" s="1076"/>
      <c r="AT314" s="1086"/>
      <c r="AU314" s="1088"/>
      <c r="AV314" s="1235"/>
    </row>
    <row r="315" spans="1:48" ht="16.5" customHeight="1">
      <c r="A315" s="1082"/>
      <c r="B315" s="1038" t="s">
        <v>18</v>
      </c>
      <c r="C315" s="1039" t="s">
        <v>60</v>
      </c>
      <c r="D315" s="1074"/>
      <c r="E315" s="1074"/>
      <c r="F315" s="1138"/>
      <c r="G315" s="1074" t="s">
        <v>18</v>
      </c>
      <c r="H315" s="1074" t="s">
        <v>19</v>
      </c>
      <c r="I315" s="1127"/>
      <c r="J315" s="1128"/>
      <c r="K315" s="1067"/>
      <c r="L315" s="1221"/>
      <c r="M315" s="1069"/>
      <c r="N315" s="1074"/>
      <c r="O315" s="1257"/>
      <c r="P315" s="1320"/>
      <c r="Q315" s="1321"/>
      <c r="R315" s="1038" t="s">
        <v>16</v>
      </c>
      <c r="S315" s="1074" t="s">
        <v>15</v>
      </c>
      <c r="T315" s="1075">
        <v>9</v>
      </c>
      <c r="U315" s="1091">
        <v>1</v>
      </c>
      <c r="V315" s="1255" t="s">
        <v>14</v>
      </c>
      <c r="W315" s="1140">
        <v>1</v>
      </c>
      <c r="X315" s="1241" t="s">
        <v>46</v>
      </c>
      <c r="Y315" s="1242" t="s">
        <v>46</v>
      </c>
      <c r="Z315" s="1143">
        <f t="shared" ref="Z315:Z322" si="29">SUM(W315:Y315)</f>
        <v>1</v>
      </c>
      <c r="AA315" s="1074"/>
      <c r="AB315" s="1077"/>
      <c r="AC315" s="1073"/>
      <c r="AD315" s="1091"/>
      <c r="AE315" s="1076"/>
      <c r="AF315" s="1085"/>
      <c r="AG315" s="1086"/>
      <c r="AH315" s="1087"/>
      <c r="AI315" s="1087"/>
      <c r="AJ315" s="1088"/>
      <c r="AK315" s="1089">
        <v>350000</v>
      </c>
      <c r="AL315" s="1087">
        <f>AK315*W315</f>
        <v>350000</v>
      </c>
      <c r="AM315" s="1086"/>
      <c r="AN315" s="1086"/>
      <c r="AO315" s="1087"/>
      <c r="AP315" s="1076"/>
      <c r="AQ315" s="1087"/>
      <c r="AR315" s="1076"/>
      <c r="AS315" s="1076"/>
      <c r="AT315" s="1086"/>
      <c r="AU315" s="1088"/>
      <c r="AV315" s="1235"/>
    </row>
    <row r="316" spans="1:48" ht="49.5" customHeight="1">
      <c r="A316" s="1082"/>
      <c r="B316" s="1082" t="s">
        <v>12</v>
      </c>
      <c r="C316" s="1083" t="s">
        <v>13</v>
      </c>
      <c r="D316" s="1074"/>
      <c r="E316" s="1126"/>
      <c r="F316" s="1138"/>
      <c r="G316" s="1074"/>
      <c r="H316" s="1077"/>
      <c r="I316" s="1127"/>
      <c r="J316" s="1128"/>
      <c r="K316" s="1067"/>
      <c r="L316" s="1221"/>
      <c r="M316" s="1069"/>
      <c r="N316" s="1074"/>
      <c r="O316" s="1126"/>
      <c r="P316" s="1073"/>
      <c r="Q316" s="1077"/>
      <c r="R316" s="1038"/>
      <c r="S316" s="1074"/>
      <c r="T316" s="1075"/>
      <c r="U316" s="1091">
        <v>2</v>
      </c>
      <c r="V316" s="1255" t="s">
        <v>221</v>
      </c>
      <c r="W316" s="1140">
        <v>10</v>
      </c>
      <c r="X316" s="1141"/>
      <c r="Y316" s="1142"/>
      <c r="Z316" s="1143">
        <f t="shared" si="29"/>
        <v>10</v>
      </c>
      <c r="AA316" s="1074"/>
      <c r="AB316" s="1077"/>
      <c r="AC316" s="1073"/>
      <c r="AD316" s="1091"/>
      <c r="AE316" s="1076"/>
      <c r="AF316" s="1085"/>
      <c r="AG316" s="1086"/>
      <c r="AH316" s="1087"/>
      <c r="AI316" s="1087"/>
      <c r="AJ316" s="1088"/>
      <c r="AK316" s="1089">
        <v>4810</v>
      </c>
      <c r="AL316" s="1090">
        <f>AK316*W316</f>
        <v>48100</v>
      </c>
      <c r="AM316" s="1086"/>
      <c r="AN316" s="1086"/>
      <c r="AO316" s="1087"/>
      <c r="AP316" s="1076"/>
      <c r="AQ316" s="1087"/>
      <c r="AR316" s="1076"/>
      <c r="AS316" s="1076"/>
      <c r="AT316" s="1086"/>
      <c r="AU316" s="1088"/>
      <c r="AV316" s="1235"/>
    </row>
    <row r="317" spans="1:48" ht="16.5" customHeight="1">
      <c r="A317" s="1082"/>
      <c r="B317" s="1038" t="s">
        <v>8</v>
      </c>
      <c r="C317" s="1244" t="s">
        <v>167</v>
      </c>
      <c r="D317" s="1074"/>
      <c r="E317" s="1126"/>
      <c r="F317" s="1138"/>
      <c r="G317" s="1074"/>
      <c r="H317" s="1077"/>
      <c r="I317" s="1127"/>
      <c r="J317" s="1128"/>
      <c r="K317" s="1067"/>
      <c r="L317" s="1221"/>
      <c r="M317" s="1069"/>
      <c r="N317" s="1074"/>
      <c r="O317" s="1126"/>
      <c r="P317" s="1073"/>
      <c r="Q317" s="1077"/>
      <c r="R317" s="1038"/>
      <c r="S317" s="1074"/>
      <c r="T317" s="1075"/>
      <c r="U317" s="1091">
        <v>3</v>
      </c>
      <c r="V317" s="1255" t="s">
        <v>307</v>
      </c>
      <c r="W317" s="1241">
        <v>0</v>
      </c>
      <c r="X317" s="1141">
        <v>4</v>
      </c>
      <c r="Y317" s="1142">
        <v>0</v>
      </c>
      <c r="Z317" s="1143">
        <f t="shared" si="29"/>
        <v>4</v>
      </c>
      <c r="AA317" s="1074"/>
      <c r="AB317" s="1077"/>
      <c r="AC317" s="1073"/>
      <c r="AD317" s="1091"/>
      <c r="AE317" s="1076"/>
      <c r="AF317" s="1085"/>
      <c r="AG317" s="1086"/>
      <c r="AH317" s="1087"/>
      <c r="AI317" s="1087"/>
      <c r="AJ317" s="1088"/>
      <c r="AK317" s="1089">
        <v>49500</v>
      </c>
      <c r="AL317" s="1090">
        <f>AK317*X317</f>
        <v>198000</v>
      </c>
      <c r="AM317" s="1086"/>
      <c r="AN317" s="1086"/>
      <c r="AO317" s="1087"/>
      <c r="AP317" s="1076"/>
      <c r="AQ317" s="1087"/>
      <c r="AR317" s="1076"/>
      <c r="AS317" s="1076"/>
      <c r="AT317" s="1086"/>
      <c r="AU317" s="1088"/>
      <c r="AV317" s="1235"/>
    </row>
    <row r="318" spans="1:48" ht="16.5" customHeight="1">
      <c r="A318" s="1082"/>
      <c r="B318" s="1082"/>
      <c r="C318" s="1083"/>
      <c r="D318" s="1074"/>
      <c r="E318" s="1126"/>
      <c r="F318" s="1138"/>
      <c r="G318" s="1074"/>
      <c r="H318" s="1077"/>
      <c r="I318" s="1127"/>
      <c r="J318" s="1128"/>
      <c r="K318" s="1067"/>
      <c r="L318" s="1221"/>
      <c r="M318" s="1069"/>
      <c r="N318" s="1074"/>
      <c r="O318" s="1126"/>
      <c r="P318" s="1073"/>
      <c r="Q318" s="1077"/>
      <c r="R318" s="1038"/>
      <c r="S318" s="1074"/>
      <c r="T318" s="1075"/>
      <c r="U318" s="1091">
        <v>4</v>
      </c>
      <c r="V318" s="1255" t="s">
        <v>306</v>
      </c>
      <c r="W318" s="1140">
        <v>10</v>
      </c>
      <c r="X318" s="1241" t="s">
        <v>46</v>
      </c>
      <c r="Y318" s="1142"/>
      <c r="Z318" s="1143">
        <f t="shared" si="29"/>
        <v>10</v>
      </c>
      <c r="AA318" s="1074"/>
      <c r="AB318" s="1077"/>
      <c r="AC318" s="1073"/>
      <c r="AD318" s="1091"/>
      <c r="AE318" s="1076"/>
      <c r="AF318" s="1085"/>
      <c r="AG318" s="1086"/>
      <c r="AH318" s="1087"/>
      <c r="AI318" s="1087"/>
      <c r="AJ318" s="1088"/>
      <c r="AK318" s="1089">
        <v>500</v>
      </c>
      <c r="AL318" s="1090">
        <f t="shared" si="28"/>
        <v>5000</v>
      </c>
      <c r="AM318" s="1086"/>
      <c r="AN318" s="1086"/>
      <c r="AO318" s="1087"/>
      <c r="AP318" s="1076"/>
      <c r="AQ318" s="1087"/>
      <c r="AR318" s="1076"/>
      <c r="AS318" s="1076"/>
      <c r="AT318" s="1086"/>
      <c r="AU318" s="1088"/>
      <c r="AV318" s="1235"/>
    </row>
    <row r="319" spans="1:48" ht="16.5" customHeight="1">
      <c r="A319" s="1082"/>
      <c r="B319" s="1082"/>
      <c r="C319" s="1083"/>
      <c r="D319" s="1074"/>
      <c r="E319" s="1126"/>
      <c r="F319" s="1138"/>
      <c r="G319" s="1074"/>
      <c r="H319" s="1077"/>
      <c r="I319" s="1127"/>
      <c r="J319" s="1128"/>
      <c r="K319" s="1067"/>
      <c r="L319" s="1221"/>
      <c r="M319" s="1069"/>
      <c r="N319" s="1074"/>
      <c r="O319" s="1126"/>
      <c r="P319" s="1073"/>
      <c r="Q319" s="1077"/>
      <c r="R319" s="1038"/>
      <c r="S319" s="1074"/>
      <c r="T319" s="1075"/>
      <c r="U319" s="1091">
        <v>5</v>
      </c>
      <c r="V319" s="1255" t="s">
        <v>305</v>
      </c>
      <c r="W319" s="1140">
        <v>4</v>
      </c>
      <c r="X319" s="1141"/>
      <c r="Y319" s="1142"/>
      <c r="Z319" s="1143">
        <f t="shared" si="29"/>
        <v>4</v>
      </c>
      <c r="AA319" s="1074"/>
      <c r="AB319" s="1077"/>
      <c r="AC319" s="1073"/>
      <c r="AD319" s="1091"/>
      <c r="AE319" s="1076"/>
      <c r="AF319" s="1085"/>
      <c r="AG319" s="1086"/>
      <c r="AH319" s="1087"/>
      <c r="AI319" s="1087"/>
      <c r="AJ319" s="1088"/>
      <c r="AK319" s="1089">
        <v>4000</v>
      </c>
      <c r="AL319" s="1090">
        <f t="shared" si="28"/>
        <v>16000</v>
      </c>
      <c r="AM319" s="1086"/>
      <c r="AN319" s="1086"/>
      <c r="AO319" s="1087"/>
      <c r="AP319" s="1076"/>
      <c r="AQ319" s="1087"/>
      <c r="AR319" s="1076"/>
      <c r="AS319" s="1076"/>
      <c r="AT319" s="1086"/>
      <c r="AU319" s="1088"/>
      <c r="AV319" s="1235"/>
    </row>
    <row r="320" spans="1:48" ht="16.5" customHeight="1">
      <c r="A320" s="1082"/>
      <c r="B320" s="1082"/>
      <c r="C320" s="1083"/>
      <c r="D320" s="1074"/>
      <c r="E320" s="1126"/>
      <c r="F320" s="1138"/>
      <c r="G320" s="1074"/>
      <c r="H320" s="1077"/>
      <c r="I320" s="1127"/>
      <c r="J320" s="1128"/>
      <c r="K320" s="1067"/>
      <c r="L320" s="1221"/>
      <c r="M320" s="1069"/>
      <c r="N320" s="1074"/>
      <c r="O320" s="1126"/>
      <c r="P320" s="1073"/>
      <c r="Q320" s="1077"/>
      <c r="R320" s="1038"/>
      <c r="S320" s="1074"/>
      <c r="T320" s="1075"/>
      <c r="U320" s="1091">
        <v>6</v>
      </c>
      <c r="V320" s="1255" t="s">
        <v>133</v>
      </c>
      <c r="W320" s="1140">
        <v>2</v>
      </c>
      <c r="X320" s="1141"/>
      <c r="Y320" s="1142"/>
      <c r="Z320" s="1143">
        <f t="shared" si="29"/>
        <v>2</v>
      </c>
      <c r="AA320" s="1074"/>
      <c r="AB320" s="1077"/>
      <c r="AC320" s="1073"/>
      <c r="AD320" s="1091"/>
      <c r="AE320" s="1076"/>
      <c r="AF320" s="1085"/>
      <c r="AG320" s="1086"/>
      <c r="AH320" s="1087"/>
      <c r="AI320" s="1087"/>
      <c r="AJ320" s="1088"/>
      <c r="AK320" s="1089">
        <v>2645</v>
      </c>
      <c r="AL320" s="1090">
        <f t="shared" si="28"/>
        <v>5290</v>
      </c>
      <c r="AM320" s="1086"/>
      <c r="AN320" s="1086"/>
      <c r="AO320" s="1087"/>
      <c r="AP320" s="1076"/>
      <c r="AQ320" s="1087"/>
      <c r="AR320" s="1076"/>
      <c r="AS320" s="1076"/>
      <c r="AT320" s="1086"/>
      <c r="AU320" s="1088"/>
      <c r="AV320" s="1235"/>
    </row>
    <row r="321" spans="1:48" ht="16.5" customHeight="1">
      <c r="A321" s="1082"/>
      <c r="B321" s="1082"/>
      <c r="C321" s="1083"/>
      <c r="D321" s="1074"/>
      <c r="E321" s="1126"/>
      <c r="F321" s="1138"/>
      <c r="G321" s="1074"/>
      <c r="H321" s="1077"/>
      <c r="I321" s="1127"/>
      <c r="J321" s="1128"/>
      <c r="K321" s="1067"/>
      <c r="L321" s="1221"/>
      <c r="M321" s="1069"/>
      <c r="N321" s="1074"/>
      <c r="O321" s="1126"/>
      <c r="P321" s="1073"/>
      <c r="Q321" s="1077"/>
      <c r="R321" s="1038"/>
      <c r="S321" s="1074"/>
      <c r="T321" s="1075"/>
      <c r="U321" s="1091">
        <v>7</v>
      </c>
      <c r="V321" s="1255" t="s">
        <v>304</v>
      </c>
      <c r="W321" s="1140">
        <v>4</v>
      </c>
      <c r="X321" s="1141"/>
      <c r="Y321" s="1142"/>
      <c r="Z321" s="1143">
        <f t="shared" si="29"/>
        <v>4</v>
      </c>
      <c r="AA321" s="1074"/>
      <c r="AB321" s="1077"/>
      <c r="AC321" s="1073"/>
      <c r="AD321" s="1091"/>
      <c r="AE321" s="1076"/>
      <c r="AF321" s="1085"/>
      <c r="AG321" s="1086"/>
      <c r="AH321" s="1087"/>
      <c r="AI321" s="1087"/>
      <c r="AJ321" s="1088"/>
      <c r="AK321" s="1089"/>
      <c r="AL321" s="1090">
        <f t="shared" si="28"/>
        <v>0</v>
      </c>
      <c r="AM321" s="1086"/>
      <c r="AN321" s="1086"/>
      <c r="AO321" s="1087"/>
      <c r="AP321" s="1076"/>
      <c r="AQ321" s="1087"/>
      <c r="AR321" s="1076"/>
      <c r="AS321" s="1076"/>
      <c r="AT321" s="1086"/>
      <c r="AU321" s="1088"/>
      <c r="AV321" s="1235"/>
    </row>
    <row r="322" spans="1:48" ht="16.5" customHeight="1">
      <c r="A322" s="1082"/>
      <c r="B322" s="1082"/>
      <c r="C322" s="1083"/>
      <c r="D322" s="1074"/>
      <c r="E322" s="1126"/>
      <c r="F322" s="1138"/>
      <c r="G322" s="1074"/>
      <c r="H322" s="1077"/>
      <c r="I322" s="1127"/>
      <c r="J322" s="1128"/>
      <c r="K322" s="1067"/>
      <c r="L322" s="1221"/>
      <c r="M322" s="1069"/>
      <c r="N322" s="1074"/>
      <c r="O322" s="1126"/>
      <c r="P322" s="1073"/>
      <c r="Q322" s="1077"/>
      <c r="R322" s="1038"/>
      <c r="S322" s="1074"/>
      <c r="T322" s="1075"/>
      <c r="U322" s="1091">
        <v>8</v>
      </c>
      <c r="V322" s="1255" t="s">
        <v>130</v>
      </c>
      <c r="W322" s="1241">
        <v>0</v>
      </c>
      <c r="X322" s="1141">
        <v>0</v>
      </c>
      <c r="Y322" s="1142">
        <v>2</v>
      </c>
      <c r="Z322" s="1143">
        <f t="shared" si="29"/>
        <v>2</v>
      </c>
      <c r="AA322" s="1074"/>
      <c r="AB322" s="1077"/>
      <c r="AC322" s="1073"/>
      <c r="AD322" s="1091"/>
      <c r="AE322" s="1076"/>
      <c r="AF322" s="1085"/>
      <c r="AG322" s="1086"/>
      <c r="AH322" s="1087"/>
      <c r="AI322" s="1087"/>
      <c r="AJ322" s="1088"/>
      <c r="AK322" s="1089">
        <v>41200</v>
      </c>
      <c r="AL322" s="1090">
        <f>AK322*Y322</f>
        <v>82400</v>
      </c>
      <c r="AM322" s="1086"/>
      <c r="AN322" s="1086"/>
      <c r="AO322" s="1087"/>
      <c r="AP322" s="1076"/>
      <c r="AQ322" s="1087"/>
      <c r="AR322" s="1076"/>
      <c r="AS322" s="1076"/>
      <c r="AT322" s="1086"/>
      <c r="AU322" s="1088"/>
      <c r="AV322" s="1235"/>
    </row>
    <row r="323" spans="1:48" ht="16.5" customHeight="1">
      <c r="A323" s="1082"/>
      <c r="B323" s="1082"/>
      <c r="C323" s="1083"/>
      <c r="D323" s="1074"/>
      <c r="E323" s="1126"/>
      <c r="F323" s="1138"/>
      <c r="G323" s="1074"/>
      <c r="H323" s="1077"/>
      <c r="I323" s="1127"/>
      <c r="J323" s="1128"/>
      <c r="K323" s="1067"/>
      <c r="L323" s="1221"/>
      <c r="M323" s="1069"/>
      <c r="N323" s="1074"/>
      <c r="O323" s="1126"/>
      <c r="P323" s="1073"/>
      <c r="Q323" s="1077"/>
      <c r="R323" s="1038"/>
      <c r="S323" s="1074"/>
      <c r="T323" s="1075"/>
      <c r="U323" s="1091">
        <v>9</v>
      </c>
      <c r="V323" s="1255" t="s">
        <v>303</v>
      </c>
      <c r="W323" s="1140">
        <v>1</v>
      </c>
      <c r="X323" s="1141"/>
      <c r="Y323" s="1142"/>
      <c r="Z323" s="1143"/>
      <c r="AA323" s="1074"/>
      <c r="AB323" s="1077"/>
      <c r="AC323" s="1073"/>
      <c r="AD323" s="1091"/>
      <c r="AE323" s="1076"/>
      <c r="AF323" s="1085"/>
      <c r="AG323" s="1086"/>
      <c r="AH323" s="1087"/>
      <c r="AI323" s="1087"/>
      <c r="AJ323" s="1088"/>
      <c r="AK323" s="1089">
        <v>25000</v>
      </c>
      <c r="AL323" s="1090">
        <f t="shared" si="28"/>
        <v>25000</v>
      </c>
      <c r="AM323" s="1086"/>
      <c r="AN323" s="1086"/>
      <c r="AO323" s="1087"/>
      <c r="AP323" s="1076"/>
      <c r="AQ323" s="1087"/>
      <c r="AR323" s="1076"/>
      <c r="AS323" s="1076"/>
      <c r="AT323" s="1086"/>
      <c r="AU323" s="1088"/>
      <c r="AV323" s="1235"/>
    </row>
    <row r="324" spans="1:48" ht="16.5" customHeight="1">
      <c r="A324" s="1082"/>
      <c r="B324" s="1098"/>
      <c r="C324" s="1105"/>
      <c r="D324" s="1074"/>
      <c r="E324" s="1126"/>
      <c r="F324" s="1138"/>
      <c r="G324" s="1074"/>
      <c r="H324" s="1077"/>
      <c r="I324" s="1127"/>
      <c r="J324" s="1128"/>
      <c r="K324" s="1067"/>
      <c r="L324" s="1221"/>
      <c r="M324" s="1069"/>
      <c r="N324" s="1074"/>
      <c r="O324" s="1126"/>
      <c r="P324" s="1073"/>
      <c r="Q324" s="1077"/>
      <c r="R324" s="1038"/>
      <c r="S324" s="1074"/>
      <c r="T324" s="1075"/>
      <c r="U324" s="1091"/>
      <c r="V324" s="1322"/>
      <c r="W324" s="1140"/>
      <c r="X324" s="1141"/>
      <c r="Y324" s="1242" t="s">
        <v>46</v>
      </c>
      <c r="Z324" s="1208">
        <f>SUM(W324:Y324)</f>
        <v>0</v>
      </c>
      <c r="AA324" s="1074"/>
      <c r="AB324" s="1077"/>
      <c r="AC324" s="1073"/>
      <c r="AD324" s="1091"/>
      <c r="AE324" s="1076"/>
      <c r="AF324" s="1085"/>
      <c r="AG324" s="1116"/>
      <c r="AH324" s="1087"/>
      <c r="AI324" s="1087"/>
      <c r="AJ324" s="1088"/>
      <c r="AK324" s="1089"/>
      <c r="AL324" s="1120"/>
      <c r="AM324" s="1086"/>
      <c r="AN324" s="1116"/>
      <c r="AO324" s="1087"/>
      <c r="AP324" s="1108"/>
      <c r="AQ324" s="1117"/>
      <c r="AR324" s="1108"/>
      <c r="AS324" s="1108"/>
      <c r="AT324" s="1116"/>
      <c r="AU324" s="1118"/>
      <c r="AV324" s="1235"/>
    </row>
    <row r="325" spans="1:48" ht="16.5" customHeight="1">
      <c r="A325" s="1169">
        <v>26</v>
      </c>
      <c r="B325" s="1122" t="s">
        <v>25</v>
      </c>
      <c r="C325" s="1039" t="s">
        <v>302</v>
      </c>
      <c r="D325" s="1170"/>
      <c r="E325" s="1034"/>
      <c r="F325" s="1171" t="s">
        <v>301</v>
      </c>
      <c r="G325" s="1172" t="s">
        <v>25</v>
      </c>
      <c r="H325" s="1173" t="s">
        <v>29</v>
      </c>
      <c r="I325" s="1275">
        <v>321</v>
      </c>
      <c r="J325" s="1175" t="s">
        <v>41</v>
      </c>
      <c r="K325" s="1041" t="s">
        <v>300</v>
      </c>
      <c r="L325" s="1276"/>
      <c r="M325" s="1043"/>
      <c r="N325" s="1034"/>
      <c r="O325" s="1217" t="s">
        <v>299</v>
      </c>
      <c r="P325" s="1317"/>
      <c r="Q325" s="1318"/>
      <c r="R325" s="1035"/>
      <c r="S325" s="1034"/>
      <c r="T325" s="1048"/>
      <c r="U325" s="1180"/>
      <c r="V325" s="1047"/>
      <c r="W325" s="1052"/>
      <c r="X325" s="1051"/>
      <c r="Y325" s="1036"/>
      <c r="Z325" s="1134"/>
      <c r="AA325" s="1034"/>
      <c r="AB325" s="1050"/>
      <c r="AC325" s="1047"/>
      <c r="AD325" s="1180"/>
      <c r="AE325" s="1049"/>
      <c r="AF325" s="1056">
        <f>Resum!F1</f>
        <v>356000</v>
      </c>
      <c r="AG325" s="1086">
        <f>AF325*I325</f>
        <v>114276000</v>
      </c>
      <c r="AH325" s="1058"/>
      <c r="AI325" s="1058"/>
      <c r="AJ325" s="1182">
        <f>SUM(AI325:AI335)</f>
        <v>233192450</v>
      </c>
      <c r="AK325" s="1060"/>
      <c r="AL325" s="1090"/>
      <c r="AM325" s="1057"/>
      <c r="AN325" s="1086">
        <f>AM325+AJ325+AG325</f>
        <v>347468450</v>
      </c>
      <c r="AO325" s="1058"/>
      <c r="AP325" s="1136">
        <f>(AG325+AI326)*15%</f>
        <v>45719400</v>
      </c>
      <c r="AQ325" s="1087">
        <f>(AG325+AI326)*1%</f>
        <v>3047960</v>
      </c>
      <c r="AR325" s="1136">
        <f>(AG325+AI326)*5%</f>
        <v>15239800</v>
      </c>
      <c r="AS325" s="1087">
        <f>0.5%*(AG325+AI326)*(3)</f>
        <v>4571940</v>
      </c>
      <c r="AT325" s="1086">
        <f>+AS325+AR325+AQ325+AP325+AO325</f>
        <v>68579100</v>
      </c>
      <c r="AU325" s="1137">
        <f>ROUND(AT325+AN325,-3)</f>
        <v>416048000</v>
      </c>
      <c r="AV325" s="1279"/>
    </row>
    <row r="326" spans="1:48" ht="16.5" customHeight="1">
      <c r="A326" s="1073"/>
      <c r="B326" s="1038" t="s">
        <v>16</v>
      </c>
      <c r="C326" s="1071" t="s">
        <v>298</v>
      </c>
      <c r="D326" s="1074"/>
      <c r="E326" s="1063"/>
      <c r="F326" s="1138"/>
      <c r="G326" s="1074" t="s">
        <v>16</v>
      </c>
      <c r="H326" s="1074" t="s">
        <v>22</v>
      </c>
      <c r="I326" s="1127"/>
      <c r="J326" s="1128"/>
      <c r="K326" s="1067"/>
      <c r="L326" s="1221"/>
      <c r="M326" s="1069"/>
      <c r="N326" s="1074" t="s">
        <v>25</v>
      </c>
      <c r="O326" s="1126" t="s">
        <v>26</v>
      </c>
      <c r="P326" s="1195">
        <v>1</v>
      </c>
      <c r="Q326" s="1196">
        <v>108.25</v>
      </c>
      <c r="R326" s="1038"/>
      <c r="S326" s="1074"/>
      <c r="T326" s="1075"/>
      <c r="U326" s="1091"/>
      <c r="V326" s="1073"/>
      <c r="W326" s="1079"/>
      <c r="X326" s="1078"/>
      <c r="Y326" s="1039"/>
      <c r="Z326" s="1134"/>
      <c r="AA326" s="1074"/>
      <c r="AB326" s="1077"/>
      <c r="AC326" s="1073"/>
      <c r="AD326" s="1091"/>
      <c r="AE326" s="1076"/>
      <c r="AF326" s="1085"/>
      <c r="AG326" s="1086"/>
      <c r="AH326" s="1087">
        <v>2200000</v>
      </c>
      <c r="AI326" s="1087">
        <f>AH326*Q326*0.8</f>
        <v>190520000</v>
      </c>
      <c r="AJ326" s="1088"/>
      <c r="AK326" s="1089"/>
      <c r="AL326" s="1090"/>
      <c r="AM326" s="1086"/>
      <c r="AN326" s="1086"/>
      <c r="AO326" s="1087"/>
      <c r="AP326" s="1076"/>
      <c r="AQ326" s="1087"/>
      <c r="AR326" s="1076"/>
      <c r="AS326" s="1076"/>
      <c r="AT326" s="1086"/>
      <c r="AU326" s="1088"/>
      <c r="AV326" s="1235"/>
    </row>
    <row r="327" spans="1:48" ht="16.5" customHeight="1">
      <c r="A327" s="1073"/>
      <c r="B327" s="1038" t="s">
        <v>18</v>
      </c>
      <c r="C327" s="1039" t="s">
        <v>124</v>
      </c>
      <c r="D327" s="1074"/>
      <c r="E327" s="1074"/>
      <c r="F327" s="1138"/>
      <c r="G327" s="1074" t="s">
        <v>18</v>
      </c>
      <c r="H327" s="1074" t="s">
        <v>19</v>
      </c>
      <c r="I327" s="1127"/>
      <c r="J327" s="1128"/>
      <c r="K327" s="1067"/>
      <c r="L327" s="1221"/>
      <c r="M327" s="1069"/>
      <c r="N327" s="1074" t="s">
        <v>16</v>
      </c>
      <c r="O327" s="1126" t="s">
        <v>297</v>
      </c>
      <c r="P327" s="1192">
        <v>1</v>
      </c>
      <c r="Q327" s="1196">
        <v>16.100000000000001</v>
      </c>
      <c r="R327" s="1038"/>
      <c r="S327" s="1074"/>
      <c r="T327" s="1075"/>
      <c r="U327" s="1091"/>
      <c r="V327" s="1073"/>
      <c r="W327" s="1079"/>
      <c r="X327" s="1078"/>
      <c r="Y327" s="1039"/>
      <c r="Z327" s="1134"/>
      <c r="AA327" s="1074"/>
      <c r="AB327" s="1077"/>
      <c r="AC327" s="1073"/>
      <c r="AD327" s="1091"/>
      <c r="AE327" s="1076"/>
      <c r="AF327" s="1085"/>
      <c r="AG327" s="1086"/>
      <c r="AH327" s="1087">
        <v>500000</v>
      </c>
      <c r="AI327" s="1087">
        <f>AH327*Q327*0.6</f>
        <v>4830000</v>
      </c>
      <c r="AJ327" s="1088"/>
      <c r="AK327" s="1089"/>
      <c r="AL327" s="1090"/>
      <c r="AM327" s="1086"/>
      <c r="AN327" s="1086"/>
      <c r="AO327" s="1087"/>
      <c r="AP327" s="1076"/>
      <c r="AQ327" s="1087"/>
      <c r="AR327" s="1076"/>
      <c r="AS327" s="1076"/>
      <c r="AT327" s="1086"/>
      <c r="AU327" s="1088"/>
      <c r="AV327" s="1235"/>
    </row>
    <row r="328" spans="1:48" ht="49.5" customHeight="1">
      <c r="A328" s="1073"/>
      <c r="B328" s="1082" t="s">
        <v>12</v>
      </c>
      <c r="C328" s="1083" t="s">
        <v>123</v>
      </c>
      <c r="D328" s="1074"/>
      <c r="E328" s="1126"/>
      <c r="F328" s="1138"/>
      <c r="G328" s="1074"/>
      <c r="H328" s="1077"/>
      <c r="I328" s="1127"/>
      <c r="J328" s="1128"/>
      <c r="K328" s="1067"/>
      <c r="L328" s="1221"/>
      <c r="M328" s="1069"/>
      <c r="N328" s="1074" t="s">
        <v>18</v>
      </c>
      <c r="O328" s="1063" t="s">
        <v>59</v>
      </c>
      <c r="P328" s="1195">
        <v>1</v>
      </c>
      <c r="Q328" s="1196">
        <v>31.3</v>
      </c>
      <c r="R328" s="1038"/>
      <c r="S328" s="1074"/>
      <c r="T328" s="1075"/>
      <c r="U328" s="1091"/>
      <c r="V328" s="1073"/>
      <c r="W328" s="1079"/>
      <c r="X328" s="1078"/>
      <c r="Y328" s="1039"/>
      <c r="Z328" s="1134"/>
      <c r="AA328" s="1074"/>
      <c r="AB328" s="1077"/>
      <c r="AC328" s="1073"/>
      <c r="AD328" s="1091"/>
      <c r="AE328" s="1076"/>
      <c r="AF328" s="1085"/>
      <c r="AG328" s="1086"/>
      <c r="AH328" s="1087">
        <v>180000</v>
      </c>
      <c r="AI328" s="1087">
        <f>AH328*Q328*0.5</f>
        <v>2817000</v>
      </c>
      <c r="AJ328" s="1088"/>
      <c r="AK328" s="1089"/>
      <c r="AL328" s="1090"/>
      <c r="AM328" s="1086"/>
      <c r="AN328" s="1086"/>
      <c r="AO328" s="1087"/>
      <c r="AP328" s="1076"/>
      <c r="AQ328" s="1087"/>
      <c r="AR328" s="1076"/>
      <c r="AS328" s="1076"/>
      <c r="AT328" s="1086"/>
      <c r="AU328" s="1088"/>
      <c r="AV328" s="1235"/>
    </row>
    <row r="329" spans="1:48" ht="33" customHeight="1">
      <c r="A329" s="1073"/>
      <c r="B329" s="1082" t="s">
        <v>8</v>
      </c>
      <c r="C329" s="1083" t="s">
        <v>296</v>
      </c>
      <c r="D329" s="1074"/>
      <c r="E329" s="1126"/>
      <c r="F329" s="1138"/>
      <c r="G329" s="1074"/>
      <c r="H329" s="1077"/>
      <c r="I329" s="1127"/>
      <c r="J329" s="1128"/>
      <c r="K329" s="1067"/>
      <c r="L329" s="1221"/>
      <c r="M329" s="1069"/>
      <c r="N329" s="1074" t="s">
        <v>12</v>
      </c>
      <c r="O329" s="1126" t="s">
        <v>191</v>
      </c>
      <c r="P329" s="1195">
        <v>1</v>
      </c>
      <c r="Q329" s="1196">
        <v>112.88</v>
      </c>
      <c r="R329" s="1038"/>
      <c r="S329" s="1074"/>
      <c r="T329" s="1075"/>
      <c r="U329" s="1091"/>
      <c r="V329" s="1073"/>
      <c r="W329" s="1079"/>
      <c r="X329" s="1078"/>
      <c r="Y329" s="1039"/>
      <c r="Z329" s="1134"/>
      <c r="AA329" s="1074"/>
      <c r="AB329" s="1077"/>
      <c r="AC329" s="1073"/>
      <c r="AD329" s="1091"/>
      <c r="AE329" s="1076"/>
      <c r="AF329" s="1085"/>
      <c r="AG329" s="1086"/>
      <c r="AH329" s="1087">
        <v>430000</v>
      </c>
      <c r="AI329" s="1087">
        <f>AH329*Q329*0.5</f>
        <v>24269200</v>
      </c>
      <c r="AJ329" s="1088"/>
      <c r="AK329" s="1089"/>
      <c r="AL329" s="1090"/>
      <c r="AM329" s="1086"/>
      <c r="AN329" s="1086"/>
      <c r="AO329" s="1087"/>
      <c r="AP329" s="1076"/>
      <c r="AQ329" s="1087"/>
      <c r="AR329" s="1076"/>
      <c r="AS329" s="1076"/>
      <c r="AT329" s="1086"/>
      <c r="AU329" s="1088"/>
      <c r="AV329" s="1235"/>
    </row>
    <row r="330" spans="1:48" ht="16.5" customHeight="1">
      <c r="A330" s="1073"/>
      <c r="B330" s="1082"/>
      <c r="C330" s="1083"/>
      <c r="D330" s="1074"/>
      <c r="E330" s="1126"/>
      <c r="F330" s="1138"/>
      <c r="G330" s="1074"/>
      <c r="H330" s="1077"/>
      <c r="I330" s="1127"/>
      <c r="J330" s="1128"/>
      <c r="K330" s="1067"/>
      <c r="L330" s="1221"/>
      <c r="M330" s="1069"/>
      <c r="N330" s="1074" t="s">
        <v>8</v>
      </c>
      <c r="O330" s="1126" t="s">
        <v>21</v>
      </c>
      <c r="P330" s="1192">
        <v>1</v>
      </c>
      <c r="Q330" s="1196">
        <v>23.75</v>
      </c>
      <c r="R330" s="1038"/>
      <c r="S330" s="1074"/>
      <c r="T330" s="1075"/>
      <c r="U330" s="1091"/>
      <c r="V330" s="1073"/>
      <c r="W330" s="1079"/>
      <c r="X330" s="1078"/>
      <c r="Y330" s="1039"/>
      <c r="Z330" s="1134"/>
      <c r="AA330" s="1074"/>
      <c r="AB330" s="1077"/>
      <c r="AC330" s="1073"/>
      <c r="AD330" s="1091"/>
      <c r="AE330" s="1076"/>
      <c r="AF330" s="1085"/>
      <c r="AG330" s="1086"/>
      <c r="AH330" s="1087">
        <v>250000</v>
      </c>
      <c r="AI330" s="1087">
        <f>AH330*Q330*0.5</f>
        <v>2968750</v>
      </c>
      <c r="AJ330" s="1088"/>
      <c r="AK330" s="1089"/>
      <c r="AL330" s="1090"/>
      <c r="AM330" s="1086"/>
      <c r="AN330" s="1086"/>
      <c r="AO330" s="1087"/>
      <c r="AP330" s="1076"/>
      <c r="AQ330" s="1087"/>
      <c r="AR330" s="1076"/>
      <c r="AS330" s="1076"/>
      <c r="AT330" s="1086"/>
      <c r="AU330" s="1088"/>
      <c r="AV330" s="1235"/>
    </row>
    <row r="331" spans="1:48" ht="16.5" customHeight="1">
      <c r="A331" s="1073"/>
      <c r="B331" s="1082"/>
      <c r="C331" s="1083"/>
      <c r="D331" s="1074"/>
      <c r="E331" s="1126"/>
      <c r="F331" s="1138"/>
      <c r="G331" s="1074"/>
      <c r="H331" s="1077"/>
      <c r="I331" s="1127"/>
      <c r="J331" s="1128"/>
      <c r="K331" s="1067"/>
      <c r="L331" s="1221"/>
      <c r="M331" s="1069"/>
      <c r="N331" s="1074" t="s">
        <v>54</v>
      </c>
      <c r="O331" s="1126" t="s">
        <v>17</v>
      </c>
      <c r="P331" s="1192">
        <v>1</v>
      </c>
      <c r="Q331" s="1196"/>
      <c r="R331" s="1038"/>
      <c r="S331" s="1074"/>
      <c r="T331" s="1075"/>
      <c r="U331" s="1091"/>
      <c r="V331" s="1073"/>
      <c r="W331" s="1079"/>
      <c r="X331" s="1078"/>
      <c r="Y331" s="1039"/>
      <c r="Z331" s="1134"/>
      <c r="AA331" s="1074"/>
      <c r="AB331" s="1077"/>
      <c r="AC331" s="1073"/>
      <c r="AD331" s="1091"/>
      <c r="AE331" s="1076"/>
      <c r="AF331" s="1085"/>
      <c r="AG331" s="1086"/>
      <c r="AH331" s="1087">
        <v>2500000</v>
      </c>
      <c r="AI331" s="1087">
        <f>AH331*P331*0.5</f>
        <v>1250000</v>
      </c>
      <c r="AJ331" s="1088"/>
      <c r="AK331" s="1089"/>
      <c r="AL331" s="1090"/>
      <c r="AM331" s="1086"/>
      <c r="AN331" s="1086"/>
      <c r="AO331" s="1087"/>
      <c r="AP331" s="1076"/>
      <c r="AQ331" s="1087"/>
      <c r="AR331" s="1076"/>
      <c r="AS331" s="1076"/>
      <c r="AT331" s="1086"/>
      <c r="AU331" s="1088"/>
      <c r="AV331" s="1235"/>
    </row>
    <row r="332" spans="1:48" ht="16.5" customHeight="1">
      <c r="A332" s="1073"/>
      <c r="B332" s="1082"/>
      <c r="C332" s="1083"/>
      <c r="D332" s="1074"/>
      <c r="E332" s="1126"/>
      <c r="F332" s="1138"/>
      <c r="G332" s="1074"/>
      <c r="H332" s="1077"/>
      <c r="I332" s="1127"/>
      <c r="J332" s="1128"/>
      <c r="K332" s="1067"/>
      <c r="L332" s="1221"/>
      <c r="M332" s="1069"/>
      <c r="N332" s="1074" t="s">
        <v>53</v>
      </c>
      <c r="O332" s="1126" t="s">
        <v>11</v>
      </c>
      <c r="P332" s="1192">
        <v>1</v>
      </c>
      <c r="Q332" s="1196"/>
      <c r="R332" s="1038"/>
      <c r="S332" s="1074"/>
      <c r="T332" s="1075"/>
      <c r="U332" s="1091"/>
      <c r="V332" s="1073"/>
      <c r="W332" s="1079"/>
      <c r="X332" s="1078"/>
      <c r="Y332" s="1039"/>
      <c r="Z332" s="1134"/>
      <c r="AA332" s="1074"/>
      <c r="AB332" s="1077"/>
      <c r="AC332" s="1073"/>
      <c r="AD332" s="1091"/>
      <c r="AE332" s="1076"/>
      <c r="AF332" s="1085"/>
      <c r="AG332" s="1086"/>
      <c r="AH332" s="1087">
        <v>2500000</v>
      </c>
      <c r="AI332" s="1087">
        <f>AH332*P332*0.5</f>
        <v>1250000</v>
      </c>
      <c r="AJ332" s="1088"/>
      <c r="AK332" s="1089"/>
      <c r="AL332" s="1090"/>
      <c r="AM332" s="1086"/>
      <c r="AN332" s="1086"/>
      <c r="AO332" s="1087"/>
      <c r="AP332" s="1076"/>
      <c r="AQ332" s="1087"/>
      <c r="AR332" s="1076"/>
      <c r="AS332" s="1076"/>
      <c r="AT332" s="1086"/>
      <c r="AU332" s="1088"/>
      <c r="AV332" s="1235"/>
    </row>
    <row r="333" spans="1:48" ht="16.5" customHeight="1">
      <c r="A333" s="1073"/>
      <c r="B333" s="1082"/>
      <c r="C333" s="1083"/>
      <c r="D333" s="1074"/>
      <c r="E333" s="1126"/>
      <c r="F333" s="1138"/>
      <c r="G333" s="1074"/>
      <c r="H333" s="1077"/>
      <c r="I333" s="1127"/>
      <c r="J333" s="1128"/>
      <c r="K333" s="1067"/>
      <c r="L333" s="1221"/>
      <c r="M333" s="1069"/>
      <c r="N333" s="1074" t="s">
        <v>51</v>
      </c>
      <c r="O333" s="1063" t="s">
        <v>7</v>
      </c>
      <c r="P333" s="1192">
        <v>1</v>
      </c>
      <c r="Q333" s="1196">
        <v>28.2</v>
      </c>
      <c r="R333" s="1038"/>
      <c r="S333" s="1074"/>
      <c r="T333" s="1075"/>
      <c r="U333" s="1091"/>
      <c r="V333" s="1073"/>
      <c r="W333" s="1079"/>
      <c r="X333" s="1078"/>
      <c r="Y333" s="1039"/>
      <c r="Z333" s="1134"/>
      <c r="AA333" s="1074"/>
      <c r="AB333" s="1077"/>
      <c r="AC333" s="1073"/>
      <c r="AD333" s="1091"/>
      <c r="AE333" s="1076"/>
      <c r="AF333" s="1085"/>
      <c r="AG333" s="1086"/>
      <c r="AH333" s="1087">
        <v>300000</v>
      </c>
      <c r="AI333" s="1087">
        <f>AH333*Q333*0.5</f>
        <v>4230000</v>
      </c>
      <c r="AJ333" s="1088"/>
      <c r="AK333" s="1089"/>
      <c r="AL333" s="1090"/>
      <c r="AM333" s="1086"/>
      <c r="AN333" s="1086"/>
      <c r="AO333" s="1087"/>
      <c r="AP333" s="1076"/>
      <c r="AQ333" s="1087"/>
      <c r="AR333" s="1076"/>
      <c r="AS333" s="1076"/>
      <c r="AT333" s="1086"/>
      <c r="AU333" s="1088"/>
      <c r="AV333" s="1235"/>
    </row>
    <row r="334" spans="1:48" ht="16.5" customHeight="1">
      <c r="A334" s="1073"/>
      <c r="B334" s="1082"/>
      <c r="C334" s="1083"/>
      <c r="D334" s="1074"/>
      <c r="E334" s="1126"/>
      <c r="F334" s="1138"/>
      <c r="G334" s="1074"/>
      <c r="H334" s="1077"/>
      <c r="I334" s="1127"/>
      <c r="J334" s="1128"/>
      <c r="K334" s="1067"/>
      <c r="L334" s="1221"/>
      <c r="M334" s="1069"/>
      <c r="N334" s="1074" t="s">
        <v>154</v>
      </c>
      <c r="O334" s="1063" t="s">
        <v>120</v>
      </c>
      <c r="P334" s="1192">
        <v>1</v>
      </c>
      <c r="Q334" s="1196">
        <v>1.5</v>
      </c>
      <c r="R334" s="1038"/>
      <c r="S334" s="1074"/>
      <c r="T334" s="1075"/>
      <c r="U334" s="1091"/>
      <c r="V334" s="1073"/>
      <c r="W334" s="1079"/>
      <c r="X334" s="1078"/>
      <c r="Y334" s="1039"/>
      <c r="Z334" s="1134"/>
      <c r="AA334" s="1074"/>
      <c r="AB334" s="1077"/>
      <c r="AC334" s="1073"/>
      <c r="AD334" s="1091"/>
      <c r="AE334" s="1076"/>
      <c r="AF334" s="1085"/>
      <c r="AG334" s="1086"/>
      <c r="AH334" s="1087">
        <v>150000</v>
      </c>
      <c r="AI334" s="1087">
        <f>AH334*Q334*0.5</f>
        <v>112500</v>
      </c>
      <c r="AJ334" s="1088"/>
      <c r="AK334" s="1089"/>
      <c r="AL334" s="1090"/>
      <c r="AM334" s="1086"/>
      <c r="AN334" s="1086"/>
      <c r="AO334" s="1087"/>
      <c r="AP334" s="1076"/>
      <c r="AQ334" s="1087"/>
      <c r="AR334" s="1076"/>
      <c r="AS334" s="1076"/>
      <c r="AT334" s="1086"/>
      <c r="AU334" s="1088"/>
      <c r="AV334" s="1235"/>
    </row>
    <row r="335" spans="1:48" ht="16.5" customHeight="1">
      <c r="A335" s="1073"/>
      <c r="B335" s="1082"/>
      <c r="C335" s="1083"/>
      <c r="D335" s="1074"/>
      <c r="E335" s="1126"/>
      <c r="F335" s="1138"/>
      <c r="G335" s="1074"/>
      <c r="H335" s="1077"/>
      <c r="I335" s="1127"/>
      <c r="J335" s="1128"/>
      <c r="K335" s="1067"/>
      <c r="L335" s="1221"/>
      <c r="M335" s="1069"/>
      <c r="N335" s="1074" t="s">
        <v>172</v>
      </c>
      <c r="O335" s="1126" t="s">
        <v>295</v>
      </c>
      <c r="P335" s="1192">
        <v>1</v>
      </c>
      <c r="Q335" s="1196">
        <v>18.899999999999999</v>
      </c>
      <c r="R335" s="1038"/>
      <c r="S335" s="1074"/>
      <c r="T335" s="1075"/>
      <c r="U335" s="1091"/>
      <c r="V335" s="1073"/>
      <c r="W335" s="1079"/>
      <c r="X335" s="1078"/>
      <c r="Y335" s="1039"/>
      <c r="Z335" s="1134"/>
      <c r="AA335" s="1074"/>
      <c r="AB335" s="1077"/>
      <c r="AC335" s="1073"/>
      <c r="AD335" s="1091"/>
      <c r="AE335" s="1076"/>
      <c r="AF335" s="1085"/>
      <c r="AG335" s="1086"/>
      <c r="AH335" s="1087">
        <v>100000</v>
      </c>
      <c r="AI335" s="1087">
        <f>AH335*Q335*0.5</f>
        <v>944999.99999999988</v>
      </c>
      <c r="AJ335" s="1088"/>
      <c r="AK335" s="1089"/>
      <c r="AL335" s="1090"/>
      <c r="AM335" s="1086"/>
      <c r="AN335" s="1086"/>
      <c r="AO335" s="1087"/>
      <c r="AP335" s="1076"/>
      <c r="AQ335" s="1087"/>
      <c r="AR335" s="1076"/>
      <c r="AS335" s="1076"/>
      <c r="AT335" s="1086"/>
      <c r="AU335" s="1088"/>
      <c r="AV335" s="1235"/>
    </row>
    <row r="336" spans="1:48" ht="29.25" customHeight="1">
      <c r="A336" s="1107"/>
      <c r="B336" s="1095"/>
      <c r="C336" s="1186"/>
      <c r="D336" s="1094"/>
      <c r="E336" s="1149"/>
      <c r="F336" s="1150"/>
      <c r="G336" s="1094"/>
      <c r="H336" s="1151"/>
      <c r="I336" s="1152"/>
      <c r="J336" s="1153"/>
      <c r="K336" s="1101"/>
      <c r="L336" s="1224"/>
      <c r="M336" s="1103"/>
      <c r="N336" s="1094"/>
      <c r="O336" s="1156"/>
      <c r="P336" s="1107"/>
      <c r="Q336" s="1151"/>
      <c r="R336" s="1095"/>
      <c r="S336" s="1094"/>
      <c r="T336" s="1168"/>
      <c r="U336" s="1109"/>
      <c r="V336" s="1107"/>
      <c r="W336" s="1111"/>
      <c r="X336" s="1110"/>
      <c r="Y336" s="1096"/>
      <c r="Z336" s="1286"/>
      <c r="AA336" s="1094"/>
      <c r="AB336" s="1151"/>
      <c r="AC336" s="1107"/>
      <c r="AD336" s="1109"/>
      <c r="AE336" s="1108"/>
      <c r="AF336" s="1115"/>
      <c r="AG336" s="1116"/>
      <c r="AH336" s="1117"/>
      <c r="AI336" s="1117"/>
      <c r="AJ336" s="1118"/>
      <c r="AK336" s="1119"/>
      <c r="AL336" s="1120"/>
      <c r="AM336" s="1116"/>
      <c r="AN336" s="1116"/>
      <c r="AO336" s="1117"/>
      <c r="AP336" s="1108"/>
      <c r="AQ336" s="1117"/>
      <c r="AR336" s="1108"/>
      <c r="AS336" s="1108"/>
      <c r="AT336" s="1116"/>
      <c r="AU336" s="1118"/>
      <c r="AV336" s="1287"/>
    </row>
    <row r="337" spans="1:48" ht="16.5" customHeight="1">
      <c r="A337" s="1169">
        <v>27</v>
      </c>
      <c r="B337" s="1033" t="s">
        <v>25</v>
      </c>
      <c r="C337" s="1036" t="s">
        <v>294</v>
      </c>
      <c r="D337" s="1170"/>
      <c r="E337" s="1034"/>
      <c r="F337" s="1171" t="s">
        <v>293</v>
      </c>
      <c r="G337" s="1172" t="s">
        <v>25</v>
      </c>
      <c r="H337" s="1173" t="s">
        <v>29</v>
      </c>
      <c r="I337" s="1275">
        <v>202</v>
      </c>
      <c r="J337" s="1175" t="s">
        <v>41</v>
      </c>
      <c r="K337" s="1041" t="s">
        <v>292</v>
      </c>
      <c r="L337" s="1129" t="s">
        <v>46</v>
      </c>
      <c r="M337" s="1043"/>
      <c r="N337" s="1170"/>
      <c r="O337" s="1181"/>
      <c r="P337" s="1323"/>
      <c r="Q337" s="1324"/>
      <c r="R337" s="1033" t="s">
        <v>25</v>
      </c>
      <c r="S337" s="1034" t="s">
        <v>24</v>
      </c>
      <c r="T337" s="1048">
        <v>2</v>
      </c>
      <c r="U337" s="1180">
        <v>1</v>
      </c>
      <c r="V337" s="1047" t="s">
        <v>56</v>
      </c>
      <c r="W337" s="1241" t="s">
        <v>46</v>
      </c>
      <c r="X337" s="1201">
        <v>2</v>
      </c>
      <c r="Y337" s="1242" t="s">
        <v>46</v>
      </c>
      <c r="Z337" s="1143">
        <f>SUM(X337:Y337)</f>
        <v>2</v>
      </c>
      <c r="AA337" s="1170"/>
      <c r="AB337" s="1173"/>
      <c r="AC337" s="1047"/>
      <c r="AD337" s="1055"/>
      <c r="AE337" s="1032"/>
      <c r="AF337" s="1056">
        <f>Resum!F1</f>
        <v>356000</v>
      </c>
      <c r="AG337" s="1086">
        <f>AF337*I337</f>
        <v>71912000</v>
      </c>
      <c r="AH337" s="1058"/>
      <c r="AI337" s="1058"/>
      <c r="AJ337" s="1059"/>
      <c r="AK337" s="1060">
        <v>25000</v>
      </c>
      <c r="AL337" s="1090">
        <f>AK337*X337</f>
        <v>50000</v>
      </c>
      <c r="AM337" s="1057">
        <f>SUM(AL337:AL348)</f>
        <v>2313920</v>
      </c>
      <c r="AN337" s="1086">
        <f>AM337+AJ337+AG337</f>
        <v>74225920</v>
      </c>
      <c r="AO337" s="1058"/>
      <c r="AP337" s="1136">
        <f>AI338*15%</f>
        <v>0</v>
      </c>
      <c r="AQ337" s="1087">
        <v>0</v>
      </c>
      <c r="AR337" s="1136">
        <f>(AG337+AI337)*5%</f>
        <v>3595600</v>
      </c>
      <c r="AS337" s="1087">
        <f>0.5%*(AG337+AI337)*(3)</f>
        <v>1078680</v>
      </c>
      <c r="AT337" s="1086">
        <f>+AS337+AR337+AQ337+AP337+AO337</f>
        <v>4674280</v>
      </c>
      <c r="AU337" s="1137">
        <f>ROUND(AT337+AN337,-3)</f>
        <v>78900000</v>
      </c>
      <c r="AV337" s="1041"/>
    </row>
    <row r="338" spans="1:48" ht="16.5" customHeight="1">
      <c r="A338" s="1073"/>
      <c r="B338" s="1038" t="s">
        <v>16</v>
      </c>
      <c r="C338" s="1071" t="s">
        <v>291</v>
      </c>
      <c r="D338" s="1074"/>
      <c r="E338" s="1063"/>
      <c r="F338" s="1138"/>
      <c r="G338" s="1074" t="s">
        <v>16</v>
      </c>
      <c r="H338" s="1074" t="s">
        <v>22</v>
      </c>
      <c r="I338" s="1127"/>
      <c r="J338" s="1128"/>
      <c r="K338" s="1067"/>
      <c r="L338" s="1139"/>
      <c r="M338" s="1069"/>
      <c r="N338" s="1074"/>
      <c r="O338" s="1063"/>
      <c r="P338" s="1258"/>
      <c r="Q338" s="1325"/>
      <c r="R338" s="1038"/>
      <c r="S338" s="1074"/>
      <c r="T338" s="1075"/>
      <c r="U338" s="1091">
        <v>2</v>
      </c>
      <c r="V338" s="1185" t="s">
        <v>290</v>
      </c>
      <c r="W338" s="1241" t="s">
        <v>46</v>
      </c>
      <c r="X338" s="1141">
        <v>2</v>
      </c>
      <c r="Y338" s="1242" t="s">
        <v>46</v>
      </c>
      <c r="Z338" s="1143">
        <f>SUM(X338:Y338)</f>
        <v>2</v>
      </c>
      <c r="AA338" s="1074"/>
      <c r="AB338" s="1126"/>
      <c r="AC338" s="1073"/>
      <c r="AD338" s="1084"/>
      <c r="AE338" s="1062"/>
      <c r="AF338" s="1085"/>
      <c r="AG338" s="1086"/>
      <c r="AH338" s="1087"/>
      <c r="AI338" s="1087"/>
      <c r="AJ338" s="1088"/>
      <c r="AK338" s="1089">
        <v>31000</v>
      </c>
      <c r="AL338" s="1090">
        <f>AK338*X338</f>
        <v>62000</v>
      </c>
      <c r="AM338" s="1086"/>
      <c r="AN338" s="1086"/>
      <c r="AO338" s="1087"/>
      <c r="AP338" s="1076"/>
      <c r="AQ338" s="1087"/>
      <c r="AR338" s="1076"/>
      <c r="AS338" s="1076"/>
      <c r="AT338" s="1086"/>
      <c r="AU338" s="1088"/>
      <c r="AV338" s="1067"/>
    </row>
    <row r="339" spans="1:48" ht="16.5" customHeight="1">
      <c r="A339" s="1073"/>
      <c r="B339" s="1038" t="s">
        <v>18</v>
      </c>
      <c r="C339" s="1039" t="s">
        <v>289</v>
      </c>
      <c r="D339" s="1074"/>
      <c r="E339" s="1074"/>
      <c r="F339" s="1138"/>
      <c r="G339" s="1074" t="s">
        <v>18</v>
      </c>
      <c r="H339" s="1074" t="s">
        <v>19</v>
      </c>
      <c r="I339" s="1127"/>
      <c r="J339" s="1128"/>
      <c r="K339" s="1067"/>
      <c r="L339" s="1139"/>
      <c r="M339" s="1069"/>
      <c r="N339" s="1074"/>
      <c r="O339" s="1063"/>
      <c r="P339" s="1258"/>
      <c r="Q339" s="1259"/>
      <c r="R339" s="1038"/>
      <c r="S339" s="1074"/>
      <c r="T339" s="1075"/>
      <c r="U339" s="1091">
        <v>1</v>
      </c>
      <c r="V339" s="1255" t="s">
        <v>48</v>
      </c>
      <c r="W339" s="1241">
        <v>10</v>
      </c>
      <c r="X339" s="1241" t="s">
        <v>46</v>
      </c>
      <c r="Y339" s="1242"/>
      <c r="Z339" s="1143"/>
      <c r="AA339" s="1074"/>
      <c r="AB339" s="1126"/>
      <c r="AC339" s="1073"/>
      <c r="AD339" s="1084"/>
      <c r="AE339" s="1062"/>
      <c r="AF339" s="1085"/>
      <c r="AG339" s="1086"/>
      <c r="AH339" s="1087"/>
      <c r="AI339" s="1087"/>
      <c r="AJ339" s="1088"/>
      <c r="AK339" s="1089">
        <v>15000</v>
      </c>
      <c r="AL339" s="1090">
        <f t="shared" si="28"/>
        <v>150000</v>
      </c>
      <c r="AM339" s="1086"/>
      <c r="AN339" s="1086"/>
      <c r="AO339" s="1087"/>
      <c r="AP339" s="1076"/>
      <c r="AQ339" s="1087"/>
      <c r="AR339" s="1076"/>
      <c r="AS339" s="1076"/>
      <c r="AT339" s="1086"/>
      <c r="AU339" s="1088"/>
      <c r="AV339" s="1067"/>
    </row>
    <row r="340" spans="1:48" ht="49.5" customHeight="1">
      <c r="A340" s="1073"/>
      <c r="B340" s="1082" t="s">
        <v>12</v>
      </c>
      <c r="C340" s="1083" t="s">
        <v>13</v>
      </c>
      <c r="D340" s="1074"/>
      <c r="E340" s="1126"/>
      <c r="F340" s="1138"/>
      <c r="G340" s="1074"/>
      <c r="H340" s="1077"/>
      <c r="I340" s="1127"/>
      <c r="J340" s="1128"/>
      <c r="K340" s="1067"/>
      <c r="L340" s="1139"/>
      <c r="M340" s="1069"/>
      <c r="N340" s="1074"/>
      <c r="O340" s="1257"/>
      <c r="P340" s="1073"/>
      <c r="Q340" s="1077"/>
      <c r="R340" s="1038" t="s">
        <v>16</v>
      </c>
      <c r="S340" s="1074" t="s">
        <v>15</v>
      </c>
      <c r="T340" s="1075"/>
      <c r="U340" s="1091"/>
      <c r="V340" s="1255" t="s">
        <v>48</v>
      </c>
      <c r="W340" s="1241"/>
      <c r="X340" s="1241" t="s">
        <v>46</v>
      </c>
      <c r="Y340" s="1242">
        <v>50</v>
      </c>
      <c r="Z340" s="1143">
        <f t="shared" ref="Z340:Z347" si="30">SUM(W340:Y340)</f>
        <v>50</v>
      </c>
      <c r="AA340" s="1074"/>
      <c r="AB340" s="1126"/>
      <c r="AC340" s="1073"/>
      <c r="AD340" s="1084"/>
      <c r="AE340" s="1062"/>
      <c r="AF340" s="1085"/>
      <c r="AG340" s="1086"/>
      <c r="AH340" s="1087"/>
      <c r="AI340" s="1087"/>
      <c r="AJ340" s="1088"/>
      <c r="AK340" s="1089">
        <v>5000</v>
      </c>
      <c r="AL340" s="1090">
        <f>AK340*Y340</f>
        <v>250000</v>
      </c>
      <c r="AM340" s="1086"/>
      <c r="AN340" s="1086"/>
      <c r="AO340" s="1087"/>
      <c r="AP340" s="1076"/>
      <c r="AQ340" s="1087"/>
      <c r="AR340" s="1076"/>
      <c r="AS340" s="1076"/>
      <c r="AT340" s="1086"/>
      <c r="AU340" s="1088"/>
      <c r="AV340" s="1067"/>
    </row>
    <row r="341" spans="1:48" ht="16.5" customHeight="1">
      <c r="A341" s="1073"/>
      <c r="B341" s="1082" t="s">
        <v>8</v>
      </c>
      <c r="C341" s="1147" t="s">
        <v>288</v>
      </c>
      <c r="D341" s="1074"/>
      <c r="E341" s="1126"/>
      <c r="F341" s="1138"/>
      <c r="G341" s="1074"/>
      <c r="H341" s="1077"/>
      <c r="I341" s="1127"/>
      <c r="J341" s="1128"/>
      <c r="K341" s="1067"/>
      <c r="L341" s="1139"/>
      <c r="M341" s="1069"/>
      <c r="N341" s="1074"/>
      <c r="O341" s="1257"/>
      <c r="P341" s="1073"/>
      <c r="Q341" s="1077"/>
      <c r="R341" s="1038"/>
      <c r="S341" s="1074"/>
      <c r="T341" s="1075"/>
      <c r="U341" s="1091">
        <v>2</v>
      </c>
      <c r="V341" s="1255" t="s">
        <v>137</v>
      </c>
      <c r="W341" s="1241">
        <v>1</v>
      </c>
      <c r="X341" s="1241">
        <v>0</v>
      </c>
      <c r="Y341" s="1242" t="s">
        <v>46</v>
      </c>
      <c r="Z341" s="1143">
        <f t="shared" si="30"/>
        <v>1</v>
      </c>
      <c r="AA341" s="1074"/>
      <c r="AB341" s="1126"/>
      <c r="AC341" s="1073"/>
      <c r="AD341" s="1084"/>
      <c r="AE341" s="1062"/>
      <c r="AF341" s="1085"/>
      <c r="AG341" s="1086"/>
      <c r="AH341" s="1087"/>
      <c r="AI341" s="1087"/>
      <c r="AJ341" s="1088"/>
      <c r="AK341" s="1089">
        <v>125000</v>
      </c>
      <c r="AL341" s="1090">
        <f t="shared" si="28"/>
        <v>125000</v>
      </c>
      <c r="AM341" s="1086"/>
      <c r="AN341" s="1086"/>
      <c r="AO341" s="1087"/>
      <c r="AP341" s="1076"/>
      <c r="AQ341" s="1087"/>
      <c r="AR341" s="1076"/>
      <c r="AS341" s="1076"/>
      <c r="AT341" s="1086"/>
      <c r="AU341" s="1088"/>
      <c r="AV341" s="1067"/>
    </row>
    <row r="342" spans="1:48" ht="16.5" customHeight="1">
      <c r="A342" s="1073"/>
      <c r="B342" s="1082"/>
      <c r="C342" s="1083"/>
      <c r="D342" s="1074"/>
      <c r="E342" s="1126"/>
      <c r="F342" s="1138"/>
      <c r="G342" s="1074"/>
      <c r="H342" s="1077"/>
      <c r="I342" s="1127"/>
      <c r="J342" s="1128"/>
      <c r="K342" s="1067"/>
      <c r="L342" s="1139"/>
      <c r="M342" s="1069"/>
      <c r="N342" s="1074"/>
      <c r="O342" s="1257"/>
      <c r="P342" s="1073"/>
      <c r="Q342" s="1077"/>
      <c r="R342" s="1038"/>
      <c r="S342" s="1074"/>
      <c r="T342" s="1075"/>
      <c r="U342" s="1091">
        <v>3</v>
      </c>
      <c r="V342" s="1255" t="s">
        <v>14</v>
      </c>
      <c r="W342" s="1241">
        <v>2</v>
      </c>
      <c r="X342" s="1326">
        <v>0</v>
      </c>
      <c r="Y342" s="1242"/>
      <c r="Z342" s="1143">
        <f t="shared" si="30"/>
        <v>2</v>
      </c>
      <c r="AA342" s="1074"/>
      <c r="AB342" s="1126"/>
      <c r="AC342" s="1073"/>
      <c r="AD342" s="1084"/>
      <c r="AE342" s="1062"/>
      <c r="AF342" s="1085"/>
      <c r="AG342" s="1086"/>
      <c r="AH342" s="1087"/>
      <c r="AI342" s="1087"/>
      <c r="AJ342" s="1088"/>
      <c r="AK342" s="1089">
        <v>350000</v>
      </c>
      <c r="AL342" s="1087">
        <f t="shared" si="28"/>
        <v>700000</v>
      </c>
      <c r="AM342" s="1086"/>
      <c r="AN342" s="1086"/>
      <c r="AO342" s="1087"/>
      <c r="AP342" s="1076"/>
      <c r="AQ342" s="1087"/>
      <c r="AR342" s="1076"/>
      <c r="AS342" s="1076"/>
      <c r="AT342" s="1086"/>
      <c r="AU342" s="1088"/>
      <c r="AV342" s="1067"/>
    </row>
    <row r="343" spans="1:48" ht="16.5" customHeight="1">
      <c r="A343" s="1073"/>
      <c r="B343" s="1082"/>
      <c r="C343" s="1083"/>
      <c r="D343" s="1074"/>
      <c r="E343" s="1126"/>
      <c r="F343" s="1138"/>
      <c r="G343" s="1074"/>
      <c r="H343" s="1077"/>
      <c r="I343" s="1127"/>
      <c r="J343" s="1128"/>
      <c r="K343" s="1067"/>
      <c r="L343" s="1139"/>
      <c r="M343" s="1069"/>
      <c r="N343" s="1074"/>
      <c r="O343" s="1257"/>
      <c r="P343" s="1073"/>
      <c r="Q343" s="1077"/>
      <c r="R343" s="1038"/>
      <c r="S343" s="1074"/>
      <c r="T343" s="1075"/>
      <c r="U343" s="1091">
        <v>4</v>
      </c>
      <c r="V343" s="1255" t="s">
        <v>130</v>
      </c>
      <c r="W343" s="1241" t="s">
        <v>46</v>
      </c>
      <c r="X343" s="1241">
        <v>6</v>
      </c>
      <c r="Y343" s="1242">
        <v>0</v>
      </c>
      <c r="Z343" s="1143">
        <f t="shared" si="30"/>
        <v>6</v>
      </c>
      <c r="AA343" s="1074"/>
      <c r="AB343" s="1126"/>
      <c r="AC343" s="1073"/>
      <c r="AD343" s="1084"/>
      <c r="AE343" s="1062"/>
      <c r="AF343" s="1085"/>
      <c r="AG343" s="1086"/>
      <c r="AH343" s="1087"/>
      <c r="AI343" s="1087"/>
      <c r="AJ343" s="1088"/>
      <c r="AK343" s="1089">
        <v>125000</v>
      </c>
      <c r="AL343" s="1090">
        <f>AK343*X343</f>
        <v>750000</v>
      </c>
      <c r="AM343" s="1086"/>
      <c r="AN343" s="1086"/>
      <c r="AO343" s="1087"/>
      <c r="AP343" s="1076"/>
      <c r="AQ343" s="1087"/>
      <c r="AR343" s="1076"/>
      <c r="AS343" s="1076"/>
      <c r="AT343" s="1086"/>
      <c r="AU343" s="1088"/>
      <c r="AV343" s="1067"/>
    </row>
    <row r="344" spans="1:48" ht="16.5" customHeight="1">
      <c r="A344" s="1073"/>
      <c r="B344" s="1082"/>
      <c r="C344" s="1083"/>
      <c r="D344" s="1074"/>
      <c r="E344" s="1126"/>
      <c r="F344" s="1138"/>
      <c r="G344" s="1074"/>
      <c r="H344" s="1077"/>
      <c r="I344" s="1127"/>
      <c r="J344" s="1128"/>
      <c r="K344" s="1067"/>
      <c r="L344" s="1139"/>
      <c r="M344" s="1069"/>
      <c r="N344" s="1074"/>
      <c r="O344" s="1257"/>
      <c r="P344" s="1073"/>
      <c r="Q344" s="1077"/>
      <c r="R344" s="1038"/>
      <c r="S344" s="1074"/>
      <c r="T344" s="1075"/>
      <c r="U344" s="1091">
        <v>5</v>
      </c>
      <c r="V344" s="1255" t="s">
        <v>287</v>
      </c>
      <c r="W344" s="1241">
        <v>15</v>
      </c>
      <c r="X344" s="1241" t="s">
        <v>46</v>
      </c>
      <c r="Y344" s="1242">
        <v>0</v>
      </c>
      <c r="Z344" s="1143">
        <f t="shared" si="30"/>
        <v>15</v>
      </c>
      <c r="AA344" s="1074"/>
      <c r="AB344" s="1126"/>
      <c r="AC344" s="1073"/>
      <c r="AD344" s="1084"/>
      <c r="AE344" s="1062"/>
      <c r="AF344" s="1085"/>
      <c r="AG344" s="1086"/>
      <c r="AH344" s="1087"/>
      <c r="AI344" s="1087"/>
      <c r="AJ344" s="1088"/>
      <c r="AK344" s="1089">
        <v>10000</v>
      </c>
      <c r="AL344" s="1090">
        <f t="shared" si="28"/>
        <v>150000</v>
      </c>
      <c r="AM344" s="1086"/>
      <c r="AN344" s="1086"/>
      <c r="AO344" s="1087"/>
      <c r="AP344" s="1076"/>
      <c r="AQ344" s="1087"/>
      <c r="AR344" s="1076"/>
      <c r="AS344" s="1076"/>
      <c r="AT344" s="1086"/>
      <c r="AU344" s="1088"/>
      <c r="AV344" s="1067"/>
    </row>
    <row r="345" spans="1:48" ht="16.5" customHeight="1">
      <c r="A345" s="1073"/>
      <c r="B345" s="1082"/>
      <c r="C345" s="1083"/>
      <c r="D345" s="1074"/>
      <c r="E345" s="1126"/>
      <c r="F345" s="1138"/>
      <c r="G345" s="1074"/>
      <c r="H345" s="1077"/>
      <c r="I345" s="1127"/>
      <c r="J345" s="1128"/>
      <c r="K345" s="1067"/>
      <c r="L345" s="1139"/>
      <c r="M345" s="1069"/>
      <c r="N345" s="1074"/>
      <c r="O345" s="1257"/>
      <c r="P345" s="1073"/>
      <c r="Q345" s="1077"/>
      <c r="R345" s="1038"/>
      <c r="S345" s="1074"/>
      <c r="T345" s="1075"/>
      <c r="U345" s="1091">
        <v>6</v>
      </c>
      <c r="V345" s="1255" t="s">
        <v>286</v>
      </c>
      <c r="W345" s="1241">
        <v>20</v>
      </c>
      <c r="X345" s="1241">
        <v>0</v>
      </c>
      <c r="Y345" s="1242">
        <v>0</v>
      </c>
      <c r="Z345" s="1143">
        <f t="shared" si="30"/>
        <v>20</v>
      </c>
      <c r="AA345" s="1074"/>
      <c r="AB345" s="1126"/>
      <c r="AC345" s="1073"/>
      <c r="AD345" s="1084"/>
      <c r="AE345" s="1062"/>
      <c r="AF345" s="1085"/>
      <c r="AG345" s="1086"/>
      <c r="AH345" s="1087"/>
      <c r="AI345" s="1087"/>
      <c r="AJ345" s="1088"/>
      <c r="AK345" s="1089">
        <v>1605</v>
      </c>
      <c r="AL345" s="1090">
        <f t="shared" si="28"/>
        <v>32100</v>
      </c>
      <c r="AM345" s="1086"/>
      <c r="AN345" s="1086"/>
      <c r="AO345" s="1087"/>
      <c r="AP345" s="1076"/>
      <c r="AQ345" s="1087"/>
      <c r="AR345" s="1076"/>
      <c r="AS345" s="1076"/>
      <c r="AT345" s="1086"/>
      <c r="AU345" s="1088"/>
      <c r="AV345" s="1067"/>
    </row>
    <row r="346" spans="1:48" ht="16.5" customHeight="1">
      <c r="A346" s="1073"/>
      <c r="B346" s="1082"/>
      <c r="C346" s="1083"/>
      <c r="D346" s="1074"/>
      <c r="E346" s="1126"/>
      <c r="F346" s="1138"/>
      <c r="G346" s="1074"/>
      <c r="H346" s="1077"/>
      <c r="I346" s="1127"/>
      <c r="J346" s="1128"/>
      <c r="K346" s="1067"/>
      <c r="L346" s="1139"/>
      <c r="M346" s="1069"/>
      <c r="N346" s="1074"/>
      <c r="O346" s="1257"/>
      <c r="P346" s="1073"/>
      <c r="Q346" s="1077"/>
      <c r="R346" s="1038"/>
      <c r="S346" s="1074"/>
      <c r="T346" s="1075"/>
      <c r="U346" s="1091">
        <v>7</v>
      </c>
      <c r="V346" s="1255" t="s">
        <v>285</v>
      </c>
      <c r="W346" s="1241">
        <v>3</v>
      </c>
      <c r="X346" s="1241">
        <v>0</v>
      </c>
      <c r="Y346" s="1242">
        <v>0</v>
      </c>
      <c r="Z346" s="1143">
        <f t="shared" si="30"/>
        <v>3</v>
      </c>
      <c r="AA346" s="1074"/>
      <c r="AB346" s="1126"/>
      <c r="AC346" s="1073"/>
      <c r="AD346" s="1084"/>
      <c r="AE346" s="1062"/>
      <c r="AF346" s="1085"/>
      <c r="AG346" s="1086"/>
      <c r="AH346" s="1087"/>
      <c r="AI346" s="1087"/>
      <c r="AJ346" s="1088"/>
      <c r="AK346" s="1089">
        <v>1540</v>
      </c>
      <c r="AL346" s="1090">
        <f t="shared" ref="AL346:AL411" si="31">AK346*W346</f>
        <v>4620</v>
      </c>
      <c r="AM346" s="1086"/>
      <c r="AN346" s="1086"/>
      <c r="AO346" s="1087"/>
      <c r="AP346" s="1076"/>
      <c r="AQ346" s="1087"/>
      <c r="AR346" s="1076"/>
      <c r="AS346" s="1076"/>
      <c r="AT346" s="1086"/>
      <c r="AU346" s="1088"/>
      <c r="AV346" s="1067"/>
    </row>
    <row r="347" spans="1:48" ht="16.5" customHeight="1">
      <c r="A347" s="1073"/>
      <c r="C347" s="1247"/>
      <c r="D347" s="1074"/>
      <c r="E347" s="1126"/>
      <c r="F347" s="1138"/>
      <c r="G347" s="1074"/>
      <c r="H347" s="1077"/>
      <c r="I347" s="1127"/>
      <c r="J347" s="1128"/>
      <c r="K347" s="1067"/>
      <c r="L347" s="1139"/>
      <c r="M347" s="1069"/>
      <c r="N347" s="1074"/>
      <c r="O347" s="1257"/>
      <c r="P347" s="1073"/>
      <c r="Q347" s="1077"/>
      <c r="R347" s="1038"/>
      <c r="S347" s="1074"/>
      <c r="T347" s="1075"/>
      <c r="U347" s="1091">
        <v>8</v>
      </c>
      <c r="V347" s="1255" t="s">
        <v>144</v>
      </c>
      <c r="W347" s="1241">
        <v>2</v>
      </c>
      <c r="X347" s="1241">
        <v>0</v>
      </c>
      <c r="Y347" s="1242">
        <v>0</v>
      </c>
      <c r="Z347" s="1143">
        <f t="shared" si="30"/>
        <v>2</v>
      </c>
      <c r="AA347" s="1074"/>
      <c r="AB347" s="1126"/>
      <c r="AC347" s="1073"/>
      <c r="AD347" s="1084"/>
      <c r="AE347" s="1062"/>
      <c r="AF347" s="1085"/>
      <c r="AG347" s="1086"/>
      <c r="AH347" s="1087"/>
      <c r="AI347" s="1087"/>
      <c r="AJ347" s="1088"/>
      <c r="AK347" s="1089">
        <v>20100</v>
      </c>
      <c r="AL347" s="1090">
        <f t="shared" si="31"/>
        <v>40200</v>
      </c>
      <c r="AM347" s="1086"/>
      <c r="AN347" s="1086"/>
      <c r="AO347" s="1087"/>
      <c r="AP347" s="1076"/>
      <c r="AQ347" s="1087"/>
      <c r="AR347" s="1076"/>
      <c r="AS347" s="1076"/>
      <c r="AT347" s="1086"/>
      <c r="AU347" s="1088"/>
      <c r="AV347" s="1067"/>
    </row>
    <row r="348" spans="1:48" ht="16.5" customHeight="1">
      <c r="A348" s="1073"/>
      <c r="B348" s="1038"/>
      <c r="C348" s="1327"/>
      <c r="D348" s="1074"/>
      <c r="E348" s="1328"/>
      <c r="F348" s="1150"/>
      <c r="G348" s="1074"/>
      <c r="H348" s="1077"/>
      <c r="I348" s="1152"/>
      <c r="J348" s="1153"/>
      <c r="K348" s="1101"/>
      <c r="L348" s="1154"/>
      <c r="M348" s="1103"/>
      <c r="N348" s="1074"/>
      <c r="O348" s="1126"/>
      <c r="P348" s="1073"/>
      <c r="Q348" s="1077"/>
      <c r="R348" s="1038"/>
      <c r="S348" s="1074"/>
      <c r="T348" s="1075"/>
      <c r="U348" s="1091"/>
      <c r="V348" s="1107"/>
      <c r="W348" s="1110"/>
      <c r="X348" s="1110"/>
      <c r="Y348" s="1039"/>
      <c r="Z348" s="1134"/>
      <c r="AA348" s="1074"/>
      <c r="AB348" s="1126"/>
      <c r="AC348" s="1073"/>
      <c r="AD348" s="1084"/>
      <c r="AE348" s="1062"/>
      <c r="AF348" s="1085"/>
      <c r="AG348" s="1116"/>
      <c r="AH348" s="1087"/>
      <c r="AI348" s="1117"/>
      <c r="AJ348" s="1088"/>
      <c r="AK348" s="1089"/>
      <c r="AL348" s="1120"/>
      <c r="AM348" s="1086"/>
      <c r="AN348" s="1116"/>
      <c r="AO348" s="1087"/>
      <c r="AP348" s="1108"/>
      <c r="AQ348" s="1117"/>
      <c r="AR348" s="1108"/>
      <c r="AS348" s="1108"/>
      <c r="AT348" s="1116"/>
      <c r="AU348" s="1118"/>
      <c r="AV348" s="1101"/>
    </row>
    <row r="349" spans="1:48" ht="16.5" customHeight="1">
      <c r="A349" s="1269">
        <v>28</v>
      </c>
      <c r="B349" s="1033" t="s">
        <v>25</v>
      </c>
      <c r="C349" s="1036" t="s">
        <v>284</v>
      </c>
      <c r="D349" s="1033"/>
      <c r="E349" s="1036"/>
      <c r="F349" s="1171" t="s">
        <v>283</v>
      </c>
      <c r="G349" s="1272" t="s">
        <v>25</v>
      </c>
      <c r="H349" s="1273" t="s">
        <v>29</v>
      </c>
      <c r="I349" s="1329">
        <v>186</v>
      </c>
      <c r="J349" s="1043" t="s">
        <v>41</v>
      </c>
      <c r="K349" s="1330" t="s">
        <v>282</v>
      </c>
      <c r="L349" s="1129" t="s">
        <v>46</v>
      </c>
      <c r="M349" s="1331"/>
      <c r="N349" s="1033" t="s">
        <v>25</v>
      </c>
      <c r="O349" s="1190" t="s">
        <v>26</v>
      </c>
      <c r="P349" s="1332">
        <v>1</v>
      </c>
      <c r="Q349" s="1212">
        <v>104</v>
      </c>
      <c r="R349" s="1033" t="s">
        <v>25</v>
      </c>
      <c r="S349" s="1036" t="s">
        <v>24</v>
      </c>
      <c r="T349" s="1048"/>
      <c r="U349" s="1180"/>
      <c r="V349" s="1047"/>
      <c r="W349" s="1052"/>
      <c r="X349" s="1051"/>
      <c r="Y349" s="1036"/>
      <c r="Z349" s="1203"/>
      <c r="AA349" s="1170"/>
      <c r="AB349" s="1173"/>
      <c r="AC349" s="1047"/>
      <c r="AD349" s="1055"/>
      <c r="AE349" s="1032"/>
      <c r="AF349" s="1333">
        <f>Resum!F1</f>
        <v>356000</v>
      </c>
      <c r="AG349" s="1086">
        <f>AF349*I349</f>
        <v>66216000</v>
      </c>
      <c r="AH349" s="1334">
        <v>2200000</v>
      </c>
      <c r="AI349" s="1087">
        <f>AH349*Q349*0.7</f>
        <v>160160000</v>
      </c>
      <c r="AJ349" s="1335">
        <f>SUM(AI349:AI351)</f>
        <v>162882500</v>
      </c>
      <c r="AK349" s="1336"/>
      <c r="AL349" s="1090"/>
      <c r="AM349" s="1337">
        <f>SUM(AL349:AL355)</f>
        <v>1246500</v>
      </c>
      <c r="AN349" s="1086">
        <f>AM349+AJ349+AG349</f>
        <v>230345000</v>
      </c>
      <c r="AO349" s="1334"/>
      <c r="AP349" s="1136">
        <f>(AG349+AI349)*15%</f>
        <v>33956400</v>
      </c>
      <c r="AQ349" s="1087">
        <f>(AG349+AI349)*1%</f>
        <v>2263760</v>
      </c>
      <c r="AR349" s="1136">
        <f>(AG349+AI349)*5%</f>
        <v>11318800</v>
      </c>
      <c r="AS349" s="1087">
        <f>0.5%*(AG349+AI349)*(3)</f>
        <v>3395640</v>
      </c>
      <c r="AT349" s="1086">
        <f>+AS349+AR349+AQ349+AP349+AO349</f>
        <v>50934600</v>
      </c>
      <c r="AU349" s="1137">
        <f>ROUND(AT349+AN349,-3)</f>
        <v>281280000</v>
      </c>
      <c r="AV349" s="1041"/>
    </row>
    <row r="350" spans="1:48" ht="16.5" customHeight="1">
      <c r="A350" s="1082"/>
      <c r="B350" s="1038" t="s">
        <v>16</v>
      </c>
      <c r="C350" s="1071" t="s">
        <v>281</v>
      </c>
      <c r="D350" s="1038"/>
      <c r="E350" s="1071"/>
      <c r="F350" s="1138"/>
      <c r="G350" s="1038" t="s">
        <v>16</v>
      </c>
      <c r="H350" s="1039" t="s">
        <v>22</v>
      </c>
      <c r="I350" s="1338"/>
      <c r="J350" s="1069"/>
      <c r="K350" s="1339"/>
      <c r="L350" s="1139"/>
      <c r="M350" s="1128"/>
      <c r="N350" s="1038" t="s">
        <v>16</v>
      </c>
      <c r="O350" s="1293" t="s">
        <v>21</v>
      </c>
      <c r="P350" s="1340">
        <v>1</v>
      </c>
      <c r="Q350" s="1213">
        <v>9</v>
      </c>
      <c r="R350" s="1038"/>
      <c r="S350" s="1039"/>
      <c r="T350" s="1075"/>
      <c r="U350" s="1091"/>
      <c r="V350" s="1073"/>
      <c r="W350" s="1079"/>
      <c r="X350" s="1078"/>
      <c r="Y350" s="1039"/>
      <c r="Z350" s="1134"/>
      <c r="AA350" s="1074"/>
      <c r="AB350" s="1126"/>
      <c r="AC350" s="1073"/>
      <c r="AD350" s="1084"/>
      <c r="AE350" s="1062"/>
      <c r="AF350" s="1296"/>
      <c r="AG350" s="1297"/>
      <c r="AH350" s="1298">
        <v>250000</v>
      </c>
      <c r="AI350" s="1087">
        <f>AH350*Q350*0.65</f>
        <v>1462500</v>
      </c>
      <c r="AJ350" s="1299"/>
      <c r="AK350" s="1300"/>
      <c r="AL350" s="1090"/>
      <c r="AM350" s="1297"/>
      <c r="AN350" s="1297"/>
      <c r="AO350" s="1298"/>
      <c r="AP350" s="1301"/>
      <c r="AQ350" s="1298"/>
      <c r="AR350" s="1301"/>
      <c r="AS350" s="1301"/>
      <c r="AT350" s="1297"/>
      <c r="AU350" s="1299"/>
      <c r="AV350" s="1067"/>
    </row>
    <row r="351" spans="1:48" ht="16.5" customHeight="1">
      <c r="A351" s="1082"/>
      <c r="B351" s="1038" t="s">
        <v>18</v>
      </c>
      <c r="C351" s="1039" t="s">
        <v>38</v>
      </c>
      <c r="D351" s="1038"/>
      <c r="E351" s="1039"/>
      <c r="F351" s="1138"/>
      <c r="G351" s="1038" t="s">
        <v>18</v>
      </c>
      <c r="H351" s="1039" t="s">
        <v>19</v>
      </c>
      <c r="I351" s="1338"/>
      <c r="J351" s="1069"/>
      <c r="K351" s="1339"/>
      <c r="L351" s="1139"/>
      <c r="M351" s="1128"/>
      <c r="N351" s="1038" t="s">
        <v>18</v>
      </c>
      <c r="O351" s="1293" t="s">
        <v>52</v>
      </c>
      <c r="P351" s="1340">
        <v>1</v>
      </c>
      <c r="Q351" s="1213">
        <v>12</v>
      </c>
      <c r="R351" s="1038" t="s">
        <v>16</v>
      </c>
      <c r="S351" s="1039" t="s">
        <v>15</v>
      </c>
      <c r="T351" s="1075">
        <v>4</v>
      </c>
      <c r="U351" s="1091">
        <v>1</v>
      </c>
      <c r="V351" s="1073" t="s">
        <v>14</v>
      </c>
      <c r="W351" s="1140">
        <v>3</v>
      </c>
      <c r="X351" s="1141">
        <v>0</v>
      </c>
      <c r="Y351" s="1142">
        <v>0</v>
      </c>
      <c r="Z351" s="1143">
        <f>SUM(W351:Y351)</f>
        <v>3</v>
      </c>
      <c r="AA351" s="1074"/>
      <c r="AB351" s="1126"/>
      <c r="AC351" s="1073"/>
      <c r="AD351" s="1084"/>
      <c r="AE351" s="1062"/>
      <c r="AF351" s="1296"/>
      <c r="AG351" s="1297"/>
      <c r="AH351" s="1087">
        <v>210000</v>
      </c>
      <c r="AI351" s="1087">
        <f>AH351*Q351*0.5</f>
        <v>1260000</v>
      </c>
      <c r="AJ351" s="1299"/>
      <c r="AK351" s="1089">
        <v>350000</v>
      </c>
      <c r="AL351" s="1087">
        <f t="shared" si="31"/>
        <v>1050000</v>
      </c>
      <c r="AM351" s="1297"/>
      <c r="AN351" s="1297"/>
      <c r="AO351" s="1298"/>
      <c r="AP351" s="1301"/>
      <c r="AQ351" s="1298"/>
      <c r="AR351" s="1301"/>
      <c r="AS351" s="1301"/>
      <c r="AT351" s="1297"/>
      <c r="AU351" s="1299"/>
      <c r="AV351" s="1067"/>
    </row>
    <row r="352" spans="1:48" ht="49.5" customHeight="1">
      <c r="A352" s="1082"/>
      <c r="B352" s="1082" t="s">
        <v>12</v>
      </c>
      <c r="C352" s="1083" t="s">
        <v>210</v>
      </c>
      <c r="D352" s="1038"/>
      <c r="E352" s="1083"/>
      <c r="F352" s="1138"/>
      <c r="G352" s="1038"/>
      <c r="H352" s="1092"/>
      <c r="I352" s="1338"/>
      <c r="J352" s="1069"/>
      <c r="K352" s="1339"/>
      <c r="L352" s="1139"/>
      <c r="M352" s="1128"/>
      <c r="N352" s="1038"/>
      <c r="O352" s="1083"/>
      <c r="P352" s="1077"/>
      <c r="Q352" s="1073"/>
      <c r="R352" s="1038"/>
      <c r="S352" s="1039"/>
      <c r="T352" s="1075"/>
      <c r="U352" s="1091">
        <v>2</v>
      </c>
      <c r="V352" s="1073" t="s">
        <v>36</v>
      </c>
      <c r="W352" s="1140">
        <v>1</v>
      </c>
      <c r="X352" s="1141">
        <v>0</v>
      </c>
      <c r="Y352" s="1142">
        <v>0</v>
      </c>
      <c r="Z352" s="1143">
        <f>SUM(W352:Y352)</f>
        <v>1</v>
      </c>
      <c r="AA352" s="1074"/>
      <c r="AB352" s="1126"/>
      <c r="AC352" s="1073"/>
      <c r="AD352" s="1084"/>
      <c r="AE352" s="1062"/>
      <c r="AF352" s="1296"/>
      <c r="AG352" s="1297"/>
      <c r="AH352" s="1298"/>
      <c r="AI352" s="1298"/>
      <c r="AJ352" s="1299"/>
      <c r="AK352" s="1300">
        <v>150000</v>
      </c>
      <c r="AL352" s="1090">
        <f t="shared" si="31"/>
        <v>150000</v>
      </c>
      <c r="AM352" s="1297"/>
      <c r="AN352" s="1297"/>
      <c r="AO352" s="1298"/>
      <c r="AP352" s="1301"/>
      <c r="AQ352" s="1298"/>
      <c r="AR352" s="1301"/>
      <c r="AS352" s="1301"/>
      <c r="AT352" s="1297"/>
      <c r="AU352" s="1299"/>
      <c r="AV352" s="1067"/>
    </row>
    <row r="353" spans="1:58" ht="16.5" customHeight="1">
      <c r="A353" s="1082"/>
      <c r="B353" s="1082" t="s">
        <v>8</v>
      </c>
      <c r="C353" s="1083" t="s">
        <v>280</v>
      </c>
      <c r="D353" s="1038"/>
      <c r="E353" s="1083"/>
      <c r="F353" s="1138"/>
      <c r="G353" s="1038"/>
      <c r="H353" s="1092"/>
      <c r="I353" s="1338"/>
      <c r="J353" s="1069"/>
      <c r="K353" s="1339"/>
      <c r="L353" s="1139"/>
      <c r="M353" s="1128"/>
      <c r="N353" s="1038"/>
      <c r="O353" s="1083"/>
      <c r="P353" s="1077"/>
      <c r="Q353" s="1073"/>
      <c r="R353" s="1038"/>
      <c r="S353" s="1039"/>
      <c r="T353" s="1075"/>
      <c r="U353" s="1091">
        <v>3</v>
      </c>
      <c r="V353" s="1073" t="s">
        <v>144</v>
      </c>
      <c r="W353" s="1140">
        <v>0</v>
      </c>
      <c r="X353" s="1141">
        <v>2</v>
      </c>
      <c r="Y353" s="1142">
        <v>0</v>
      </c>
      <c r="Z353" s="1143">
        <f>SUM(W353:Y353)</f>
        <v>2</v>
      </c>
      <c r="AA353" s="1074"/>
      <c r="AB353" s="1126"/>
      <c r="AC353" s="1073"/>
      <c r="AD353" s="1084"/>
      <c r="AE353" s="1062"/>
      <c r="AF353" s="1296"/>
      <c r="AG353" s="1297"/>
      <c r="AH353" s="1298"/>
      <c r="AI353" s="1298"/>
      <c r="AJ353" s="1299"/>
      <c r="AK353" s="1300">
        <v>13250</v>
      </c>
      <c r="AL353" s="1090">
        <f>AK353*X353</f>
        <v>26500</v>
      </c>
      <c r="AM353" s="1297"/>
      <c r="AN353" s="1297"/>
      <c r="AO353" s="1298"/>
      <c r="AP353" s="1301"/>
      <c r="AQ353" s="1298"/>
      <c r="AR353" s="1301"/>
      <c r="AS353" s="1301"/>
      <c r="AT353" s="1297"/>
      <c r="AU353" s="1299"/>
      <c r="AV353" s="1067"/>
    </row>
    <row r="354" spans="1:58" ht="16.5" customHeight="1">
      <c r="A354" s="1082"/>
      <c r="B354" s="1082"/>
      <c r="C354" s="1083"/>
      <c r="D354" s="1038"/>
      <c r="E354" s="1083"/>
      <c r="F354" s="1138"/>
      <c r="G354" s="1038"/>
      <c r="H354" s="1092"/>
      <c r="I354" s="1338"/>
      <c r="J354" s="1069"/>
      <c r="K354" s="1339"/>
      <c r="L354" s="1139"/>
      <c r="M354" s="1128"/>
      <c r="N354" s="1038"/>
      <c r="O354" s="1083"/>
      <c r="P354" s="1077"/>
      <c r="Q354" s="1073"/>
      <c r="R354" s="1038"/>
      <c r="S354" s="1039"/>
      <c r="T354" s="1075"/>
      <c r="U354" s="1091">
        <v>4</v>
      </c>
      <c r="V354" s="1073" t="s">
        <v>6</v>
      </c>
      <c r="W354" s="1140">
        <v>2</v>
      </c>
      <c r="X354" s="1141">
        <v>0</v>
      </c>
      <c r="Y354" s="1194">
        <v>0</v>
      </c>
      <c r="Z354" s="1143">
        <f>SUM(W354:Y354)</f>
        <v>2</v>
      </c>
      <c r="AA354" s="1074"/>
      <c r="AB354" s="1126"/>
      <c r="AC354" s="1073"/>
      <c r="AD354" s="1084"/>
      <c r="AE354" s="1062"/>
      <c r="AF354" s="1296"/>
      <c r="AG354" s="1297"/>
      <c r="AH354" s="1298"/>
      <c r="AI354" s="1298"/>
      <c r="AJ354" s="1299"/>
      <c r="AK354" s="1300">
        <v>10000</v>
      </c>
      <c r="AL354" s="1090">
        <f t="shared" si="31"/>
        <v>20000</v>
      </c>
      <c r="AM354" s="1297"/>
      <c r="AN354" s="1297"/>
      <c r="AO354" s="1298"/>
      <c r="AP354" s="1301"/>
      <c r="AQ354" s="1298"/>
      <c r="AR354" s="1301"/>
      <c r="AS354" s="1301"/>
      <c r="AT354" s="1297"/>
      <c r="AU354" s="1299"/>
      <c r="AV354" s="1067"/>
    </row>
    <row r="355" spans="1:58" ht="16.5" customHeight="1">
      <c r="A355" s="1098"/>
      <c r="B355" s="1095"/>
      <c r="C355" s="1186"/>
      <c r="D355" s="1095"/>
      <c r="E355" s="1186"/>
      <c r="F355" s="1150"/>
      <c r="G355" s="1095"/>
      <c r="H355" s="1099"/>
      <c r="I355" s="1341"/>
      <c r="J355" s="1103"/>
      <c r="K355" s="1342"/>
      <c r="L355" s="1154"/>
      <c r="M355" s="1153"/>
      <c r="N355" s="1095"/>
      <c r="O355" s="1105"/>
      <c r="P355" s="1151"/>
      <c r="Q355" s="1107"/>
      <c r="R355" s="1095"/>
      <c r="S355" s="1096"/>
      <c r="T355" s="1168"/>
      <c r="U355" s="1188"/>
      <c r="V355" s="1107"/>
      <c r="W355" s="1111"/>
      <c r="X355" s="1110"/>
      <c r="Y355" s="1096"/>
      <c r="Z355" s="1166"/>
      <c r="AA355" s="1094"/>
      <c r="AB355" s="1156"/>
      <c r="AC355" s="1107"/>
      <c r="AD355" s="1114"/>
      <c r="AE355" s="1093"/>
      <c r="AF355" s="1305"/>
      <c r="AG355" s="1306"/>
      <c r="AH355" s="1307"/>
      <c r="AI355" s="1307"/>
      <c r="AJ355" s="1308"/>
      <c r="AK355" s="1309"/>
      <c r="AL355" s="1120"/>
      <c r="AM355" s="1306"/>
      <c r="AN355" s="1306"/>
      <c r="AO355" s="1307"/>
      <c r="AP355" s="1310"/>
      <c r="AQ355" s="1307"/>
      <c r="AR355" s="1310"/>
      <c r="AS355" s="1310"/>
      <c r="AT355" s="1306"/>
      <c r="AU355" s="1308"/>
      <c r="AV355" s="1101"/>
    </row>
    <row r="356" spans="1:58" ht="16.5" customHeight="1">
      <c r="A356" s="1269">
        <v>29</v>
      </c>
      <c r="B356" s="1033" t="s">
        <v>25</v>
      </c>
      <c r="C356" s="1036" t="s">
        <v>279</v>
      </c>
      <c r="D356" s="1033"/>
      <c r="E356" s="1036"/>
      <c r="F356" s="1171" t="s">
        <v>278</v>
      </c>
      <c r="G356" s="1272" t="s">
        <v>25</v>
      </c>
      <c r="H356" s="1273" t="s">
        <v>29</v>
      </c>
      <c r="I356" s="1343">
        <v>236</v>
      </c>
      <c r="J356" s="1043" t="s">
        <v>41</v>
      </c>
      <c r="K356" s="1330" t="s">
        <v>277</v>
      </c>
      <c r="L356" s="1129" t="s">
        <v>46</v>
      </c>
      <c r="M356" s="1331"/>
      <c r="N356" s="1033" t="s">
        <v>25</v>
      </c>
      <c r="O356" s="1190" t="s">
        <v>26</v>
      </c>
      <c r="P356" s="1344">
        <v>1</v>
      </c>
      <c r="Q356" s="1345">
        <v>56.12</v>
      </c>
      <c r="R356" s="1170" t="s">
        <v>25</v>
      </c>
      <c r="S356" s="1034" t="s">
        <v>24</v>
      </c>
      <c r="T356" s="1048">
        <v>2</v>
      </c>
      <c r="U356" s="1180">
        <v>1</v>
      </c>
      <c r="V356" s="1047" t="s">
        <v>10</v>
      </c>
      <c r="W356" s="1241" t="s">
        <v>46</v>
      </c>
      <c r="X356" s="1241" t="s">
        <v>46</v>
      </c>
      <c r="Y356" s="1202">
        <v>5</v>
      </c>
      <c r="Z356" s="1229">
        <f>SUM(Y356)</f>
        <v>5</v>
      </c>
      <c r="AA356" s="1170"/>
      <c r="AB356" s="1173"/>
      <c r="AC356" s="1047"/>
      <c r="AD356" s="1055"/>
      <c r="AE356" s="1032"/>
      <c r="AF356" s="1333">
        <f>Resum!F1</f>
        <v>356000</v>
      </c>
      <c r="AG356" s="1086">
        <f>AF356*I356</f>
        <v>84016000</v>
      </c>
      <c r="AH356" s="1334">
        <v>2200000</v>
      </c>
      <c r="AI356" s="1087">
        <f>AH356*Q356*0.8</f>
        <v>98771200</v>
      </c>
      <c r="AJ356" s="1335">
        <f>SUM(AI356:AI364)</f>
        <v>110105475</v>
      </c>
      <c r="AK356" s="1336">
        <v>25000</v>
      </c>
      <c r="AL356" s="1090">
        <f>AK356*Y356</f>
        <v>125000</v>
      </c>
      <c r="AM356" s="1337">
        <f>SUM(AL356:AL357)</f>
        <v>148000</v>
      </c>
      <c r="AN356" s="1086">
        <f>AM356+AJ356+AG356</f>
        <v>194269475</v>
      </c>
      <c r="AO356" s="1334"/>
      <c r="AP356" s="1136">
        <f>(59808000+AI356)*15%</f>
        <v>23786880</v>
      </c>
      <c r="AQ356" s="1087">
        <f>(AG356+AI356)*1%</f>
        <v>1827872</v>
      </c>
      <c r="AR356" s="1136">
        <f>(AG356+AI356)*5%</f>
        <v>9139360</v>
      </c>
      <c r="AS356" s="1087">
        <f>0.5%*(AG356+AI356)*(3)</f>
        <v>2741808</v>
      </c>
      <c r="AT356" s="1086">
        <f>+AS356+AR356+AQ356+AP356+AO356</f>
        <v>37495920</v>
      </c>
      <c r="AU356" s="1137">
        <f>ROUND(AT356+AN356,-3)</f>
        <v>231765000</v>
      </c>
      <c r="AV356" s="1041"/>
    </row>
    <row r="357" spans="1:58" ht="16.5" customHeight="1">
      <c r="A357" s="1082"/>
      <c r="B357" s="1038" t="s">
        <v>16</v>
      </c>
      <c r="C357" s="1071" t="s">
        <v>276</v>
      </c>
      <c r="D357" s="1038"/>
      <c r="E357" s="1071"/>
      <c r="F357" s="1138"/>
      <c r="G357" s="1038" t="s">
        <v>16</v>
      </c>
      <c r="H357" s="1039" t="s">
        <v>22</v>
      </c>
      <c r="I357" s="1346"/>
      <c r="J357" s="1069"/>
      <c r="K357" s="1339"/>
      <c r="L357" s="1139"/>
      <c r="M357" s="1128"/>
      <c r="N357" s="1122" t="s">
        <v>16</v>
      </c>
      <c r="O357" s="1293" t="s">
        <v>21</v>
      </c>
      <c r="P357" s="1347">
        <v>1</v>
      </c>
      <c r="Q357" s="1348">
        <v>18.63</v>
      </c>
      <c r="R357" s="1074"/>
      <c r="S357" s="1074"/>
      <c r="T357" s="1075"/>
      <c r="U357" s="1091">
        <v>2</v>
      </c>
      <c r="V357" s="1073" t="s">
        <v>275</v>
      </c>
      <c r="W357" s="1140"/>
      <c r="X357" s="1141"/>
      <c r="Y357" s="1142">
        <v>1</v>
      </c>
      <c r="Z357" s="1143">
        <f>SUM(Y357)</f>
        <v>1</v>
      </c>
      <c r="AA357" s="1074"/>
      <c r="AB357" s="1126"/>
      <c r="AC357" s="1073"/>
      <c r="AD357" s="1084"/>
      <c r="AE357" s="1062"/>
      <c r="AF357" s="1296"/>
      <c r="AG357" s="1297"/>
      <c r="AH357" s="1298">
        <v>250000</v>
      </c>
      <c r="AI357" s="1087">
        <f t="shared" ref="AI357" si="32">AH357*Q357*0.65</f>
        <v>3027375</v>
      </c>
      <c r="AJ357" s="1299"/>
      <c r="AK357" s="1300">
        <v>23000</v>
      </c>
      <c r="AL357" s="1090">
        <f>AK357*Y357</f>
        <v>23000</v>
      </c>
      <c r="AM357" s="1297"/>
      <c r="AN357" s="1297"/>
      <c r="AO357" s="1298"/>
      <c r="AP357" s="1301"/>
      <c r="AQ357" s="1298"/>
      <c r="AR357" s="1301"/>
      <c r="AS357" s="1301"/>
      <c r="AT357" s="1297"/>
      <c r="AU357" s="1299"/>
      <c r="AV357" s="1067"/>
    </row>
    <row r="358" spans="1:58" ht="33" customHeight="1">
      <c r="A358" s="1082"/>
      <c r="B358" s="1038" t="s">
        <v>18</v>
      </c>
      <c r="C358" s="1039" t="s">
        <v>124</v>
      </c>
      <c r="D358" s="1038"/>
      <c r="E358" s="1039"/>
      <c r="F358" s="1138"/>
      <c r="G358" s="1038" t="s">
        <v>18</v>
      </c>
      <c r="H358" s="1039" t="s">
        <v>19</v>
      </c>
      <c r="I358" s="1346"/>
      <c r="J358" s="1069"/>
      <c r="K358" s="1339"/>
      <c r="L358" s="1139"/>
      <c r="M358" s="1128"/>
      <c r="N358" s="1122" t="s">
        <v>18</v>
      </c>
      <c r="O358" s="1293" t="s">
        <v>274</v>
      </c>
      <c r="P358" s="1347">
        <v>1</v>
      </c>
      <c r="Q358" s="1348">
        <v>29.76</v>
      </c>
      <c r="R358" s="1074"/>
      <c r="S358" s="1074"/>
      <c r="T358" s="1075"/>
      <c r="U358" s="1091"/>
      <c r="V358" s="1073"/>
      <c r="W358" s="1079"/>
      <c r="X358" s="1078"/>
      <c r="Y358" s="1039"/>
      <c r="Z358" s="1134"/>
      <c r="AA358" s="1074"/>
      <c r="AB358" s="1126"/>
      <c r="AC358" s="1073"/>
      <c r="AD358" s="1084"/>
      <c r="AE358" s="1062"/>
      <c r="AF358" s="1296"/>
      <c r="AG358" s="1297"/>
      <c r="AH358" s="1298">
        <v>210000</v>
      </c>
      <c r="AI358" s="1087">
        <f>AH358*Q358*0.5</f>
        <v>3124800</v>
      </c>
      <c r="AJ358" s="1299"/>
      <c r="AK358" s="1300"/>
      <c r="AL358" s="1090"/>
      <c r="AM358" s="1297"/>
      <c r="AN358" s="1297"/>
      <c r="AO358" s="1298"/>
      <c r="AP358" s="1301"/>
      <c r="AQ358" s="1298"/>
      <c r="AR358" s="1301"/>
      <c r="AS358" s="1301"/>
      <c r="AT358" s="1297"/>
      <c r="AU358" s="1299"/>
      <c r="AV358" s="1067"/>
    </row>
    <row r="359" spans="1:58" ht="49.5" customHeight="1">
      <c r="A359" s="1082"/>
      <c r="B359" s="1082" t="s">
        <v>12</v>
      </c>
      <c r="C359" s="1083" t="s">
        <v>123</v>
      </c>
      <c r="D359" s="1038"/>
      <c r="E359" s="1083"/>
      <c r="F359" s="1138"/>
      <c r="G359" s="1038"/>
      <c r="H359" s="1092"/>
      <c r="I359" s="1346"/>
      <c r="J359" s="1069"/>
      <c r="K359" s="1339"/>
      <c r="L359" s="1139"/>
      <c r="M359" s="1128"/>
      <c r="N359" s="1038" t="s">
        <v>12</v>
      </c>
      <c r="O359" s="1293" t="s">
        <v>59</v>
      </c>
      <c r="P359" s="1347">
        <v>1</v>
      </c>
      <c r="Q359" s="1348">
        <v>7.44</v>
      </c>
      <c r="R359" s="1074" t="s">
        <v>16</v>
      </c>
      <c r="S359" s="1074" t="s">
        <v>15</v>
      </c>
      <c r="T359" s="1144"/>
      <c r="U359" s="1184"/>
      <c r="V359" s="1073"/>
      <c r="W359" s="1079"/>
      <c r="X359" s="1078"/>
      <c r="Y359" s="1039"/>
      <c r="Z359" s="1134"/>
      <c r="AA359" s="1074"/>
      <c r="AB359" s="1063"/>
      <c r="AC359" s="1075"/>
      <c r="AD359" s="1084"/>
      <c r="AE359" s="1062"/>
      <c r="AF359" s="1296"/>
      <c r="AG359" s="1297"/>
      <c r="AH359" s="1087">
        <v>180000</v>
      </c>
      <c r="AI359" s="1087">
        <f>AH359*Q359*0.5</f>
        <v>669600</v>
      </c>
      <c r="AJ359" s="1299"/>
      <c r="AK359" s="1300"/>
      <c r="AL359" s="1090"/>
      <c r="AM359" s="1297"/>
      <c r="AN359" s="1297"/>
      <c r="AO359" s="1298"/>
      <c r="AP359" s="1301"/>
      <c r="AQ359" s="1298"/>
      <c r="AR359" s="1301"/>
      <c r="AS359" s="1301"/>
      <c r="AT359" s="1297"/>
      <c r="AU359" s="1299"/>
      <c r="AV359" s="1067"/>
    </row>
    <row r="360" spans="1:58" ht="16.5" customHeight="1">
      <c r="A360" s="1082"/>
      <c r="B360" s="1082" t="s">
        <v>8</v>
      </c>
      <c r="C360" s="1083" t="s">
        <v>273</v>
      </c>
      <c r="D360" s="1038"/>
      <c r="E360" s="1083"/>
      <c r="F360" s="1138"/>
      <c r="G360" s="1038"/>
      <c r="H360" s="1092"/>
      <c r="I360" s="1346"/>
      <c r="J360" s="1069"/>
      <c r="K360" s="1339"/>
      <c r="L360" s="1139"/>
      <c r="M360" s="1128"/>
      <c r="N360" s="1038" t="s">
        <v>8</v>
      </c>
      <c r="O360" s="1293" t="s">
        <v>17</v>
      </c>
      <c r="P360" s="1347">
        <v>1</v>
      </c>
      <c r="Q360" s="1348"/>
      <c r="R360" s="1074"/>
      <c r="S360" s="1074"/>
      <c r="T360" s="1144"/>
      <c r="U360" s="1184"/>
      <c r="V360" s="1073"/>
      <c r="W360" s="1079"/>
      <c r="X360" s="1078"/>
      <c r="Y360" s="1039"/>
      <c r="Z360" s="1134"/>
      <c r="AA360" s="1074"/>
      <c r="AB360" s="1063"/>
      <c r="AC360" s="1075"/>
      <c r="AD360" s="1084"/>
      <c r="AE360" s="1062"/>
      <c r="AF360" s="1296"/>
      <c r="AG360" s="1297"/>
      <c r="AH360" s="1298">
        <v>2500000</v>
      </c>
      <c r="AI360" s="1087">
        <f>AH360*P360*0.5</f>
        <v>1250000</v>
      </c>
      <c r="AJ360" s="1299"/>
      <c r="AK360" s="1300"/>
      <c r="AL360" s="1090"/>
      <c r="AM360" s="1297"/>
      <c r="AN360" s="1297"/>
      <c r="AO360" s="1298"/>
      <c r="AP360" s="1301"/>
      <c r="AQ360" s="1298"/>
      <c r="AR360" s="1301"/>
      <c r="AS360" s="1301"/>
      <c r="AT360" s="1297"/>
      <c r="AU360" s="1299"/>
      <c r="AV360" s="1067"/>
    </row>
    <row r="361" spans="1:58" ht="16.5" customHeight="1">
      <c r="A361" s="1082"/>
      <c r="B361" s="1082"/>
      <c r="C361" s="1083"/>
      <c r="D361" s="1038"/>
      <c r="E361" s="1083"/>
      <c r="F361" s="1138"/>
      <c r="G361" s="1038"/>
      <c r="H361" s="1092"/>
      <c r="I361" s="1346"/>
      <c r="J361" s="1069"/>
      <c r="K361" s="1339"/>
      <c r="L361" s="1139"/>
      <c r="M361" s="1128"/>
      <c r="N361" s="1038" t="s">
        <v>54</v>
      </c>
      <c r="O361" s="1293" t="s">
        <v>11</v>
      </c>
      <c r="P361" s="1347">
        <v>1</v>
      </c>
      <c r="Q361" s="1348"/>
      <c r="R361" s="1074"/>
      <c r="S361" s="1074"/>
      <c r="T361" s="1144"/>
      <c r="U361" s="1184"/>
      <c r="V361" s="1073"/>
      <c r="W361" s="1079"/>
      <c r="X361" s="1078"/>
      <c r="Y361" s="1039"/>
      <c r="Z361" s="1134"/>
      <c r="AA361" s="1074"/>
      <c r="AB361" s="1063"/>
      <c r="AC361" s="1075"/>
      <c r="AD361" s="1084"/>
      <c r="AE361" s="1062"/>
      <c r="AF361" s="1296"/>
      <c r="AG361" s="1297"/>
      <c r="AH361" s="1298">
        <v>2500000</v>
      </c>
      <c r="AI361" s="1087">
        <f>AH361*P361*0.75</f>
        <v>1875000</v>
      </c>
      <c r="AJ361" s="1299"/>
      <c r="AK361" s="1300"/>
      <c r="AL361" s="1090"/>
      <c r="AM361" s="1297"/>
      <c r="AN361" s="1297"/>
      <c r="AO361" s="1298"/>
      <c r="AP361" s="1301"/>
      <c r="AQ361" s="1298"/>
      <c r="AR361" s="1301"/>
      <c r="AS361" s="1301"/>
      <c r="AT361" s="1297"/>
      <c r="AU361" s="1299"/>
      <c r="AV361" s="1067"/>
    </row>
    <row r="362" spans="1:58" ht="16.5" customHeight="1">
      <c r="A362" s="1082"/>
      <c r="B362" s="1082"/>
      <c r="C362" s="1083"/>
      <c r="D362" s="1038"/>
      <c r="E362" s="1083"/>
      <c r="F362" s="1138"/>
      <c r="G362" s="1038"/>
      <c r="H362" s="1092"/>
      <c r="I362" s="1346"/>
      <c r="J362" s="1069"/>
      <c r="K362" s="1339"/>
      <c r="L362" s="1139"/>
      <c r="M362" s="1128"/>
      <c r="N362" s="1038" t="s">
        <v>53</v>
      </c>
      <c r="O362" s="1293" t="s">
        <v>272</v>
      </c>
      <c r="P362" s="1347">
        <v>1</v>
      </c>
      <c r="Q362" s="1348">
        <v>12.7</v>
      </c>
      <c r="R362" s="1074"/>
      <c r="S362" s="1074"/>
      <c r="T362" s="1144"/>
      <c r="U362" s="1184"/>
      <c r="V362" s="1073"/>
      <c r="W362" s="1079"/>
      <c r="X362" s="1078"/>
      <c r="Y362" s="1039"/>
      <c r="Z362" s="1134"/>
      <c r="AA362" s="1074"/>
      <c r="AB362" s="1063"/>
      <c r="AC362" s="1075"/>
      <c r="AD362" s="1084"/>
      <c r="AE362" s="1062"/>
      <c r="AF362" s="1296"/>
      <c r="AG362" s="1297"/>
      <c r="AH362" s="1298">
        <v>50000</v>
      </c>
      <c r="AI362" s="1087">
        <f>AH362*Q362*0.5</f>
        <v>317500</v>
      </c>
      <c r="AJ362" s="1299"/>
      <c r="AK362" s="1300"/>
      <c r="AL362" s="1090"/>
      <c r="AM362" s="1297"/>
      <c r="AN362" s="1297"/>
      <c r="AO362" s="1298"/>
      <c r="AP362" s="1301"/>
      <c r="AQ362" s="1298"/>
      <c r="AR362" s="1301"/>
      <c r="AS362" s="1301"/>
      <c r="AT362" s="1297"/>
      <c r="AU362" s="1299"/>
      <c r="AV362" s="1067"/>
    </row>
    <row r="363" spans="1:58" ht="16.5" customHeight="1">
      <c r="A363" s="1082"/>
      <c r="B363" s="1082"/>
      <c r="C363" s="1083"/>
      <c r="D363" s="1038"/>
      <c r="E363" s="1083"/>
      <c r="F363" s="1138"/>
      <c r="G363" s="1038"/>
      <c r="H363" s="1092"/>
      <c r="I363" s="1346"/>
      <c r="J363" s="1069"/>
      <c r="K363" s="1339"/>
      <c r="L363" s="1139"/>
      <c r="M363" s="1128"/>
      <c r="N363" s="1038" t="s">
        <v>51</v>
      </c>
      <c r="O363" s="1293" t="s">
        <v>271</v>
      </c>
      <c r="P363" s="1347">
        <v>1</v>
      </c>
      <c r="Q363" s="1348">
        <v>8.6</v>
      </c>
      <c r="R363" s="1074"/>
      <c r="S363" s="1074"/>
      <c r="T363" s="1144"/>
      <c r="U363" s="1184"/>
      <c r="V363" s="1073"/>
      <c r="W363" s="1079"/>
      <c r="X363" s="1078"/>
      <c r="Y363" s="1039"/>
      <c r="Z363" s="1134"/>
      <c r="AA363" s="1074"/>
      <c r="AB363" s="1063"/>
      <c r="AC363" s="1075"/>
      <c r="AD363" s="1084"/>
      <c r="AE363" s="1062"/>
      <c r="AF363" s="1296"/>
      <c r="AG363" s="1297"/>
      <c r="AH363" s="1298">
        <v>150000</v>
      </c>
      <c r="AI363" s="1087">
        <f>AH363*Q363*0.5</f>
        <v>645000</v>
      </c>
      <c r="AJ363" s="1299"/>
      <c r="AK363" s="1300"/>
      <c r="AL363" s="1090"/>
      <c r="AM363" s="1297"/>
      <c r="AN363" s="1297"/>
      <c r="AO363" s="1298"/>
      <c r="AP363" s="1301"/>
      <c r="AQ363" s="1298"/>
      <c r="AR363" s="1301"/>
      <c r="AS363" s="1301"/>
      <c r="AT363" s="1297"/>
      <c r="AU363" s="1299"/>
      <c r="AV363" s="1067"/>
    </row>
    <row r="364" spans="1:58" ht="16.5" customHeight="1">
      <c r="A364" s="1082"/>
      <c r="B364" s="1082"/>
      <c r="C364" s="1083"/>
      <c r="D364" s="1038"/>
      <c r="E364" s="1083"/>
      <c r="F364" s="1138"/>
      <c r="G364" s="1038"/>
      <c r="H364" s="1092"/>
      <c r="I364" s="1346"/>
      <c r="J364" s="1069"/>
      <c r="K364" s="1339"/>
      <c r="L364" s="1139"/>
      <c r="M364" s="1128"/>
      <c r="N364" s="1038" t="s">
        <v>154</v>
      </c>
      <c r="O364" s="1293" t="s">
        <v>184</v>
      </c>
      <c r="P364" s="1347">
        <v>1</v>
      </c>
      <c r="Q364" s="1348">
        <v>8.5</v>
      </c>
      <c r="R364" s="1074"/>
      <c r="S364" s="1074"/>
      <c r="T364" s="1144"/>
      <c r="U364" s="1184"/>
      <c r="V364" s="1073"/>
      <c r="W364" s="1079"/>
      <c r="X364" s="1078"/>
      <c r="Y364" s="1039"/>
      <c r="Z364" s="1134"/>
      <c r="AA364" s="1074"/>
      <c r="AB364" s="1063"/>
      <c r="AC364" s="1075"/>
      <c r="AD364" s="1084"/>
      <c r="AE364" s="1062"/>
      <c r="AF364" s="1296"/>
      <c r="AG364" s="1297"/>
      <c r="AH364" s="1298">
        <v>100000</v>
      </c>
      <c r="AI364" s="1087">
        <f>AH364*Q364*0.5</f>
        <v>425000</v>
      </c>
      <c r="AJ364" s="1299"/>
      <c r="AK364" s="1300"/>
      <c r="AL364" s="1090"/>
      <c r="AM364" s="1297"/>
      <c r="AN364" s="1297"/>
      <c r="AO364" s="1298"/>
      <c r="AP364" s="1301"/>
      <c r="AQ364" s="1298"/>
      <c r="AR364" s="1301"/>
      <c r="AS364" s="1301"/>
      <c r="AT364" s="1297"/>
      <c r="AU364" s="1299"/>
      <c r="AV364" s="1067"/>
    </row>
    <row r="365" spans="1:58" ht="16.5" customHeight="1">
      <c r="A365" s="1098"/>
      <c r="B365" s="1095"/>
      <c r="C365" s="1186"/>
      <c r="D365" s="1095"/>
      <c r="E365" s="1186"/>
      <c r="F365" s="1150"/>
      <c r="G365" s="1095"/>
      <c r="H365" s="1099"/>
      <c r="I365" s="1349"/>
      <c r="J365" s="1103"/>
      <c r="K365" s="1342"/>
      <c r="L365" s="1154"/>
      <c r="M365" s="1153"/>
      <c r="N365" s="1095"/>
      <c r="O365" s="1105"/>
      <c r="P365" s="1106"/>
      <c r="Q365" s="1107"/>
      <c r="R365" s="1094"/>
      <c r="S365" s="1094"/>
      <c r="T365" s="1168"/>
      <c r="U365" s="1109"/>
      <c r="V365" s="1107"/>
      <c r="W365" s="1111"/>
      <c r="X365" s="1110"/>
      <c r="Y365" s="1096"/>
      <c r="Z365" s="1166"/>
      <c r="AA365" s="1094"/>
      <c r="AB365" s="1151"/>
      <c r="AC365" s="1107"/>
      <c r="AD365" s="1114"/>
      <c r="AE365" s="1093"/>
      <c r="AF365" s="1305"/>
      <c r="AG365" s="1306"/>
      <c r="AH365" s="1307"/>
      <c r="AI365" s="1307"/>
      <c r="AJ365" s="1308"/>
      <c r="AK365" s="1309"/>
      <c r="AL365" s="1120"/>
      <c r="AM365" s="1306"/>
      <c r="AN365" s="1306"/>
      <c r="AO365" s="1307"/>
      <c r="AP365" s="1310"/>
      <c r="AQ365" s="1307"/>
      <c r="AR365" s="1310"/>
      <c r="AS365" s="1310"/>
      <c r="AT365" s="1306"/>
      <c r="AU365" s="1308"/>
      <c r="AV365" s="1101"/>
      <c r="AX365" s="1350"/>
      <c r="AY365" s="1350"/>
      <c r="AZ365" s="1350"/>
      <c r="BA365" s="1350"/>
      <c r="BB365" s="1350"/>
      <c r="BC365" s="1350"/>
      <c r="BD365" s="1350"/>
      <c r="BE365" s="1350"/>
      <c r="BF365" s="1350"/>
    </row>
    <row r="366" spans="1:58" ht="16.5" customHeight="1">
      <c r="A366" s="1269">
        <v>30</v>
      </c>
      <c r="B366" s="1033" t="s">
        <v>25</v>
      </c>
      <c r="C366" s="1036" t="s">
        <v>96</v>
      </c>
      <c r="D366" s="1033"/>
      <c r="E366" s="1036"/>
      <c r="F366" s="1171" t="s">
        <v>270</v>
      </c>
      <c r="G366" s="1272" t="s">
        <v>25</v>
      </c>
      <c r="H366" s="1273" t="s">
        <v>29</v>
      </c>
      <c r="I366" s="1372">
        <v>289</v>
      </c>
      <c r="J366" s="1043" t="s">
        <v>41</v>
      </c>
      <c r="K366" s="1330" t="s">
        <v>269</v>
      </c>
      <c r="L366" s="1129" t="s">
        <v>46</v>
      </c>
      <c r="M366" s="1331"/>
      <c r="N366" s="1033" t="s">
        <v>25</v>
      </c>
      <c r="O366" s="1273" t="s">
        <v>17</v>
      </c>
      <c r="P366" s="1344">
        <v>2</v>
      </c>
      <c r="Q366" s="1048"/>
      <c r="R366" s="1034" t="s">
        <v>25</v>
      </c>
      <c r="S366" s="1034" t="s">
        <v>24</v>
      </c>
      <c r="T366" s="1048"/>
      <c r="U366" s="1353"/>
      <c r="V366" s="1319"/>
      <c r="W366" s="1200"/>
      <c r="X366" s="1201"/>
      <c r="Y366" s="1202"/>
      <c r="Z366" s="1229"/>
      <c r="AA366" s="1170"/>
      <c r="AB366" s="1173"/>
      <c r="AC366" s="1047"/>
      <c r="AD366" s="1055"/>
      <c r="AE366" s="1032"/>
      <c r="AF366" s="1333">
        <f>Resum!F1</f>
        <v>356000</v>
      </c>
      <c r="AG366" s="1057">
        <f>AF366*I366</f>
        <v>102884000</v>
      </c>
      <c r="AH366" s="1334">
        <v>2500000</v>
      </c>
      <c r="AI366" s="1058">
        <f>AH366*P366*0.5</f>
        <v>2500000</v>
      </c>
      <c r="AJ366" s="1335">
        <f>SUM(AI366)</f>
        <v>2500000</v>
      </c>
      <c r="AK366" s="1336"/>
      <c r="AL366" s="1061"/>
      <c r="AM366" s="1337">
        <f>SUM(AL366:AL428)</f>
        <v>5152285</v>
      </c>
      <c r="AN366" s="1057">
        <f>AM366+AJ366+AG366</f>
        <v>110536285</v>
      </c>
      <c r="AO366" s="1334"/>
      <c r="AP366" s="1548">
        <v>0</v>
      </c>
      <c r="AQ366" s="1058">
        <v>0</v>
      </c>
      <c r="AR366" s="1548">
        <f>(AG366+AI366)*5%</f>
        <v>5269200</v>
      </c>
      <c r="AS366" s="1058">
        <f>0.5%*(AG366+AI366)*(3)</f>
        <v>1580760</v>
      </c>
      <c r="AT366" s="1057">
        <f>+AS366+AR366+AQ366+AP366+AO366</f>
        <v>6849960</v>
      </c>
      <c r="AU366" s="2015">
        <f>ROUND(AT366+AN366,-3)</f>
        <v>117386000</v>
      </c>
      <c r="AV366" s="1041"/>
      <c r="AX366" s="1350"/>
      <c r="AY366" s="1350"/>
      <c r="AZ366" s="1350"/>
      <c r="BA366" s="1350"/>
      <c r="BB366" s="1350"/>
      <c r="BC366" s="1350"/>
      <c r="BD366" s="1350"/>
      <c r="BE366" s="1350"/>
      <c r="BF366" s="1350"/>
    </row>
    <row r="367" spans="1:58" ht="16.5" customHeight="1">
      <c r="A367" s="1082"/>
      <c r="B367" s="1038" t="s">
        <v>16</v>
      </c>
      <c r="C367" s="1071" t="s">
        <v>92</v>
      </c>
      <c r="D367" s="1038"/>
      <c r="E367" s="1071"/>
      <c r="F367" s="1138"/>
      <c r="G367" s="1038" t="s">
        <v>16</v>
      </c>
      <c r="H367" s="1039" t="s">
        <v>22</v>
      </c>
      <c r="I367" s="1346"/>
      <c r="J367" s="1069"/>
      <c r="K367" s="1339"/>
      <c r="L367" s="1139"/>
      <c r="M367" s="1128"/>
      <c r="N367" s="1038"/>
      <c r="O367" s="1071"/>
      <c r="P367" s="1347"/>
      <c r="Q367" s="1075"/>
      <c r="R367" s="1074"/>
      <c r="S367" s="1074"/>
      <c r="T367" s="1075"/>
      <c r="U367" s="1254">
        <v>1</v>
      </c>
      <c r="V367" s="1355" t="s">
        <v>14</v>
      </c>
      <c r="W367" s="1241">
        <v>2</v>
      </c>
      <c r="X367" s="1241" t="s">
        <v>46</v>
      </c>
      <c r="Y367" s="1242" t="s">
        <v>46</v>
      </c>
      <c r="Z367" s="1143"/>
      <c r="AA367" s="1074"/>
      <c r="AB367" s="1126"/>
      <c r="AC367" s="1073"/>
      <c r="AD367" s="1084"/>
      <c r="AE367" s="1062"/>
      <c r="AF367" s="1296"/>
      <c r="AG367" s="1297"/>
      <c r="AH367" s="1298"/>
      <c r="AI367" s="1298"/>
      <c r="AJ367" s="1299"/>
      <c r="AK367" s="1089">
        <v>350000</v>
      </c>
      <c r="AL367" s="1087">
        <f>AK367*W367</f>
        <v>700000</v>
      </c>
      <c r="AM367" s="1297"/>
      <c r="AN367" s="1297"/>
      <c r="AO367" s="1298"/>
      <c r="AP367" s="1301"/>
      <c r="AQ367" s="1298"/>
      <c r="AR367" s="1301"/>
      <c r="AS367" s="1301"/>
      <c r="AT367" s="1297"/>
      <c r="AU367" s="1299"/>
      <c r="AV367" s="1067"/>
      <c r="AX367" s="1350"/>
      <c r="AY367" s="1350"/>
      <c r="AZ367" s="1350"/>
      <c r="BA367" s="1350"/>
      <c r="BB367" s="1350"/>
      <c r="BC367" s="1350"/>
      <c r="BD367" s="1350"/>
      <c r="BE367" s="1350"/>
      <c r="BF367" s="1350"/>
    </row>
    <row r="368" spans="1:58" ht="16.5" customHeight="1">
      <c r="A368" s="1082"/>
      <c r="B368" s="1038" t="s">
        <v>18</v>
      </c>
      <c r="C368" s="1039" t="s">
        <v>60</v>
      </c>
      <c r="D368" s="1038"/>
      <c r="E368" s="1039"/>
      <c r="F368" s="1138"/>
      <c r="G368" s="1038" t="s">
        <v>18</v>
      </c>
      <c r="H368" s="1039" t="s">
        <v>19</v>
      </c>
      <c r="I368" s="1346"/>
      <c r="J368" s="1069"/>
      <c r="K368" s="1339"/>
      <c r="L368" s="1139"/>
      <c r="M368" s="1128"/>
      <c r="N368" s="1070"/>
      <c r="O368" s="1356"/>
      <c r="P368" s="1357"/>
      <c r="Q368" s="1076"/>
      <c r="R368" s="1074" t="s">
        <v>16</v>
      </c>
      <c r="S368" s="1074" t="s">
        <v>15</v>
      </c>
      <c r="T368" s="1075">
        <v>10</v>
      </c>
      <c r="U368" s="1254">
        <v>2</v>
      </c>
      <c r="V368" s="1355" t="s">
        <v>268</v>
      </c>
      <c r="W368" s="1241">
        <v>1</v>
      </c>
      <c r="X368" s="1241" t="s">
        <v>46</v>
      </c>
      <c r="Y368" s="1242" t="s">
        <v>46</v>
      </c>
      <c r="Z368" s="1143">
        <f>SUM(W367:Y367)</f>
        <v>2</v>
      </c>
      <c r="AA368" s="1074"/>
      <c r="AB368" s="1126"/>
      <c r="AC368" s="1073"/>
      <c r="AD368" s="1084"/>
      <c r="AE368" s="1062"/>
      <c r="AF368" s="1296"/>
      <c r="AG368" s="1297"/>
      <c r="AH368" s="1298"/>
      <c r="AI368" s="1298"/>
      <c r="AJ368" s="1299"/>
      <c r="AK368" s="1089">
        <v>200000</v>
      </c>
      <c r="AL368" s="1090">
        <f>AK368*W368</f>
        <v>200000</v>
      </c>
      <c r="AM368" s="1297"/>
      <c r="AN368" s="1297"/>
      <c r="AO368" s="1298"/>
      <c r="AP368" s="1301"/>
      <c r="AQ368" s="1298"/>
      <c r="AR368" s="1301"/>
      <c r="AS368" s="1301"/>
      <c r="AT368" s="1297"/>
      <c r="AU368" s="1299"/>
      <c r="AV368" s="1067"/>
      <c r="AX368" s="1350"/>
      <c r="AY368" s="1350"/>
      <c r="AZ368" s="1350"/>
      <c r="BA368" s="1350"/>
      <c r="BB368" s="1350"/>
      <c r="BC368" s="1350"/>
      <c r="BD368" s="1350"/>
      <c r="BE368" s="1350"/>
      <c r="BF368" s="1350"/>
    </row>
    <row r="369" spans="1:58" ht="49.5" customHeight="1">
      <c r="A369" s="1082"/>
      <c r="B369" s="1082" t="s">
        <v>12</v>
      </c>
      <c r="C369" s="1083" t="s">
        <v>13</v>
      </c>
      <c r="D369" s="1082"/>
      <c r="E369" s="1083"/>
      <c r="F369" s="1138"/>
      <c r="G369" s="1038"/>
      <c r="H369" s="1092"/>
      <c r="I369" s="1346"/>
      <c r="J369" s="1069"/>
      <c r="K369" s="1339"/>
      <c r="L369" s="1139"/>
      <c r="M369" s="1128"/>
      <c r="N369" s="1038"/>
      <c r="O369" s="1083"/>
      <c r="P369" s="1072"/>
      <c r="Q369" s="1073"/>
      <c r="R369" s="1074"/>
      <c r="S369" s="1074"/>
      <c r="T369" s="1075"/>
      <c r="U369" s="1254">
        <v>3</v>
      </c>
      <c r="V369" s="1355" t="s">
        <v>267</v>
      </c>
      <c r="W369" s="1241">
        <v>1</v>
      </c>
      <c r="X369" s="1241" t="s">
        <v>46</v>
      </c>
      <c r="Y369" s="1242" t="s">
        <v>46</v>
      </c>
      <c r="Z369" s="1143">
        <f>SUM(W368:Y368)</f>
        <v>1</v>
      </c>
      <c r="AA369" s="1074"/>
      <c r="AB369" s="1126"/>
      <c r="AC369" s="1073"/>
      <c r="AD369" s="1084"/>
      <c r="AE369" s="1062"/>
      <c r="AF369" s="1296"/>
      <c r="AG369" s="1297"/>
      <c r="AH369" s="1298"/>
      <c r="AI369" s="1298"/>
      <c r="AJ369" s="1299"/>
      <c r="AK369" s="1300">
        <v>125000</v>
      </c>
      <c r="AL369" s="1090">
        <f>AK369*W369</f>
        <v>125000</v>
      </c>
      <c r="AM369" s="1297"/>
      <c r="AN369" s="1297"/>
      <c r="AO369" s="1298"/>
      <c r="AP369" s="1301"/>
      <c r="AQ369" s="1298"/>
      <c r="AR369" s="1301"/>
      <c r="AS369" s="1301"/>
      <c r="AT369" s="1297"/>
      <c r="AU369" s="1299"/>
      <c r="AV369" s="1067"/>
      <c r="AX369" s="1350"/>
      <c r="AY369" s="1350"/>
      <c r="AZ369" s="1350"/>
      <c r="BA369" s="1350"/>
      <c r="BB369" s="1350"/>
      <c r="BC369" s="1350"/>
      <c r="BD369" s="1350"/>
      <c r="BE369" s="1350"/>
      <c r="BF369" s="1350"/>
    </row>
    <row r="370" spans="1:58" ht="16.5" customHeight="1">
      <c r="A370" s="1082"/>
      <c r="B370" s="1082" t="s">
        <v>8</v>
      </c>
      <c r="C370" s="1147" t="s">
        <v>89</v>
      </c>
      <c r="D370" s="1082"/>
      <c r="E370" s="1083"/>
      <c r="F370" s="1138"/>
      <c r="G370" s="1038"/>
      <c r="H370" s="1092"/>
      <c r="I370" s="1346"/>
      <c r="J370" s="1069"/>
      <c r="K370" s="1339"/>
      <c r="L370" s="1139"/>
      <c r="M370" s="1128"/>
      <c r="N370" s="1038"/>
      <c r="O370" s="1083"/>
      <c r="P370" s="1072"/>
      <c r="Q370" s="1073"/>
      <c r="R370" s="1074"/>
      <c r="S370" s="1074"/>
      <c r="T370" s="1075"/>
      <c r="U370" s="1254">
        <v>4</v>
      </c>
      <c r="V370" s="1355" t="s">
        <v>3</v>
      </c>
      <c r="W370" s="1241">
        <v>6</v>
      </c>
      <c r="X370" s="1241" t="s">
        <v>46</v>
      </c>
      <c r="Y370" s="1242"/>
      <c r="Z370" s="1143">
        <f>SUM(W369:Y369)</f>
        <v>1</v>
      </c>
      <c r="AA370" s="1074"/>
      <c r="AB370" s="1126"/>
      <c r="AC370" s="1073"/>
      <c r="AD370" s="1084"/>
      <c r="AE370" s="1062"/>
      <c r="AF370" s="1296"/>
      <c r="AG370" s="1297"/>
      <c r="AH370" s="1298"/>
      <c r="AI370" s="1298"/>
      <c r="AJ370" s="1299"/>
      <c r="AK370" s="1089">
        <v>85000</v>
      </c>
      <c r="AL370" s="1090">
        <f>AK370*W370</f>
        <v>510000</v>
      </c>
      <c r="AM370" s="1297"/>
      <c r="AN370" s="1297"/>
      <c r="AO370" s="1298"/>
      <c r="AP370" s="1301"/>
      <c r="AQ370" s="1298"/>
      <c r="AR370" s="1301"/>
      <c r="AS370" s="1301"/>
      <c r="AT370" s="1297"/>
      <c r="AU370" s="1299"/>
      <c r="AV370" s="1067"/>
      <c r="AX370" s="1350"/>
      <c r="AY370" s="1350"/>
      <c r="AZ370" s="1350"/>
      <c r="BA370" s="1350"/>
      <c r="BB370" s="1350"/>
      <c r="BC370" s="1350"/>
      <c r="BD370" s="1350"/>
      <c r="BE370" s="1350"/>
      <c r="BF370" s="1350"/>
    </row>
    <row r="371" spans="1:58" ht="16.5" customHeight="1">
      <c r="A371" s="1082"/>
      <c r="B371" s="1082"/>
      <c r="C371" s="1083"/>
      <c r="D371" s="1082"/>
      <c r="E371" s="1083"/>
      <c r="F371" s="1138"/>
      <c r="G371" s="1038"/>
      <c r="H371" s="1092"/>
      <c r="I371" s="1346"/>
      <c r="J371" s="1069"/>
      <c r="K371" s="1339"/>
      <c r="L371" s="1139"/>
      <c r="M371" s="1128"/>
      <c r="N371" s="1038"/>
      <c r="O371" s="1083"/>
      <c r="P371" s="1072"/>
      <c r="Q371" s="1073"/>
      <c r="R371" s="1074"/>
      <c r="S371" s="1074"/>
      <c r="T371" s="1075"/>
      <c r="U371" s="1254"/>
      <c r="V371" s="1355" t="s">
        <v>3</v>
      </c>
      <c r="W371" s="1241"/>
      <c r="X371" s="1241" t="s">
        <v>46</v>
      </c>
      <c r="Y371" s="1242">
        <v>1</v>
      </c>
      <c r="Z371" s="1143">
        <f t="shared" ref="Z371:Z381" si="33">SUM(W371:Y371)</f>
        <v>1</v>
      </c>
      <c r="AA371" s="1074"/>
      <c r="AB371" s="1126"/>
      <c r="AC371" s="1073"/>
      <c r="AD371" s="1084"/>
      <c r="AE371" s="1062"/>
      <c r="AF371" s="1296"/>
      <c r="AG371" s="1297"/>
      <c r="AH371" s="1298"/>
      <c r="AI371" s="1298"/>
      <c r="AJ371" s="1299"/>
      <c r="AK371" s="1089">
        <v>20000</v>
      </c>
      <c r="AL371" s="1090">
        <f>AK371*Y371</f>
        <v>20000</v>
      </c>
      <c r="AM371" s="1297"/>
      <c r="AN371" s="1297"/>
      <c r="AO371" s="1298"/>
      <c r="AP371" s="1301"/>
      <c r="AQ371" s="1298"/>
      <c r="AR371" s="1301"/>
      <c r="AS371" s="1301"/>
      <c r="AT371" s="1297"/>
      <c r="AU371" s="1299"/>
      <c r="AV371" s="1067"/>
      <c r="AX371" s="1350"/>
      <c r="AY371" s="1350"/>
      <c r="AZ371" s="1350"/>
      <c r="BA371" s="1350"/>
      <c r="BB371" s="1350"/>
      <c r="BC371" s="1350"/>
      <c r="BD371" s="1350"/>
      <c r="BE371" s="1350"/>
      <c r="BF371" s="1350"/>
    </row>
    <row r="372" spans="1:58" ht="16.5" customHeight="1">
      <c r="A372" s="1082"/>
      <c r="B372" s="1082"/>
      <c r="C372" s="1083"/>
      <c r="D372" s="1082"/>
      <c r="E372" s="1083"/>
      <c r="F372" s="1138"/>
      <c r="G372" s="1038"/>
      <c r="H372" s="1092"/>
      <c r="I372" s="1346"/>
      <c r="J372" s="1069"/>
      <c r="K372" s="1339"/>
      <c r="L372" s="1139"/>
      <c r="M372" s="1128"/>
      <c r="N372" s="1038"/>
      <c r="O372" s="1083"/>
      <c r="P372" s="1072"/>
      <c r="Q372" s="1073"/>
      <c r="R372" s="1074"/>
      <c r="S372" s="1074"/>
      <c r="T372" s="1075"/>
      <c r="U372" s="1254">
        <v>5</v>
      </c>
      <c r="V372" s="1355" t="s">
        <v>266</v>
      </c>
      <c r="W372" s="1241">
        <v>1</v>
      </c>
      <c r="X372" s="1241">
        <v>0</v>
      </c>
      <c r="Y372" s="1242" t="s">
        <v>46</v>
      </c>
      <c r="Z372" s="1143">
        <f t="shared" si="33"/>
        <v>1</v>
      </c>
      <c r="AA372" s="1074"/>
      <c r="AB372" s="1126"/>
      <c r="AC372" s="1073"/>
      <c r="AD372" s="1084"/>
      <c r="AE372" s="1062"/>
      <c r="AF372" s="1296"/>
      <c r="AG372" s="1297"/>
      <c r="AH372" s="1298"/>
      <c r="AI372" s="1298"/>
      <c r="AJ372" s="1299"/>
      <c r="AK372" s="1300">
        <v>16940</v>
      </c>
      <c r="AL372" s="1090">
        <f t="shared" si="31"/>
        <v>16940</v>
      </c>
      <c r="AM372" s="1297"/>
      <c r="AN372" s="1297"/>
      <c r="AO372" s="1298"/>
      <c r="AP372" s="1301"/>
      <c r="AQ372" s="1298"/>
      <c r="AR372" s="1301"/>
      <c r="AS372" s="1301"/>
      <c r="AT372" s="1297"/>
      <c r="AU372" s="1299"/>
      <c r="AV372" s="1067"/>
      <c r="AX372" s="1350"/>
      <c r="AY372" s="1350"/>
      <c r="AZ372" s="1350"/>
      <c r="BA372" s="1350"/>
      <c r="BB372" s="1350"/>
      <c r="BC372" s="1350"/>
      <c r="BD372" s="1350"/>
      <c r="BE372" s="1350"/>
      <c r="BF372" s="1350"/>
    </row>
    <row r="373" spans="1:58" ht="16.5" customHeight="1">
      <c r="A373" s="1082"/>
      <c r="B373" s="1082"/>
      <c r="C373" s="1083"/>
      <c r="D373" s="1082"/>
      <c r="E373" s="1083"/>
      <c r="F373" s="1138"/>
      <c r="G373" s="1038"/>
      <c r="H373" s="1092"/>
      <c r="I373" s="1346"/>
      <c r="J373" s="1069"/>
      <c r="K373" s="1339"/>
      <c r="L373" s="1139"/>
      <c r="M373" s="1128"/>
      <c r="N373" s="1038"/>
      <c r="O373" s="1083"/>
      <c r="P373" s="1072"/>
      <c r="Q373" s="1073"/>
      <c r="R373" s="1074"/>
      <c r="S373" s="1074"/>
      <c r="T373" s="1075"/>
      <c r="U373" s="1254">
        <v>6</v>
      </c>
      <c r="V373" s="1355" t="s">
        <v>265</v>
      </c>
      <c r="W373" s="1241">
        <v>4</v>
      </c>
      <c r="X373" s="1241"/>
      <c r="Y373" s="1242"/>
      <c r="Z373" s="1143"/>
      <c r="AA373" s="1074"/>
      <c r="AB373" s="1126"/>
      <c r="AC373" s="1073"/>
      <c r="AD373" s="1084"/>
      <c r="AE373" s="1062"/>
      <c r="AF373" s="1296"/>
      <c r="AG373" s="1297"/>
      <c r="AH373" s="1298"/>
      <c r="AI373" s="1298"/>
      <c r="AJ373" s="1299"/>
      <c r="AK373" s="1089">
        <v>100000</v>
      </c>
      <c r="AL373" s="1090">
        <f t="shared" si="31"/>
        <v>400000</v>
      </c>
      <c r="AM373" s="1297"/>
      <c r="AN373" s="1297"/>
      <c r="AO373" s="1298"/>
      <c r="AP373" s="1301"/>
      <c r="AQ373" s="1298"/>
      <c r="AR373" s="1301"/>
      <c r="AS373" s="1301"/>
      <c r="AT373" s="1297"/>
      <c r="AU373" s="1299"/>
      <c r="AV373" s="1067"/>
      <c r="AX373" s="1350"/>
      <c r="AY373" s="1350"/>
      <c r="AZ373" s="1350"/>
      <c r="BA373" s="1350"/>
      <c r="BB373" s="1350"/>
      <c r="BC373" s="1350"/>
      <c r="BD373" s="1350"/>
      <c r="BE373" s="1350"/>
      <c r="BF373" s="1350"/>
    </row>
    <row r="374" spans="1:58" ht="16.5" customHeight="1">
      <c r="A374" s="1082"/>
      <c r="B374" s="1082"/>
      <c r="C374" s="1083"/>
      <c r="D374" s="1082"/>
      <c r="E374" s="1083"/>
      <c r="F374" s="1138"/>
      <c r="G374" s="1038"/>
      <c r="H374" s="1092"/>
      <c r="I374" s="1346"/>
      <c r="J374" s="1069"/>
      <c r="K374" s="1339"/>
      <c r="L374" s="1139"/>
      <c r="M374" s="1128"/>
      <c r="N374" s="1038"/>
      <c r="O374" s="1083"/>
      <c r="P374" s="1072"/>
      <c r="Q374" s="1073"/>
      <c r="R374" s="1074"/>
      <c r="S374" s="1074"/>
      <c r="T374" s="1075"/>
      <c r="U374" s="1254"/>
      <c r="V374" s="1355" t="s">
        <v>265</v>
      </c>
      <c r="W374" s="1241"/>
      <c r="X374" s="1241"/>
      <c r="Y374" s="1242">
        <v>9</v>
      </c>
      <c r="Z374" s="1143">
        <f t="shared" si="33"/>
        <v>9</v>
      </c>
      <c r="AA374" s="1074"/>
      <c r="AB374" s="1126"/>
      <c r="AC374" s="1073"/>
      <c r="AD374" s="1084"/>
      <c r="AE374" s="1062"/>
      <c r="AF374" s="1296"/>
      <c r="AG374" s="1297"/>
      <c r="AH374" s="1298"/>
      <c r="AI374" s="1298"/>
      <c r="AJ374" s="1299"/>
      <c r="AK374" s="1089">
        <v>33000</v>
      </c>
      <c r="AL374" s="1090">
        <f>AK374*Y374</f>
        <v>297000</v>
      </c>
      <c r="AM374" s="1297"/>
      <c r="AN374" s="1297"/>
      <c r="AO374" s="1298"/>
      <c r="AP374" s="1301"/>
      <c r="AQ374" s="1298"/>
      <c r="AR374" s="1301"/>
      <c r="AS374" s="1301"/>
      <c r="AT374" s="1297"/>
      <c r="AU374" s="1299"/>
      <c r="AV374" s="1067"/>
      <c r="AX374" s="1074"/>
      <c r="AY374" s="1074"/>
      <c r="AZ374" s="1081"/>
      <c r="BA374" s="1358"/>
      <c r="BB374" s="1123"/>
      <c r="BC374" s="1081"/>
      <c r="BD374" s="1081"/>
      <c r="BE374" s="1081"/>
      <c r="BF374" s="1359"/>
    </row>
    <row r="375" spans="1:58" ht="16.5" customHeight="1">
      <c r="A375" s="1082"/>
      <c r="B375" s="1082"/>
      <c r="C375" s="1083"/>
      <c r="D375" s="1082"/>
      <c r="E375" s="1083"/>
      <c r="F375" s="1138"/>
      <c r="G375" s="1038"/>
      <c r="H375" s="1092"/>
      <c r="I375" s="1346"/>
      <c r="J375" s="1069"/>
      <c r="K375" s="1339"/>
      <c r="L375" s="1139"/>
      <c r="M375" s="1128"/>
      <c r="N375" s="1038"/>
      <c r="O375" s="1083"/>
      <c r="P375" s="1072"/>
      <c r="Q375" s="1073"/>
      <c r="R375" s="1074"/>
      <c r="S375" s="1074"/>
      <c r="T375" s="1075"/>
      <c r="U375" s="1254">
        <v>7</v>
      </c>
      <c r="V375" s="1355" t="s">
        <v>264</v>
      </c>
      <c r="W375" s="1241">
        <v>2</v>
      </c>
      <c r="X375" s="1241">
        <v>0</v>
      </c>
      <c r="Y375" s="1242">
        <v>0</v>
      </c>
      <c r="Z375" s="1143">
        <f t="shared" si="33"/>
        <v>2</v>
      </c>
      <c r="AA375" s="1074"/>
      <c r="AB375" s="1126"/>
      <c r="AC375" s="1073"/>
      <c r="AD375" s="1084"/>
      <c r="AE375" s="1062"/>
      <c r="AF375" s="1296"/>
      <c r="AG375" s="1297"/>
      <c r="AH375" s="1298"/>
      <c r="AI375" s="1298"/>
      <c r="AJ375" s="1299"/>
      <c r="AK375" s="1300">
        <v>75000</v>
      </c>
      <c r="AL375" s="1090">
        <f t="shared" si="31"/>
        <v>150000</v>
      </c>
      <c r="AM375" s="1297"/>
      <c r="AN375" s="1297"/>
      <c r="AO375" s="1298"/>
      <c r="AP375" s="1301"/>
      <c r="AQ375" s="1298"/>
      <c r="AR375" s="1301"/>
      <c r="AS375" s="1301"/>
      <c r="AT375" s="1297"/>
      <c r="AU375" s="1299"/>
      <c r="AV375" s="1067"/>
      <c r="AX375" s="1074"/>
      <c r="AY375" s="1074"/>
      <c r="AZ375" s="1081"/>
      <c r="BA375" s="1358"/>
      <c r="BB375" s="1123"/>
      <c r="BC375" s="1081"/>
      <c r="BD375" s="1081"/>
      <c r="BE375" s="1081"/>
      <c r="BF375" s="1359"/>
    </row>
    <row r="376" spans="1:58" ht="16.5" customHeight="1">
      <c r="A376" s="1082"/>
      <c r="B376" s="1082"/>
      <c r="C376" s="1083"/>
      <c r="D376" s="1082"/>
      <c r="E376" s="1083"/>
      <c r="F376" s="1138"/>
      <c r="G376" s="1038"/>
      <c r="H376" s="1092"/>
      <c r="I376" s="1346"/>
      <c r="J376" s="1069"/>
      <c r="K376" s="1339"/>
      <c r="L376" s="1139"/>
      <c r="M376" s="1128"/>
      <c r="N376" s="1038"/>
      <c r="O376" s="1083"/>
      <c r="P376" s="1072"/>
      <c r="Q376" s="1073"/>
      <c r="R376" s="1074"/>
      <c r="S376" s="1074"/>
      <c r="T376" s="1075"/>
      <c r="U376" s="1254"/>
      <c r="V376" s="1355" t="s">
        <v>264</v>
      </c>
      <c r="W376" s="1241">
        <v>0</v>
      </c>
      <c r="X376" s="1241">
        <v>0</v>
      </c>
      <c r="Y376" s="1242">
        <v>2</v>
      </c>
      <c r="Z376" s="1143">
        <f t="shared" si="33"/>
        <v>2</v>
      </c>
      <c r="AA376" s="1074"/>
      <c r="AB376" s="1126"/>
      <c r="AC376" s="1073"/>
      <c r="AD376" s="1084"/>
      <c r="AE376" s="1062"/>
      <c r="AF376" s="1296"/>
      <c r="AG376" s="1297"/>
      <c r="AH376" s="1298"/>
      <c r="AI376" s="1298"/>
      <c r="AJ376" s="1299"/>
      <c r="AK376" s="1300">
        <v>24750</v>
      </c>
      <c r="AL376" s="1090">
        <f>AK376*Y376</f>
        <v>49500</v>
      </c>
      <c r="AM376" s="1297"/>
      <c r="AN376" s="1297"/>
      <c r="AO376" s="1298"/>
      <c r="AP376" s="1301"/>
      <c r="AQ376" s="1298"/>
      <c r="AR376" s="1301"/>
      <c r="AS376" s="1301"/>
      <c r="AT376" s="1297"/>
      <c r="AU376" s="1299"/>
      <c r="AV376" s="1067"/>
      <c r="AX376" s="1074"/>
      <c r="AY376" s="1074"/>
      <c r="AZ376" s="1081"/>
      <c r="BA376" s="1358"/>
      <c r="BB376" s="1123"/>
      <c r="BC376" s="1081"/>
      <c r="BD376" s="1081"/>
      <c r="BE376" s="1081"/>
      <c r="BF376" s="1359"/>
    </row>
    <row r="377" spans="1:58" ht="16.5" customHeight="1">
      <c r="A377" s="1082"/>
      <c r="B377" s="1082"/>
      <c r="C377" s="1083"/>
      <c r="D377" s="1082"/>
      <c r="E377" s="1083"/>
      <c r="F377" s="1138"/>
      <c r="G377" s="1038"/>
      <c r="H377" s="1092"/>
      <c r="I377" s="1346"/>
      <c r="J377" s="1069"/>
      <c r="K377" s="1339"/>
      <c r="L377" s="1139"/>
      <c r="M377" s="1128"/>
      <c r="N377" s="1038"/>
      <c r="O377" s="1083"/>
      <c r="P377" s="1072"/>
      <c r="Q377" s="1073"/>
      <c r="R377" s="1074"/>
      <c r="S377" s="1074"/>
      <c r="T377" s="1075"/>
      <c r="U377" s="1254">
        <v>8</v>
      </c>
      <c r="V377" s="1355" t="s">
        <v>263</v>
      </c>
      <c r="W377" s="1241">
        <v>4</v>
      </c>
      <c r="X377" s="1241" t="s">
        <v>46</v>
      </c>
      <c r="Y377" s="1242" t="s">
        <v>46</v>
      </c>
      <c r="Z377" s="1143">
        <f t="shared" si="33"/>
        <v>4</v>
      </c>
      <c r="AA377" s="1074"/>
      <c r="AB377" s="1126"/>
      <c r="AC377" s="1073"/>
      <c r="AD377" s="1084"/>
      <c r="AE377" s="1062"/>
      <c r="AF377" s="1296"/>
      <c r="AG377" s="1297"/>
      <c r="AH377" s="1298"/>
      <c r="AI377" s="1298"/>
      <c r="AJ377" s="1299"/>
      <c r="AK377" s="1300">
        <v>38400</v>
      </c>
      <c r="AL377" s="1090">
        <f t="shared" si="31"/>
        <v>153600</v>
      </c>
      <c r="AM377" s="1297"/>
      <c r="AN377" s="1297"/>
      <c r="AO377" s="1298"/>
      <c r="AP377" s="1301"/>
      <c r="AQ377" s="1298"/>
      <c r="AR377" s="1301"/>
      <c r="AS377" s="1301"/>
      <c r="AT377" s="1297"/>
      <c r="AU377" s="1299"/>
      <c r="AV377" s="1067"/>
      <c r="AX377" s="1074"/>
      <c r="AY377" s="1074"/>
      <c r="AZ377" s="1081"/>
      <c r="BA377" s="1358"/>
      <c r="BB377" s="1123"/>
      <c r="BC377" s="1081"/>
      <c r="BD377" s="1081"/>
      <c r="BE377" s="1081"/>
      <c r="BF377" s="1359"/>
    </row>
    <row r="378" spans="1:58" ht="16.5" customHeight="1">
      <c r="A378" s="1082"/>
      <c r="B378" s="1082"/>
      <c r="C378" s="1083"/>
      <c r="D378" s="1082"/>
      <c r="E378" s="1083"/>
      <c r="F378" s="1138"/>
      <c r="G378" s="1038"/>
      <c r="H378" s="1092"/>
      <c r="I378" s="1346"/>
      <c r="J378" s="1069"/>
      <c r="K378" s="1339"/>
      <c r="L378" s="1139"/>
      <c r="M378" s="1128"/>
      <c r="N378" s="1038"/>
      <c r="O378" s="1083"/>
      <c r="P378" s="1072"/>
      <c r="Q378" s="1073"/>
      <c r="R378" s="1074"/>
      <c r="S378" s="1074"/>
      <c r="T378" s="1075"/>
      <c r="U378" s="1254">
        <v>9</v>
      </c>
      <c r="V378" s="1355" t="s">
        <v>262</v>
      </c>
      <c r="W378" s="1241">
        <v>1</v>
      </c>
      <c r="X378" s="1241"/>
      <c r="Y378" s="1242" t="s">
        <v>46</v>
      </c>
      <c r="Z378" s="1143">
        <f t="shared" si="33"/>
        <v>1</v>
      </c>
      <c r="AA378" s="1074"/>
      <c r="AB378" s="1126"/>
      <c r="AC378" s="1073"/>
      <c r="AD378" s="1084"/>
      <c r="AE378" s="1062"/>
      <c r="AF378" s="1296"/>
      <c r="AG378" s="1297"/>
      <c r="AH378" s="1298"/>
      <c r="AI378" s="1298"/>
      <c r="AJ378" s="1299"/>
      <c r="AK378" s="1300">
        <v>30000</v>
      </c>
      <c r="AL378" s="1090">
        <f t="shared" si="31"/>
        <v>30000</v>
      </c>
      <c r="AM378" s="1297"/>
      <c r="AN378" s="1297"/>
      <c r="AO378" s="1298"/>
      <c r="AP378" s="1301"/>
      <c r="AQ378" s="1298"/>
      <c r="AR378" s="1301"/>
      <c r="AS378" s="1301"/>
      <c r="AT378" s="1297"/>
      <c r="AU378" s="1299"/>
      <c r="AV378" s="1067"/>
      <c r="AX378" s="1074"/>
      <c r="AY378" s="1074"/>
      <c r="AZ378" s="1081"/>
      <c r="BA378" s="1358"/>
      <c r="BB378" s="1123"/>
      <c r="BC378" s="1081"/>
      <c r="BD378" s="1081"/>
      <c r="BE378" s="1081"/>
      <c r="BF378" s="1359"/>
    </row>
    <row r="379" spans="1:58" ht="16.5" customHeight="1">
      <c r="A379" s="1082"/>
      <c r="B379" s="1082"/>
      <c r="C379" s="1083"/>
      <c r="D379" s="1082"/>
      <c r="E379" s="1083"/>
      <c r="F379" s="1138"/>
      <c r="G379" s="1038"/>
      <c r="H379" s="1092"/>
      <c r="I379" s="1346"/>
      <c r="J379" s="1069"/>
      <c r="K379" s="1339"/>
      <c r="L379" s="1139"/>
      <c r="M379" s="1128"/>
      <c r="N379" s="1038"/>
      <c r="O379" s="1083"/>
      <c r="P379" s="1072"/>
      <c r="Q379" s="1073"/>
      <c r="R379" s="1074"/>
      <c r="S379" s="1074"/>
      <c r="T379" s="1075"/>
      <c r="U379" s="1254"/>
      <c r="V379" s="1355" t="s">
        <v>262</v>
      </c>
      <c r="W379" s="1241"/>
      <c r="X379" s="1241">
        <v>2</v>
      </c>
      <c r="Y379" s="1242" t="s">
        <v>46</v>
      </c>
      <c r="Z379" s="1143"/>
      <c r="AA379" s="1074"/>
      <c r="AB379" s="1126"/>
      <c r="AC379" s="1073"/>
      <c r="AD379" s="1084"/>
      <c r="AE379" s="1062"/>
      <c r="AF379" s="1296"/>
      <c r="AG379" s="1297"/>
      <c r="AH379" s="1298"/>
      <c r="AI379" s="1298"/>
      <c r="AJ379" s="1299"/>
      <c r="AK379" s="1300">
        <v>20000</v>
      </c>
      <c r="AL379" s="1090">
        <f>AK379*X379</f>
        <v>40000</v>
      </c>
      <c r="AM379" s="1297"/>
      <c r="AN379" s="1297"/>
      <c r="AO379" s="1298"/>
      <c r="AP379" s="1301"/>
      <c r="AQ379" s="1298"/>
      <c r="AR379" s="1301"/>
      <c r="AS379" s="1301"/>
      <c r="AT379" s="1297"/>
      <c r="AU379" s="1299"/>
      <c r="AV379" s="1067"/>
      <c r="AX379" s="1074"/>
      <c r="AY379" s="1074"/>
      <c r="AZ379" s="1081"/>
      <c r="BA379" s="1358"/>
      <c r="BB379" s="1123"/>
      <c r="BC379" s="1081"/>
      <c r="BD379" s="1081"/>
      <c r="BE379" s="1081"/>
      <c r="BF379" s="1359"/>
    </row>
    <row r="380" spans="1:58" ht="16.5" customHeight="1">
      <c r="A380" s="1082"/>
      <c r="B380" s="1082"/>
      <c r="C380" s="1083"/>
      <c r="D380" s="1082"/>
      <c r="E380" s="1083"/>
      <c r="F380" s="1138"/>
      <c r="G380" s="1038"/>
      <c r="H380" s="1092"/>
      <c r="I380" s="1346"/>
      <c r="J380" s="1069"/>
      <c r="K380" s="1339"/>
      <c r="L380" s="1139"/>
      <c r="M380" s="1128"/>
      <c r="N380" s="1038"/>
      <c r="O380" s="1083"/>
      <c r="P380" s="1072"/>
      <c r="Q380" s="1073"/>
      <c r="R380" s="1074"/>
      <c r="S380" s="1074"/>
      <c r="T380" s="1075"/>
      <c r="U380" s="1254">
        <v>10</v>
      </c>
      <c r="V380" s="1355" t="s">
        <v>261</v>
      </c>
      <c r="W380" s="1241">
        <v>0</v>
      </c>
      <c r="X380" s="1241" t="s">
        <v>46</v>
      </c>
      <c r="Y380" s="1242">
        <v>4</v>
      </c>
      <c r="Z380" s="1143">
        <f t="shared" si="33"/>
        <v>4</v>
      </c>
      <c r="AA380" s="1074"/>
      <c r="AB380" s="1126"/>
      <c r="AC380" s="1073"/>
      <c r="AD380" s="1084"/>
      <c r="AE380" s="1062"/>
      <c r="AF380" s="1296"/>
      <c r="AG380" s="1297"/>
      <c r="AH380" s="1298"/>
      <c r="AI380" s="1298"/>
      <c r="AJ380" s="1299"/>
      <c r="AK380" s="1300"/>
      <c r="AL380" s="1090">
        <f>AK380*Y380</f>
        <v>0</v>
      </c>
      <c r="AM380" s="1297"/>
      <c r="AN380" s="1297"/>
      <c r="AO380" s="1298"/>
      <c r="AP380" s="1301"/>
      <c r="AQ380" s="1298"/>
      <c r="AR380" s="1301"/>
      <c r="AS380" s="1301"/>
      <c r="AT380" s="1297"/>
      <c r="AU380" s="1299"/>
      <c r="AV380" s="1067"/>
      <c r="AX380" s="1074"/>
      <c r="AY380" s="1074"/>
      <c r="AZ380" s="1081"/>
      <c r="BA380" s="1358"/>
      <c r="BB380" s="1123"/>
      <c r="BC380" s="1081"/>
      <c r="BD380" s="1081"/>
      <c r="BE380" s="1081"/>
      <c r="BF380" s="1359"/>
    </row>
    <row r="381" spans="1:58" ht="16.5" customHeight="1">
      <c r="A381" s="1082"/>
      <c r="B381" s="1082"/>
      <c r="C381" s="1083"/>
      <c r="D381" s="1082"/>
      <c r="E381" s="1083"/>
      <c r="F381" s="1138"/>
      <c r="G381" s="1038"/>
      <c r="H381" s="1092"/>
      <c r="I381" s="1346"/>
      <c r="J381" s="1069"/>
      <c r="K381" s="1339"/>
      <c r="L381" s="1139"/>
      <c r="M381" s="1128"/>
      <c r="N381" s="1038"/>
      <c r="O381" s="1083"/>
      <c r="P381" s="1072"/>
      <c r="Q381" s="1073"/>
      <c r="R381" s="1074"/>
      <c r="S381" s="1074"/>
      <c r="T381" s="1075"/>
      <c r="U381" s="1254">
        <v>11</v>
      </c>
      <c r="V381" s="1355" t="s">
        <v>260</v>
      </c>
      <c r="W381" s="1241">
        <v>0</v>
      </c>
      <c r="X381" s="1241">
        <v>3</v>
      </c>
      <c r="Y381" s="1242" t="s">
        <v>46</v>
      </c>
      <c r="Z381" s="1143">
        <f t="shared" si="33"/>
        <v>3</v>
      </c>
      <c r="AA381" s="1074"/>
      <c r="AB381" s="1126"/>
      <c r="AC381" s="1073"/>
      <c r="AD381" s="1084"/>
      <c r="AE381" s="1062"/>
      <c r="AF381" s="1296"/>
      <c r="AG381" s="1297"/>
      <c r="AH381" s="1298"/>
      <c r="AI381" s="1298"/>
      <c r="AJ381" s="1299"/>
      <c r="AK381" s="1300">
        <v>13250</v>
      </c>
      <c r="AL381" s="1090">
        <f>AK381*X381</f>
        <v>39750</v>
      </c>
      <c r="AM381" s="1297"/>
      <c r="AN381" s="1297"/>
      <c r="AO381" s="1298"/>
      <c r="AP381" s="1301"/>
      <c r="AQ381" s="1298"/>
      <c r="AR381" s="1301"/>
      <c r="AS381" s="1301"/>
      <c r="AT381" s="1297"/>
      <c r="AU381" s="1299"/>
      <c r="AV381" s="1067"/>
      <c r="AX381" s="1074"/>
      <c r="AY381" s="1074"/>
      <c r="AZ381" s="1081"/>
      <c r="BA381" s="1358"/>
      <c r="BB381" s="1123"/>
      <c r="BC381" s="1081"/>
      <c r="BD381" s="1081"/>
      <c r="BE381" s="1081"/>
      <c r="BF381" s="1359"/>
    </row>
    <row r="382" spans="1:58" ht="16.5" customHeight="1">
      <c r="A382" s="1082"/>
      <c r="B382" s="1082"/>
      <c r="C382" s="1083"/>
      <c r="D382" s="1082"/>
      <c r="E382" s="1083"/>
      <c r="F382" s="1138"/>
      <c r="G382" s="1038"/>
      <c r="H382" s="1092"/>
      <c r="I382" s="1346"/>
      <c r="J382" s="1069"/>
      <c r="K382" s="1339"/>
      <c r="L382" s="1139"/>
      <c r="M382" s="1128"/>
      <c r="N382" s="1038"/>
      <c r="O382" s="1083"/>
      <c r="P382" s="1072"/>
      <c r="Q382" s="1073"/>
      <c r="R382" s="1074"/>
      <c r="S382" s="1074"/>
      <c r="T382" s="1075"/>
      <c r="U382" s="1254">
        <v>12</v>
      </c>
      <c r="V382" s="1355" t="s">
        <v>259</v>
      </c>
      <c r="W382" s="1241">
        <v>20</v>
      </c>
      <c r="X382" s="1241">
        <v>0</v>
      </c>
      <c r="Y382" s="1242">
        <v>0</v>
      </c>
      <c r="Z382" s="1143" t="s">
        <v>253</v>
      </c>
      <c r="AA382" s="1074"/>
      <c r="AB382" s="1126"/>
      <c r="AC382" s="1073"/>
      <c r="AD382" s="1084"/>
      <c r="AE382" s="1062"/>
      <c r="AF382" s="1296"/>
      <c r="AG382" s="1297"/>
      <c r="AH382" s="1298"/>
      <c r="AI382" s="1298"/>
      <c r="AJ382" s="1299"/>
      <c r="AK382" s="1300">
        <v>15000</v>
      </c>
      <c r="AL382" s="1090">
        <f>AK382*W382</f>
        <v>300000</v>
      </c>
      <c r="AM382" s="1297"/>
      <c r="AN382" s="1297"/>
      <c r="AO382" s="1298"/>
      <c r="AP382" s="1301"/>
      <c r="AQ382" s="1298"/>
      <c r="AR382" s="1301"/>
      <c r="AS382" s="1301"/>
      <c r="AT382" s="1297"/>
      <c r="AU382" s="1299"/>
      <c r="AV382" s="1067"/>
      <c r="AX382" s="1074"/>
      <c r="AY382" s="1074"/>
      <c r="AZ382" s="1081"/>
      <c r="BA382" s="1358"/>
      <c r="BB382" s="1123"/>
      <c r="BC382" s="1081"/>
      <c r="BD382" s="1081"/>
      <c r="BE382" s="1081"/>
      <c r="BF382" s="1359"/>
    </row>
    <row r="383" spans="1:58" ht="16.5" customHeight="1">
      <c r="A383" s="1082"/>
      <c r="B383" s="1082"/>
      <c r="C383" s="1083"/>
      <c r="D383" s="1082"/>
      <c r="E383" s="1083"/>
      <c r="F383" s="1138"/>
      <c r="G383" s="1038"/>
      <c r="H383" s="1092"/>
      <c r="I383" s="1346"/>
      <c r="J383" s="1069"/>
      <c r="K383" s="1339"/>
      <c r="L383" s="1139"/>
      <c r="M383" s="1128"/>
      <c r="N383" s="1038"/>
      <c r="O383" s="1083"/>
      <c r="P383" s="1072"/>
      <c r="Q383" s="1073"/>
      <c r="R383" s="1074"/>
      <c r="S383" s="1074"/>
      <c r="T383" s="1075"/>
      <c r="U383" s="1254">
        <v>13</v>
      </c>
      <c r="V383" s="1355" t="s">
        <v>258</v>
      </c>
      <c r="W383" s="1241">
        <v>1</v>
      </c>
      <c r="X383" s="1241">
        <v>0</v>
      </c>
      <c r="Y383" s="1242">
        <v>0</v>
      </c>
      <c r="Z383" s="1143">
        <f>SUM(W383:Y383)</f>
        <v>1</v>
      </c>
      <c r="AA383" s="1074"/>
      <c r="AB383" s="1126"/>
      <c r="AC383" s="1073"/>
      <c r="AD383" s="1084"/>
      <c r="AE383" s="1062"/>
      <c r="AF383" s="1296"/>
      <c r="AG383" s="1297"/>
      <c r="AH383" s="1298"/>
      <c r="AI383" s="1298"/>
      <c r="AJ383" s="1299"/>
      <c r="AK383" s="1089">
        <v>15000</v>
      </c>
      <c r="AL383" s="1090">
        <f t="shared" si="31"/>
        <v>15000</v>
      </c>
      <c r="AM383" s="1297"/>
      <c r="AN383" s="1297"/>
      <c r="AO383" s="1298"/>
      <c r="AP383" s="1301"/>
      <c r="AQ383" s="1298"/>
      <c r="AR383" s="1301"/>
      <c r="AS383" s="1301"/>
      <c r="AT383" s="1297"/>
      <c r="AU383" s="1299"/>
      <c r="AV383" s="1067"/>
      <c r="AX383" s="1074"/>
      <c r="AY383" s="1074"/>
      <c r="AZ383" s="1081"/>
      <c r="BA383" s="1358"/>
      <c r="BB383" s="1123"/>
      <c r="BC383" s="1081"/>
      <c r="BD383" s="1081"/>
      <c r="BE383" s="1081"/>
      <c r="BF383" s="1359"/>
    </row>
    <row r="384" spans="1:58" ht="16.5" customHeight="1">
      <c r="A384" s="1082"/>
      <c r="B384" s="1082"/>
      <c r="C384" s="1083"/>
      <c r="D384" s="1082"/>
      <c r="E384" s="1083"/>
      <c r="F384" s="1138"/>
      <c r="G384" s="1038"/>
      <c r="H384" s="1092"/>
      <c r="I384" s="1346"/>
      <c r="J384" s="1069"/>
      <c r="K384" s="1339"/>
      <c r="L384" s="1139"/>
      <c r="M384" s="1128"/>
      <c r="N384" s="1038"/>
      <c r="O384" s="1083"/>
      <c r="P384" s="1072"/>
      <c r="Q384" s="1073"/>
      <c r="R384" s="1074"/>
      <c r="S384" s="1074"/>
      <c r="T384" s="1075"/>
      <c r="U384" s="1254">
        <v>14</v>
      </c>
      <c r="V384" s="1355" t="s">
        <v>257</v>
      </c>
      <c r="W384" s="1241">
        <v>1</v>
      </c>
      <c r="X384" s="1241">
        <v>0</v>
      </c>
      <c r="Y384" s="1242">
        <v>0</v>
      </c>
      <c r="Z384" s="1143">
        <f>SUM(W384:Y384)</f>
        <v>1</v>
      </c>
      <c r="AA384" s="1074"/>
      <c r="AB384" s="1126"/>
      <c r="AC384" s="1073"/>
      <c r="AD384" s="1084"/>
      <c r="AE384" s="1062"/>
      <c r="AF384" s="1296"/>
      <c r="AG384" s="1297"/>
      <c r="AH384" s="1298"/>
      <c r="AI384" s="1298"/>
      <c r="AJ384" s="1299"/>
      <c r="AK384" s="1300">
        <v>10000</v>
      </c>
      <c r="AL384" s="1090">
        <f t="shared" si="31"/>
        <v>10000</v>
      </c>
      <c r="AM384" s="1297"/>
      <c r="AN384" s="1297"/>
      <c r="AO384" s="1298"/>
      <c r="AP384" s="1301"/>
      <c r="AQ384" s="1298"/>
      <c r="AR384" s="1301"/>
      <c r="AS384" s="1301"/>
      <c r="AT384" s="1297"/>
      <c r="AU384" s="1299"/>
      <c r="AV384" s="1067"/>
      <c r="AX384" s="1074"/>
      <c r="AY384" s="1074"/>
      <c r="AZ384" s="1081"/>
      <c r="BA384" s="1358"/>
      <c r="BB384" s="1123"/>
      <c r="BC384" s="1081"/>
      <c r="BD384" s="1081"/>
      <c r="BE384" s="1081"/>
      <c r="BF384" s="1359"/>
    </row>
    <row r="385" spans="1:58" ht="16.5" customHeight="1">
      <c r="A385" s="1082"/>
      <c r="B385" s="1082"/>
      <c r="C385" s="1083"/>
      <c r="D385" s="1082"/>
      <c r="E385" s="1083"/>
      <c r="F385" s="1138"/>
      <c r="G385" s="1038"/>
      <c r="H385" s="1092"/>
      <c r="I385" s="1346"/>
      <c r="J385" s="1069"/>
      <c r="K385" s="1339"/>
      <c r="L385" s="1139"/>
      <c r="M385" s="1128"/>
      <c r="N385" s="1038"/>
      <c r="O385" s="1083"/>
      <c r="P385" s="1072"/>
      <c r="Q385" s="1073"/>
      <c r="R385" s="1074"/>
      <c r="S385" s="1074"/>
      <c r="T385" s="1075"/>
      <c r="U385" s="1254">
        <v>15</v>
      </c>
      <c r="V385" s="1355" t="s">
        <v>256</v>
      </c>
      <c r="W385" s="1241">
        <v>0</v>
      </c>
      <c r="X385" s="1241">
        <v>1</v>
      </c>
      <c r="Y385" s="1242">
        <v>0</v>
      </c>
      <c r="Z385" s="1143">
        <f>SUM(W385:Y385)</f>
        <v>1</v>
      </c>
      <c r="AA385" s="1074"/>
      <c r="AB385" s="1126"/>
      <c r="AC385" s="1073"/>
      <c r="AD385" s="1084"/>
      <c r="AE385" s="1062"/>
      <c r="AF385" s="1296"/>
      <c r="AG385" s="1297"/>
      <c r="AH385" s="1298"/>
      <c r="AI385" s="1298"/>
      <c r="AJ385" s="1299"/>
      <c r="AK385" s="1300"/>
      <c r="AL385" s="1090">
        <f t="shared" si="31"/>
        <v>0</v>
      </c>
      <c r="AM385" s="1297"/>
      <c r="AN385" s="1297"/>
      <c r="AO385" s="1298"/>
      <c r="AP385" s="1301"/>
      <c r="AQ385" s="1298"/>
      <c r="AR385" s="1301"/>
      <c r="AS385" s="1301"/>
      <c r="AT385" s="1297"/>
      <c r="AU385" s="1299"/>
      <c r="AV385" s="1067"/>
      <c r="AX385" s="1074"/>
      <c r="AY385" s="1074"/>
      <c r="AZ385" s="1081"/>
      <c r="BA385" s="1358"/>
      <c r="BB385" s="1123"/>
      <c r="BC385" s="1081"/>
      <c r="BD385" s="1081"/>
      <c r="BE385" s="1081"/>
      <c r="BF385" s="1359"/>
    </row>
    <row r="386" spans="1:58" ht="16.5" customHeight="1">
      <c r="A386" s="1082"/>
      <c r="B386" s="1082"/>
      <c r="C386" s="1083"/>
      <c r="D386" s="1082"/>
      <c r="E386" s="1083"/>
      <c r="F386" s="1138"/>
      <c r="G386" s="1038"/>
      <c r="H386" s="1092"/>
      <c r="I386" s="1346"/>
      <c r="J386" s="1069"/>
      <c r="K386" s="1339"/>
      <c r="L386" s="1139"/>
      <c r="M386" s="1128"/>
      <c r="N386" s="1038"/>
      <c r="O386" s="1083"/>
      <c r="P386" s="1072"/>
      <c r="Q386" s="1073"/>
      <c r="R386" s="1074"/>
      <c r="S386" s="1074"/>
      <c r="T386" s="1075"/>
      <c r="U386" s="1254">
        <v>16</v>
      </c>
      <c r="V386" s="1355" t="s">
        <v>255</v>
      </c>
      <c r="W386" s="1241">
        <v>3</v>
      </c>
      <c r="X386" s="1241">
        <v>0</v>
      </c>
      <c r="Y386" s="1242">
        <v>0</v>
      </c>
      <c r="Z386" s="1360" t="s">
        <v>251</v>
      </c>
      <c r="AA386" s="1074"/>
      <c r="AB386" s="1126"/>
      <c r="AC386" s="1073"/>
      <c r="AD386" s="1084"/>
      <c r="AE386" s="1062"/>
      <c r="AF386" s="1296"/>
      <c r="AG386" s="1297"/>
      <c r="AH386" s="1298"/>
      <c r="AI386" s="1298"/>
      <c r="AJ386" s="1299"/>
      <c r="AK386" s="1300">
        <v>4000</v>
      </c>
      <c r="AL386" s="1090">
        <f>AK386*W386</f>
        <v>12000</v>
      </c>
      <c r="AM386" s="1297"/>
      <c r="AN386" s="1297"/>
      <c r="AO386" s="1298"/>
      <c r="AP386" s="1301"/>
      <c r="AQ386" s="1298"/>
      <c r="AR386" s="1301"/>
      <c r="AS386" s="1301"/>
      <c r="AT386" s="1297"/>
      <c r="AU386" s="1299"/>
      <c r="AV386" s="1067"/>
      <c r="AX386" s="1074"/>
      <c r="AY386" s="1074"/>
      <c r="AZ386" s="1081"/>
      <c r="BA386" s="1358"/>
      <c r="BB386" s="1123"/>
      <c r="BC386" s="1081"/>
      <c r="BD386" s="1081"/>
      <c r="BE386" s="1081"/>
      <c r="BF386" s="1359"/>
    </row>
    <row r="387" spans="1:58" ht="16.5" customHeight="1">
      <c r="A387" s="1082"/>
      <c r="B387" s="1082"/>
      <c r="C387" s="1083"/>
      <c r="D387" s="1082"/>
      <c r="E387" s="1083"/>
      <c r="F387" s="1138"/>
      <c r="G387" s="1038"/>
      <c r="H387" s="1092"/>
      <c r="I387" s="1346"/>
      <c r="J387" s="1069"/>
      <c r="K387" s="1339"/>
      <c r="L387" s="1139"/>
      <c r="M387" s="1128"/>
      <c r="N387" s="1038"/>
      <c r="O387" s="1083"/>
      <c r="P387" s="1072"/>
      <c r="Q387" s="1073"/>
      <c r="R387" s="1074"/>
      <c r="S387" s="1074"/>
      <c r="T387" s="1075"/>
      <c r="U387" s="1254">
        <v>17</v>
      </c>
      <c r="V387" s="1355" t="s">
        <v>254</v>
      </c>
      <c r="W387" s="1241">
        <v>20</v>
      </c>
      <c r="X387" s="1241">
        <v>0</v>
      </c>
      <c r="Y387" s="1242">
        <v>0</v>
      </c>
      <c r="Z387" s="1360" t="s">
        <v>253</v>
      </c>
      <c r="AA387" s="1074"/>
      <c r="AB387" s="1126"/>
      <c r="AC387" s="1073"/>
      <c r="AD387" s="1084"/>
      <c r="AE387" s="1062"/>
      <c r="AF387" s="1296"/>
      <c r="AG387" s="1297"/>
      <c r="AH387" s="1298"/>
      <c r="AI387" s="1298"/>
      <c r="AJ387" s="1299"/>
      <c r="AK387" s="1300">
        <v>15000</v>
      </c>
      <c r="AL387" s="1090">
        <f>AK387*W387</f>
        <v>300000</v>
      </c>
      <c r="AM387" s="1297"/>
      <c r="AN387" s="1297"/>
      <c r="AO387" s="1298"/>
      <c r="AP387" s="1301"/>
      <c r="AQ387" s="1298"/>
      <c r="AR387" s="1301"/>
      <c r="AS387" s="1301"/>
      <c r="AT387" s="1297"/>
      <c r="AU387" s="1299"/>
      <c r="AV387" s="1067"/>
      <c r="AX387" s="1074"/>
      <c r="AY387" s="1074"/>
      <c r="AZ387" s="1081"/>
      <c r="BA387" s="1358"/>
      <c r="BB387" s="1123"/>
      <c r="BC387" s="1081"/>
      <c r="BD387" s="1081"/>
      <c r="BE387" s="1081"/>
      <c r="BF387" s="1359"/>
    </row>
    <row r="388" spans="1:58" ht="16.5" customHeight="1">
      <c r="A388" s="1082"/>
      <c r="B388" s="1082"/>
      <c r="C388" s="1083"/>
      <c r="D388" s="1082"/>
      <c r="E388" s="1083"/>
      <c r="F388" s="1138"/>
      <c r="G388" s="1038"/>
      <c r="H388" s="1092"/>
      <c r="I388" s="1346"/>
      <c r="J388" s="1069"/>
      <c r="K388" s="1339"/>
      <c r="L388" s="1139"/>
      <c r="M388" s="1128"/>
      <c r="N388" s="1038"/>
      <c r="O388" s="1083"/>
      <c r="P388" s="1072"/>
      <c r="Q388" s="1073"/>
      <c r="R388" s="1074"/>
      <c r="S388" s="1074"/>
      <c r="T388" s="1075"/>
      <c r="U388" s="1254">
        <v>18</v>
      </c>
      <c r="V388" s="1355" t="s">
        <v>252</v>
      </c>
      <c r="W388" s="1241">
        <v>3</v>
      </c>
      <c r="X388" s="1241">
        <v>0</v>
      </c>
      <c r="Y388" s="1242">
        <v>0</v>
      </c>
      <c r="Z388" s="1360" t="s">
        <v>251</v>
      </c>
      <c r="AA388" s="1074"/>
      <c r="AB388" s="1126"/>
      <c r="AC388" s="1073"/>
      <c r="AD388" s="1084"/>
      <c r="AE388" s="1062"/>
      <c r="AF388" s="1296"/>
      <c r="AG388" s="1297"/>
      <c r="AH388" s="1298"/>
      <c r="AI388" s="1298"/>
      <c r="AJ388" s="1299"/>
      <c r="AK388" s="1300">
        <v>15000</v>
      </c>
      <c r="AL388" s="1090">
        <f>AK388*W388</f>
        <v>45000</v>
      </c>
      <c r="AM388" s="1297"/>
      <c r="AN388" s="1297"/>
      <c r="AO388" s="1298"/>
      <c r="AP388" s="1301"/>
      <c r="AQ388" s="1298"/>
      <c r="AR388" s="1301"/>
      <c r="AS388" s="1301"/>
      <c r="AT388" s="1297"/>
      <c r="AU388" s="1299"/>
      <c r="AV388" s="1067"/>
      <c r="AX388" s="1074"/>
      <c r="AY388" s="1074"/>
      <c r="AZ388" s="1081"/>
      <c r="BA388" s="1358"/>
      <c r="BB388" s="1123"/>
      <c r="BC388" s="1081"/>
      <c r="BD388" s="1081"/>
      <c r="BE388" s="1081"/>
      <c r="BF388" s="1359"/>
    </row>
    <row r="389" spans="1:58" ht="16.5" customHeight="1">
      <c r="A389" s="1082"/>
      <c r="B389" s="1082"/>
      <c r="C389" s="1083"/>
      <c r="D389" s="1082"/>
      <c r="E389" s="1083"/>
      <c r="F389" s="1138"/>
      <c r="G389" s="1038"/>
      <c r="H389" s="1092"/>
      <c r="I389" s="1346"/>
      <c r="J389" s="1069"/>
      <c r="K389" s="1339"/>
      <c r="L389" s="1139"/>
      <c r="M389" s="1128"/>
      <c r="N389" s="1038"/>
      <c r="O389" s="1083"/>
      <c r="P389" s="1072"/>
      <c r="Q389" s="1073"/>
      <c r="R389" s="1074"/>
      <c r="S389" s="1074"/>
      <c r="T389" s="1075"/>
      <c r="U389" s="1254">
        <v>19</v>
      </c>
      <c r="V389" s="1355" t="s">
        <v>250</v>
      </c>
      <c r="W389" s="1241">
        <v>5</v>
      </c>
      <c r="X389" s="1241">
        <v>0</v>
      </c>
      <c r="Y389" s="1242">
        <v>0</v>
      </c>
      <c r="Z389" s="1143">
        <f t="shared" ref="Z389:Z397" si="34">SUM(W389:Y389)</f>
        <v>5</v>
      </c>
      <c r="AA389" s="1074"/>
      <c r="AB389" s="1126"/>
      <c r="AC389" s="1073"/>
      <c r="AD389" s="1084"/>
      <c r="AE389" s="1062"/>
      <c r="AF389" s="1296"/>
      <c r="AG389" s="1297"/>
      <c r="AH389" s="1298"/>
      <c r="AI389" s="1298"/>
      <c r="AJ389" s="1299"/>
      <c r="AK389" s="1300">
        <v>100600</v>
      </c>
      <c r="AL389" s="1090">
        <f t="shared" si="31"/>
        <v>503000</v>
      </c>
      <c r="AM389" s="1297"/>
      <c r="AN389" s="1297"/>
      <c r="AO389" s="1298"/>
      <c r="AP389" s="1301"/>
      <c r="AQ389" s="1298"/>
      <c r="AR389" s="1301"/>
      <c r="AS389" s="1301"/>
      <c r="AT389" s="1297"/>
      <c r="AU389" s="1299"/>
      <c r="AV389" s="1067"/>
      <c r="AX389" s="1074"/>
      <c r="AY389" s="1074"/>
      <c r="AZ389" s="1081"/>
      <c r="BA389" s="1358"/>
      <c r="BB389" s="1123"/>
      <c r="BC389" s="1081"/>
      <c r="BD389" s="1081"/>
      <c r="BE389" s="1081"/>
      <c r="BF389" s="1359"/>
    </row>
    <row r="390" spans="1:58" ht="16.5" customHeight="1">
      <c r="A390" s="1082"/>
      <c r="B390" s="1082"/>
      <c r="C390" s="1083"/>
      <c r="D390" s="1082"/>
      <c r="E390" s="1083"/>
      <c r="F390" s="1138"/>
      <c r="G390" s="1038"/>
      <c r="H390" s="1092"/>
      <c r="I390" s="1346"/>
      <c r="J390" s="1069"/>
      <c r="K390" s="1339"/>
      <c r="L390" s="1139"/>
      <c r="M390" s="1128"/>
      <c r="N390" s="1038"/>
      <c r="O390" s="1083"/>
      <c r="P390" s="1072"/>
      <c r="Q390" s="1073"/>
      <c r="R390" s="1074"/>
      <c r="S390" s="1074"/>
      <c r="T390" s="1075"/>
      <c r="U390" s="1254">
        <v>20</v>
      </c>
      <c r="V390" s="1355" t="s">
        <v>249</v>
      </c>
      <c r="W390" s="1241">
        <v>0</v>
      </c>
      <c r="X390" s="1241">
        <v>2</v>
      </c>
      <c r="Y390" s="1242">
        <v>0</v>
      </c>
      <c r="Z390" s="1143">
        <f t="shared" si="34"/>
        <v>2</v>
      </c>
      <c r="AA390" s="1074"/>
      <c r="AB390" s="1126"/>
      <c r="AC390" s="1073"/>
      <c r="AD390" s="1084"/>
      <c r="AE390" s="1062"/>
      <c r="AF390" s="1296"/>
      <c r="AG390" s="1297"/>
      <c r="AH390" s="1298"/>
      <c r="AI390" s="1298"/>
      <c r="AJ390" s="1299"/>
      <c r="AK390" s="1300">
        <v>6650</v>
      </c>
      <c r="AL390" s="1090">
        <f>AK390*X390</f>
        <v>13300</v>
      </c>
      <c r="AM390" s="1297"/>
      <c r="AN390" s="1297"/>
      <c r="AO390" s="1298"/>
      <c r="AP390" s="1301"/>
      <c r="AQ390" s="1298"/>
      <c r="AR390" s="1301"/>
      <c r="AS390" s="1301"/>
      <c r="AT390" s="1297"/>
      <c r="AU390" s="1299"/>
      <c r="AV390" s="1067"/>
      <c r="AX390" s="1074"/>
      <c r="AY390" s="1074"/>
      <c r="AZ390" s="1081"/>
      <c r="BA390" s="1358"/>
      <c r="BB390" s="1123"/>
      <c r="BC390" s="1081"/>
      <c r="BD390" s="1081"/>
      <c r="BE390" s="1081"/>
      <c r="BF390" s="1359"/>
    </row>
    <row r="391" spans="1:58" ht="16.5" customHeight="1">
      <c r="A391" s="1082"/>
      <c r="B391" s="1082"/>
      <c r="C391" s="1083"/>
      <c r="D391" s="1082"/>
      <c r="E391" s="1083"/>
      <c r="F391" s="1138"/>
      <c r="G391" s="1038"/>
      <c r="H391" s="1092"/>
      <c r="I391" s="1346"/>
      <c r="J391" s="1069"/>
      <c r="K391" s="1339"/>
      <c r="L391" s="1139"/>
      <c r="M391" s="1128"/>
      <c r="N391" s="1038"/>
      <c r="O391" s="1083"/>
      <c r="P391" s="1072"/>
      <c r="Q391" s="1073"/>
      <c r="R391" s="1074"/>
      <c r="S391" s="1074"/>
      <c r="T391" s="1075"/>
      <c r="U391" s="1254">
        <v>21</v>
      </c>
      <c r="V391" s="1355" t="s">
        <v>146</v>
      </c>
      <c r="W391" s="1241">
        <v>2</v>
      </c>
      <c r="X391" s="1241">
        <v>0</v>
      </c>
      <c r="Y391" s="1242">
        <v>0</v>
      </c>
      <c r="Z391" s="1143">
        <f t="shared" si="34"/>
        <v>2</v>
      </c>
      <c r="AA391" s="1074"/>
      <c r="AB391" s="1126"/>
      <c r="AC391" s="1073"/>
      <c r="AD391" s="1084"/>
      <c r="AE391" s="1062"/>
      <c r="AF391" s="1296"/>
      <c r="AG391" s="1297"/>
      <c r="AH391" s="1298"/>
      <c r="AI391" s="1298"/>
      <c r="AJ391" s="1299"/>
      <c r="AK391" s="1300"/>
      <c r="AL391" s="1090">
        <f t="shared" si="31"/>
        <v>0</v>
      </c>
      <c r="AM391" s="1297"/>
      <c r="AN391" s="1297"/>
      <c r="AO391" s="1298"/>
      <c r="AP391" s="1301"/>
      <c r="AQ391" s="1298"/>
      <c r="AR391" s="1301"/>
      <c r="AS391" s="1301"/>
      <c r="AT391" s="1297"/>
      <c r="AU391" s="1299"/>
      <c r="AV391" s="1067"/>
      <c r="AX391" s="1074"/>
      <c r="AY391" s="1074"/>
      <c r="AZ391" s="1081"/>
      <c r="BA391" s="1358"/>
      <c r="BB391" s="1123"/>
      <c r="BC391" s="1081"/>
      <c r="BD391" s="1081"/>
      <c r="BE391" s="1081"/>
      <c r="BF391" s="1359"/>
    </row>
    <row r="392" spans="1:58" ht="16.5" customHeight="1">
      <c r="A392" s="1082"/>
      <c r="B392" s="1082"/>
      <c r="C392" s="1083"/>
      <c r="D392" s="1082"/>
      <c r="E392" s="1083"/>
      <c r="F392" s="1138"/>
      <c r="G392" s="1038"/>
      <c r="H392" s="1092"/>
      <c r="I392" s="1346"/>
      <c r="J392" s="1069"/>
      <c r="K392" s="1339"/>
      <c r="L392" s="1139"/>
      <c r="M392" s="1128"/>
      <c r="N392" s="1038"/>
      <c r="O392" s="1083"/>
      <c r="P392" s="1072"/>
      <c r="Q392" s="1073"/>
      <c r="R392" s="1074"/>
      <c r="S392" s="1074"/>
      <c r="T392" s="1075"/>
      <c r="U392" s="1254">
        <v>22</v>
      </c>
      <c r="V392" s="1355" t="s">
        <v>248</v>
      </c>
      <c r="W392" s="1241">
        <v>0</v>
      </c>
      <c r="X392" s="1241">
        <v>0</v>
      </c>
      <c r="Y392" s="1242">
        <v>20</v>
      </c>
      <c r="Z392" s="1143">
        <f t="shared" si="34"/>
        <v>20</v>
      </c>
      <c r="AA392" s="1074"/>
      <c r="AB392" s="1126"/>
      <c r="AC392" s="1073"/>
      <c r="AD392" s="1084"/>
      <c r="AE392" s="1062"/>
      <c r="AF392" s="1296"/>
      <c r="AG392" s="1297"/>
      <c r="AH392" s="1298"/>
      <c r="AI392" s="1298"/>
      <c r="AJ392" s="1299"/>
      <c r="AK392" s="1300">
        <v>1770</v>
      </c>
      <c r="AL392" s="1090">
        <f>AK392*Y392</f>
        <v>35400</v>
      </c>
      <c r="AM392" s="1297"/>
      <c r="AN392" s="1297"/>
      <c r="AO392" s="1298"/>
      <c r="AP392" s="1301"/>
      <c r="AQ392" s="1298"/>
      <c r="AR392" s="1301"/>
      <c r="AS392" s="1301"/>
      <c r="AT392" s="1297"/>
      <c r="AU392" s="1299"/>
      <c r="AV392" s="1067"/>
      <c r="AX392" s="1074"/>
      <c r="AY392" s="1074"/>
      <c r="AZ392" s="1081"/>
      <c r="BA392" s="1358"/>
      <c r="BB392" s="1123"/>
      <c r="BC392" s="1081"/>
      <c r="BD392" s="1081"/>
      <c r="BE392" s="1081"/>
      <c r="BF392" s="1359"/>
    </row>
    <row r="393" spans="1:58" ht="16.5" customHeight="1">
      <c r="A393" s="1082"/>
      <c r="B393" s="1082"/>
      <c r="C393" s="1083"/>
      <c r="D393" s="1082"/>
      <c r="E393" s="1083"/>
      <c r="F393" s="1138"/>
      <c r="G393" s="1038"/>
      <c r="H393" s="1092"/>
      <c r="I393" s="1346"/>
      <c r="J393" s="1069"/>
      <c r="K393" s="1339"/>
      <c r="L393" s="1139"/>
      <c r="M393" s="1128"/>
      <c r="N393" s="1038"/>
      <c r="O393" s="1083"/>
      <c r="P393" s="1072"/>
      <c r="Q393" s="1073"/>
      <c r="R393" s="1074"/>
      <c r="S393" s="1074"/>
      <c r="T393" s="1075"/>
      <c r="U393" s="1254">
        <v>23</v>
      </c>
      <c r="V393" s="1355" t="s">
        <v>2</v>
      </c>
      <c r="W393" s="1241">
        <v>50</v>
      </c>
      <c r="X393" s="1241">
        <v>0</v>
      </c>
      <c r="Y393" s="1242">
        <v>0</v>
      </c>
      <c r="Z393" s="1143">
        <f t="shared" si="34"/>
        <v>50</v>
      </c>
      <c r="AA393" s="1074"/>
      <c r="AB393" s="1126"/>
      <c r="AC393" s="1073"/>
      <c r="AD393" s="1084"/>
      <c r="AE393" s="1062"/>
      <c r="AF393" s="1296"/>
      <c r="AG393" s="1297"/>
      <c r="AH393" s="1298"/>
      <c r="AI393" s="1298"/>
      <c r="AJ393" s="1299"/>
      <c r="AK393" s="1300">
        <v>10000</v>
      </c>
      <c r="AL393" s="1090">
        <f t="shared" si="31"/>
        <v>500000</v>
      </c>
      <c r="AM393" s="1297"/>
      <c r="AN393" s="1297"/>
      <c r="AO393" s="1298"/>
      <c r="AP393" s="1301"/>
      <c r="AQ393" s="1298"/>
      <c r="AR393" s="1301"/>
      <c r="AS393" s="1301"/>
      <c r="AT393" s="1297"/>
      <c r="AU393" s="1299"/>
      <c r="AV393" s="1067"/>
      <c r="AX393" s="1074"/>
      <c r="AY393" s="1074"/>
      <c r="AZ393" s="1081"/>
      <c r="BA393" s="1358"/>
      <c r="BB393" s="1123"/>
      <c r="BC393" s="1081"/>
      <c r="BD393" s="1081"/>
      <c r="BE393" s="1081"/>
      <c r="BF393" s="1359"/>
    </row>
    <row r="394" spans="1:58" ht="16.5" customHeight="1">
      <c r="A394" s="1082"/>
      <c r="B394" s="1082"/>
      <c r="C394" s="1083"/>
      <c r="D394" s="1082"/>
      <c r="E394" s="1083"/>
      <c r="F394" s="1138"/>
      <c r="G394" s="1038"/>
      <c r="H394" s="1092"/>
      <c r="I394" s="1346"/>
      <c r="J394" s="1069"/>
      <c r="K394" s="1339"/>
      <c r="L394" s="1139"/>
      <c r="M394" s="1128"/>
      <c r="N394" s="1038"/>
      <c r="O394" s="1083"/>
      <c r="P394" s="1072"/>
      <c r="Q394" s="1073"/>
      <c r="R394" s="1074"/>
      <c r="S394" s="1074"/>
      <c r="T394" s="1075"/>
      <c r="U394" s="1254">
        <v>24</v>
      </c>
      <c r="V394" s="1355" t="s">
        <v>247</v>
      </c>
      <c r="W394" s="1241">
        <v>0</v>
      </c>
      <c r="X394" s="1241">
        <v>0</v>
      </c>
      <c r="Y394" s="1242">
        <v>1</v>
      </c>
      <c r="Z394" s="1143">
        <f t="shared" si="34"/>
        <v>1</v>
      </c>
      <c r="AA394" s="1074"/>
      <c r="AB394" s="1126"/>
      <c r="AC394" s="1073"/>
      <c r="AD394" s="1084"/>
      <c r="AE394" s="1062"/>
      <c r="AF394" s="1296"/>
      <c r="AG394" s="1297"/>
      <c r="AH394" s="1298"/>
      <c r="AI394" s="1298"/>
      <c r="AJ394" s="1299"/>
      <c r="AK394" s="1300">
        <v>15000</v>
      </c>
      <c r="AL394" s="1090">
        <f>AK394*Y394</f>
        <v>15000</v>
      </c>
      <c r="AM394" s="1297"/>
      <c r="AN394" s="1297"/>
      <c r="AO394" s="1298"/>
      <c r="AP394" s="1301"/>
      <c r="AQ394" s="1298"/>
      <c r="AR394" s="1301"/>
      <c r="AS394" s="1301"/>
      <c r="AT394" s="1297"/>
      <c r="AU394" s="1299"/>
      <c r="AV394" s="1067"/>
      <c r="AX394" s="1074"/>
      <c r="AY394" s="1074"/>
      <c r="AZ394" s="1081"/>
      <c r="BA394" s="1358"/>
      <c r="BB394" s="1123"/>
      <c r="BC394" s="1081"/>
      <c r="BD394" s="1081"/>
      <c r="BE394" s="1081"/>
      <c r="BF394" s="1359"/>
    </row>
    <row r="395" spans="1:58" ht="16.5" customHeight="1">
      <c r="A395" s="1082"/>
      <c r="B395" s="1082"/>
      <c r="C395" s="1083"/>
      <c r="D395" s="1082"/>
      <c r="E395" s="1083"/>
      <c r="F395" s="1138"/>
      <c r="G395" s="1038"/>
      <c r="H395" s="1092"/>
      <c r="I395" s="1346"/>
      <c r="J395" s="1069"/>
      <c r="K395" s="1339"/>
      <c r="L395" s="1139"/>
      <c r="M395" s="1128"/>
      <c r="N395" s="1038"/>
      <c r="O395" s="1083"/>
      <c r="P395" s="1072"/>
      <c r="Q395" s="1073"/>
      <c r="R395" s="1074"/>
      <c r="S395" s="1074"/>
      <c r="T395" s="1075"/>
      <c r="U395" s="1254">
        <v>25</v>
      </c>
      <c r="V395" s="1355" t="s">
        <v>0</v>
      </c>
      <c r="W395" s="1241">
        <v>0</v>
      </c>
      <c r="X395" s="1241">
        <v>0</v>
      </c>
      <c r="Y395" s="1242">
        <v>7</v>
      </c>
      <c r="Z395" s="1143">
        <f t="shared" si="34"/>
        <v>7</v>
      </c>
      <c r="AA395" s="1074"/>
      <c r="AB395" s="1126"/>
      <c r="AC395" s="1073"/>
      <c r="AD395" s="1084"/>
      <c r="AE395" s="1062"/>
      <c r="AF395" s="1296"/>
      <c r="AG395" s="1297"/>
      <c r="AH395" s="1298"/>
      <c r="AI395" s="1298"/>
      <c r="AJ395" s="1299"/>
      <c r="AK395" s="1300">
        <v>2000</v>
      </c>
      <c r="AL395" s="1090">
        <f>AK395*Y395</f>
        <v>14000</v>
      </c>
      <c r="AM395" s="1297"/>
      <c r="AN395" s="1297"/>
      <c r="AO395" s="1298"/>
      <c r="AP395" s="1301"/>
      <c r="AQ395" s="1298"/>
      <c r="AR395" s="1301"/>
      <c r="AS395" s="1301"/>
      <c r="AT395" s="1297"/>
      <c r="AU395" s="1299"/>
      <c r="AV395" s="1067"/>
      <c r="AX395" s="1074"/>
      <c r="AY395" s="1074"/>
      <c r="AZ395" s="1081"/>
      <c r="BA395" s="1358"/>
      <c r="BB395" s="1123"/>
      <c r="BC395" s="1081"/>
      <c r="BD395" s="1081"/>
      <c r="BE395" s="1081"/>
      <c r="BF395" s="1359"/>
    </row>
    <row r="396" spans="1:58" ht="16.5" customHeight="1">
      <c r="A396" s="1082"/>
      <c r="B396" s="1082"/>
      <c r="C396" s="1083"/>
      <c r="D396" s="1082"/>
      <c r="E396" s="1083"/>
      <c r="F396" s="1138"/>
      <c r="G396" s="1038"/>
      <c r="H396" s="1092"/>
      <c r="I396" s="1346"/>
      <c r="J396" s="1069"/>
      <c r="K396" s="1339"/>
      <c r="L396" s="1139"/>
      <c r="M396" s="1128"/>
      <c r="N396" s="1038"/>
      <c r="O396" s="1083"/>
      <c r="P396" s="1072"/>
      <c r="Q396" s="1073"/>
      <c r="R396" s="1074"/>
      <c r="S396" s="1074"/>
      <c r="T396" s="1075"/>
      <c r="U396" s="1254">
        <v>26</v>
      </c>
      <c r="V396" s="1355" t="s">
        <v>246</v>
      </c>
      <c r="W396" s="1241">
        <v>0</v>
      </c>
      <c r="X396" s="1241">
        <v>0</v>
      </c>
      <c r="Y396" s="1242">
        <v>1</v>
      </c>
      <c r="Z396" s="1143">
        <f t="shared" si="34"/>
        <v>1</v>
      </c>
      <c r="AA396" s="1074"/>
      <c r="AB396" s="1126"/>
      <c r="AC396" s="1073"/>
      <c r="AD396" s="1084"/>
      <c r="AE396" s="1062"/>
      <c r="AF396" s="1296"/>
      <c r="AG396" s="1297"/>
      <c r="AH396" s="1298"/>
      <c r="AI396" s="1298"/>
      <c r="AJ396" s="1299"/>
      <c r="AK396" s="1300">
        <v>16500</v>
      </c>
      <c r="AL396" s="1090">
        <f>AK396*Y396</f>
        <v>16500</v>
      </c>
      <c r="AM396" s="1297"/>
      <c r="AN396" s="1297"/>
      <c r="AO396" s="1298"/>
      <c r="AP396" s="1301"/>
      <c r="AQ396" s="1298"/>
      <c r="AR396" s="1301"/>
      <c r="AS396" s="1301"/>
      <c r="AT396" s="1297"/>
      <c r="AU396" s="1299"/>
      <c r="AV396" s="1067"/>
      <c r="AX396" s="1074"/>
      <c r="AY396" s="1074"/>
      <c r="AZ396" s="1081"/>
      <c r="BA396" s="1358"/>
      <c r="BB396" s="1123"/>
      <c r="BC396" s="1081"/>
      <c r="BD396" s="1081"/>
      <c r="BE396" s="1081"/>
      <c r="BF396" s="1359"/>
    </row>
    <row r="397" spans="1:58" ht="16.5" customHeight="1">
      <c r="A397" s="1082"/>
      <c r="B397" s="1082"/>
      <c r="C397" s="1083"/>
      <c r="D397" s="1082"/>
      <c r="E397" s="1083"/>
      <c r="F397" s="1138"/>
      <c r="G397" s="1038"/>
      <c r="H397" s="1092"/>
      <c r="I397" s="1346"/>
      <c r="J397" s="1069"/>
      <c r="K397" s="1339"/>
      <c r="L397" s="1139"/>
      <c r="M397" s="1128"/>
      <c r="N397" s="1038"/>
      <c r="O397" s="1083"/>
      <c r="P397" s="1072"/>
      <c r="Q397" s="1073"/>
      <c r="R397" s="1074"/>
      <c r="S397" s="1074"/>
      <c r="T397" s="1075"/>
      <c r="U397" s="1254">
        <v>27</v>
      </c>
      <c r="V397" s="1355" t="s">
        <v>245</v>
      </c>
      <c r="W397" s="1241">
        <v>0</v>
      </c>
      <c r="X397" s="1241">
        <v>0</v>
      </c>
      <c r="Y397" s="1242">
        <v>4</v>
      </c>
      <c r="Z397" s="1143">
        <f t="shared" si="34"/>
        <v>4</v>
      </c>
      <c r="AA397" s="1074"/>
      <c r="AB397" s="1126"/>
      <c r="AC397" s="1073"/>
      <c r="AD397" s="1084"/>
      <c r="AE397" s="1062"/>
      <c r="AF397" s="1296"/>
      <c r="AG397" s="1297"/>
      <c r="AH397" s="1298"/>
      <c r="AI397" s="1298"/>
      <c r="AJ397" s="1299"/>
      <c r="AK397" s="1300">
        <v>6500</v>
      </c>
      <c r="AL397" s="1090">
        <f>AK397*Y397</f>
        <v>26000</v>
      </c>
      <c r="AM397" s="1297"/>
      <c r="AN397" s="1297"/>
      <c r="AO397" s="1298"/>
      <c r="AP397" s="1301"/>
      <c r="AQ397" s="1298"/>
      <c r="AR397" s="1301"/>
      <c r="AS397" s="1301"/>
      <c r="AT397" s="1297"/>
      <c r="AU397" s="1299"/>
      <c r="AV397" s="1067"/>
      <c r="AX397" s="1074"/>
      <c r="AY397" s="1074"/>
      <c r="AZ397" s="1081"/>
      <c r="BA397" s="1358"/>
      <c r="BB397" s="1123"/>
      <c r="BC397" s="1081"/>
      <c r="BD397" s="1081"/>
      <c r="BE397" s="1081"/>
      <c r="BF397" s="1359"/>
    </row>
    <row r="398" spans="1:58" ht="16.5" customHeight="1">
      <c r="A398" s="1082"/>
      <c r="B398" s="1082"/>
      <c r="C398" s="1083"/>
      <c r="D398" s="1082"/>
      <c r="E398" s="1083"/>
      <c r="F398" s="1138"/>
      <c r="G398" s="1038"/>
      <c r="H398" s="1092"/>
      <c r="I398" s="1346"/>
      <c r="J398" s="1069"/>
      <c r="K398" s="1339"/>
      <c r="L398" s="1139"/>
      <c r="M398" s="1128"/>
      <c r="N398" s="1038"/>
      <c r="O398" s="1083"/>
      <c r="P398" s="1072"/>
      <c r="Q398" s="1073"/>
      <c r="R398" s="1074"/>
      <c r="S398" s="1074"/>
      <c r="T398" s="1075"/>
      <c r="U398" s="1254">
        <v>28</v>
      </c>
      <c r="V398" s="1355" t="s">
        <v>244</v>
      </c>
      <c r="W398" s="1241">
        <v>2</v>
      </c>
      <c r="X398" s="1241">
        <v>0</v>
      </c>
      <c r="Y398" s="1242">
        <v>0</v>
      </c>
      <c r="Z398" s="1360" t="s">
        <v>100</v>
      </c>
      <c r="AA398" s="1074"/>
      <c r="AB398" s="1126"/>
      <c r="AC398" s="1073"/>
      <c r="AD398" s="1084"/>
      <c r="AE398" s="1062"/>
      <c r="AF398" s="1296"/>
      <c r="AG398" s="1297"/>
      <c r="AH398" s="1298"/>
      <c r="AI398" s="1298"/>
      <c r="AJ398" s="1299"/>
      <c r="AK398" s="1300">
        <v>6000</v>
      </c>
      <c r="AL398" s="1090">
        <f>AK398*W398</f>
        <v>12000</v>
      </c>
      <c r="AM398" s="1297"/>
      <c r="AN398" s="1297"/>
      <c r="AO398" s="1298"/>
      <c r="AP398" s="1301"/>
      <c r="AQ398" s="1298"/>
      <c r="AR398" s="1301"/>
      <c r="AS398" s="1301"/>
      <c r="AT398" s="1297"/>
      <c r="AU398" s="1299"/>
      <c r="AV398" s="1067"/>
      <c r="AX398" s="1074"/>
      <c r="AY398" s="1074"/>
      <c r="AZ398" s="1081"/>
      <c r="BA398" s="1358"/>
      <c r="BB398" s="1123"/>
      <c r="BC398" s="1081"/>
      <c r="BD398" s="1081"/>
      <c r="BE398" s="1081"/>
      <c r="BF398" s="1359"/>
    </row>
    <row r="399" spans="1:58" ht="16.5" customHeight="1">
      <c r="A399" s="1082"/>
      <c r="B399" s="1082"/>
      <c r="C399" s="1083"/>
      <c r="D399" s="1082"/>
      <c r="E399" s="1083"/>
      <c r="F399" s="1138"/>
      <c r="G399" s="1038"/>
      <c r="H399" s="1092"/>
      <c r="I399" s="1346"/>
      <c r="J399" s="1069"/>
      <c r="K399" s="1339"/>
      <c r="L399" s="1139"/>
      <c r="M399" s="1128"/>
      <c r="N399" s="1038"/>
      <c r="O399" s="1083"/>
      <c r="P399" s="1072"/>
      <c r="Q399" s="1073"/>
      <c r="R399" s="1074"/>
      <c r="S399" s="1074"/>
      <c r="T399" s="1075"/>
      <c r="U399" s="1254">
        <v>29</v>
      </c>
      <c r="V399" s="1355" t="s">
        <v>243</v>
      </c>
      <c r="W399" s="1241">
        <v>0</v>
      </c>
      <c r="X399" s="1241">
        <v>1</v>
      </c>
      <c r="Y399" s="1242">
        <v>0</v>
      </c>
      <c r="Z399" s="1143">
        <f>SUM(W399:Y399)</f>
        <v>1</v>
      </c>
      <c r="AA399" s="1074"/>
      <c r="AB399" s="1126"/>
      <c r="AC399" s="1073"/>
      <c r="AD399" s="1084"/>
      <c r="AE399" s="1062"/>
      <c r="AF399" s="1296"/>
      <c r="AG399" s="1297"/>
      <c r="AH399" s="1298"/>
      <c r="AI399" s="1298"/>
      <c r="AJ399" s="1299"/>
      <c r="AK399" s="1300">
        <v>5000</v>
      </c>
      <c r="AL399" s="1090">
        <f>AK399*X399</f>
        <v>5000</v>
      </c>
      <c r="AM399" s="1297"/>
      <c r="AN399" s="1297"/>
      <c r="AO399" s="1298"/>
      <c r="AP399" s="1301"/>
      <c r="AQ399" s="1298"/>
      <c r="AR399" s="1301"/>
      <c r="AS399" s="1301"/>
      <c r="AT399" s="1297"/>
      <c r="AU399" s="1299"/>
      <c r="AV399" s="1067"/>
      <c r="AX399" s="1074"/>
      <c r="AY399" s="1074"/>
      <c r="AZ399" s="1081"/>
      <c r="BA399" s="1358"/>
      <c r="BB399" s="1123"/>
      <c r="BC399" s="1081"/>
      <c r="BD399" s="1081"/>
      <c r="BE399" s="1081"/>
      <c r="BF399" s="1359"/>
    </row>
    <row r="400" spans="1:58" ht="16.5" customHeight="1">
      <c r="A400" s="1082"/>
      <c r="B400" s="1082"/>
      <c r="C400" s="1083"/>
      <c r="D400" s="1082"/>
      <c r="E400" s="1083"/>
      <c r="F400" s="1138"/>
      <c r="G400" s="1038"/>
      <c r="H400" s="1092"/>
      <c r="I400" s="1346"/>
      <c r="J400" s="1069"/>
      <c r="K400" s="1339"/>
      <c r="L400" s="1139"/>
      <c r="M400" s="1128"/>
      <c r="N400" s="1038"/>
      <c r="O400" s="1083"/>
      <c r="P400" s="1072"/>
      <c r="Q400" s="1073"/>
      <c r="R400" s="1074"/>
      <c r="S400" s="1074"/>
      <c r="T400" s="1075"/>
      <c r="U400" s="1254">
        <v>30</v>
      </c>
      <c r="V400" s="1355" t="s">
        <v>242</v>
      </c>
      <c r="W400" s="1241">
        <v>0</v>
      </c>
      <c r="X400" s="1241">
        <v>1</v>
      </c>
      <c r="Y400" s="1242">
        <v>0</v>
      </c>
      <c r="Z400" s="1143">
        <f>SUM(W400:Y400)</f>
        <v>1</v>
      </c>
      <c r="AA400" s="1074"/>
      <c r="AB400" s="1126"/>
      <c r="AC400" s="1073"/>
      <c r="AD400" s="1084"/>
      <c r="AE400" s="1062"/>
      <c r="AF400" s="1296"/>
      <c r="AG400" s="1297"/>
      <c r="AH400" s="1298"/>
      <c r="AI400" s="1298"/>
      <c r="AJ400" s="1299"/>
      <c r="AK400" s="1300">
        <v>4000</v>
      </c>
      <c r="AL400" s="1090">
        <f>AK400*X400</f>
        <v>4000</v>
      </c>
      <c r="AM400" s="1297"/>
      <c r="AN400" s="1297"/>
      <c r="AO400" s="1298"/>
      <c r="AP400" s="1301"/>
      <c r="AQ400" s="1298"/>
      <c r="AR400" s="1301"/>
      <c r="AS400" s="1301"/>
      <c r="AT400" s="1297"/>
      <c r="AU400" s="1299"/>
      <c r="AV400" s="1067"/>
      <c r="AX400" s="1074"/>
      <c r="AY400" s="1074"/>
      <c r="AZ400" s="1081"/>
      <c r="BA400" s="1358"/>
      <c r="BB400" s="1123"/>
      <c r="BC400" s="1081"/>
      <c r="BD400" s="1081"/>
      <c r="BE400" s="1081"/>
      <c r="BF400" s="1359"/>
    </row>
    <row r="401" spans="1:58" ht="16.5" customHeight="1">
      <c r="A401" s="1082"/>
      <c r="B401" s="1082"/>
      <c r="C401" s="1083"/>
      <c r="D401" s="1082"/>
      <c r="E401" s="1083"/>
      <c r="F401" s="1138"/>
      <c r="G401" s="1038"/>
      <c r="H401" s="1092"/>
      <c r="I401" s="1346"/>
      <c r="J401" s="1069"/>
      <c r="K401" s="1339"/>
      <c r="L401" s="1139"/>
      <c r="M401" s="1128"/>
      <c r="N401" s="1038"/>
      <c r="O401" s="1083"/>
      <c r="P401" s="1072"/>
      <c r="Q401" s="1073"/>
      <c r="R401" s="1074"/>
      <c r="S401" s="1074"/>
      <c r="T401" s="1075"/>
      <c r="U401" s="1254">
        <v>31</v>
      </c>
      <c r="V401" s="1355" t="s">
        <v>241</v>
      </c>
      <c r="W401" s="1241">
        <v>0</v>
      </c>
      <c r="X401" s="1241">
        <v>1</v>
      </c>
      <c r="Y401" s="1242">
        <v>0</v>
      </c>
      <c r="Z401" s="1143">
        <f>SUM(W401:Y401)</f>
        <v>1</v>
      </c>
      <c r="AA401" s="1074"/>
      <c r="AB401" s="1126"/>
      <c r="AC401" s="1073"/>
      <c r="AD401" s="1084"/>
      <c r="AE401" s="1062"/>
      <c r="AF401" s="1296"/>
      <c r="AG401" s="1297"/>
      <c r="AH401" s="1298"/>
      <c r="AI401" s="1298"/>
      <c r="AJ401" s="1299"/>
      <c r="AK401" s="1300">
        <v>10000</v>
      </c>
      <c r="AL401" s="1090">
        <f>AK401*X401</f>
        <v>10000</v>
      </c>
      <c r="AM401" s="1297"/>
      <c r="AN401" s="1297"/>
      <c r="AO401" s="1298"/>
      <c r="AP401" s="1301"/>
      <c r="AQ401" s="1298"/>
      <c r="AR401" s="1301"/>
      <c r="AS401" s="1301"/>
      <c r="AT401" s="1297"/>
      <c r="AU401" s="1299"/>
      <c r="AV401" s="1067"/>
      <c r="AX401" s="1074"/>
      <c r="AY401" s="1074"/>
      <c r="AZ401" s="1081"/>
      <c r="BA401" s="1358"/>
      <c r="BB401" s="1123"/>
      <c r="BC401" s="1081"/>
      <c r="BD401" s="1081"/>
      <c r="BE401" s="1081"/>
      <c r="BF401" s="1359"/>
    </row>
    <row r="402" spans="1:58" ht="16.5" customHeight="1">
      <c r="A402" s="1082"/>
      <c r="B402" s="1082"/>
      <c r="C402" s="1083"/>
      <c r="D402" s="1082"/>
      <c r="E402" s="1083"/>
      <c r="F402" s="1138"/>
      <c r="G402" s="1038"/>
      <c r="H402" s="1092"/>
      <c r="I402" s="1346"/>
      <c r="J402" s="1069"/>
      <c r="K402" s="1339"/>
      <c r="L402" s="1139"/>
      <c r="M402" s="1128"/>
      <c r="N402" s="1038"/>
      <c r="O402" s="1083"/>
      <c r="P402" s="1072"/>
      <c r="Q402" s="1073"/>
      <c r="R402" s="1074"/>
      <c r="S402" s="1074"/>
      <c r="T402" s="1075"/>
      <c r="U402" s="1254">
        <v>32</v>
      </c>
      <c r="V402" s="1355" t="s">
        <v>240</v>
      </c>
      <c r="W402" s="1241">
        <v>9</v>
      </c>
      <c r="X402" s="1241">
        <v>0</v>
      </c>
      <c r="Y402" s="1242">
        <v>0</v>
      </c>
      <c r="Z402" s="1360" t="s">
        <v>239</v>
      </c>
      <c r="AA402" s="1074"/>
      <c r="AB402" s="1126"/>
      <c r="AC402" s="1073"/>
      <c r="AD402" s="1084"/>
      <c r="AE402" s="1062"/>
      <c r="AF402" s="1296"/>
      <c r="AG402" s="1297"/>
      <c r="AH402" s="1298"/>
      <c r="AI402" s="1298"/>
      <c r="AJ402" s="1299"/>
      <c r="AK402" s="1089">
        <v>10000</v>
      </c>
      <c r="AL402" s="1090">
        <f t="shared" si="31"/>
        <v>90000</v>
      </c>
      <c r="AM402" s="1297"/>
      <c r="AN402" s="1297"/>
      <c r="AO402" s="1298"/>
      <c r="AP402" s="1301"/>
      <c r="AQ402" s="1298"/>
      <c r="AR402" s="1301"/>
      <c r="AS402" s="1301"/>
      <c r="AT402" s="1297"/>
      <c r="AU402" s="1299"/>
      <c r="AV402" s="1067"/>
      <c r="AX402" s="1074"/>
      <c r="AY402" s="1074"/>
      <c r="AZ402" s="1081"/>
      <c r="BA402" s="1358"/>
      <c r="BB402" s="1123"/>
      <c r="BC402" s="1081"/>
      <c r="BD402" s="1081"/>
      <c r="BE402" s="1081"/>
      <c r="BF402" s="1359"/>
    </row>
    <row r="403" spans="1:58" ht="16.5" customHeight="1">
      <c r="A403" s="1082"/>
      <c r="B403" s="1082"/>
      <c r="C403" s="1083"/>
      <c r="D403" s="1082"/>
      <c r="E403" s="1083"/>
      <c r="F403" s="1138"/>
      <c r="G403" s="1038"/>
      <c r="H403" s="1092"/>
      <c r="I403" s="1346"/>
      <c r="J403" s="1069"/>
      <c r="K403" s="1339"/>
      <c r="L403" s="1139"/>
      <c r="M403" s="1128"/>
      <c r="N403" s="1038"/>
      <c r="O403" s="1083"/>
      <c r="P403" s="1072"/>
      <c r="Q403" s="1073"/>
      <c r="R403" s="1074"/>
      <c r="S403" s="1074"/>
      <c r="T403" s="1075"/>
      <c r="U403" s="1254">
        <v>33</v>
      </c>
      <c r="V403" s="1355" t="s">
        <v>238</v>
      </c>
      <c r="W403" s="1241">
        <v>5</v>
      </c>
      <c r="X403" s="1241">
        <v>0</v>
      </c>
      <c r="Y403" s="1242">
        <v>0</v>
      </c>
      <c r="Z403" s="1143">
        <f>SUM(W403:Y403)</f>
        <v>5</v>
      </c>
      <c r="AA403" s="1074"/>
      <c r="AB403" s="1126"/>
      <c r="AC403" s="1073"/>
      <c r="AD403" s="1084"/>
      <c r="AE403" s="1062"/>
      <c r="AF403" s="1296"/>
      <c r="AG403" s="1297"/>
      <c r="AH403" s="1298"/>
      <c r="AI403" s="1298"/>
      <c r="AJ403" s="1299"/>
      <c r="AK403" s="1300">
        <v>10000</v>
      </c>
      <c r="AL403" s="1090">
        <f t="shared" si="31"/>
        <v>50000</v>
      </c>
      <c r="AM403" s="1297"/>
      <c r="AN403" s="1297"/>
      <c r="AO403" s="1298"/>
      <c r="AP403" s="1301"/>
      <c r="AQ403" s="1298"/>
      <c r="AR403" s="1301"/>
      <c r="AS403" s="1301"/>
      <c r="AT403" s="1297"/>
      <c r="AU403" s="1299"/>
      <c r="AV403" s="1067"/>
      <c r="AX403" s="1074"/>
      <c r="AY403" s="1074"/>
      <c r="AZ403" s="1081"/>
      <c r="BA403" s="1358"/>
      <c r="BB403" s="1123"/>
      <c r="BC403" s="1081"/>
      <c r="BD403" s="1081"/>
      <c r="BE403" s="1081"/>
      <c r="BF403" s="1359"/>
    </row>
    <row r="404" spans="1:58" ht="16.5" customHeight="1">
      <c r="A404" s="1082"/>
      <c r="B404" s="1082"/>
      <c r="C404" s="1083"/>
      <c r="D404" s="1082"/>
      <c r="E404" s="1083"/>
      <c r="F404" s="1138"/>
      <c r="G404" s="1038"/>
      <c r="H404" s="1092"/>
      <c r="I404" s="1346"/>
      <c r="J404" s="1069"/>
      <c r="K404" s="1339"/>
      <c r="L404" s="1139"/>
      <c r="M404" s="1128"/>
      <c r="N404" s="1038"/>
      <c r="O404" s="1083"/>
      <c r="P404" s="1072"/>
      <c r="Q404" s="1073"/>
      <c r="R404" s="1074"/>
      <c r="S404" s="1074"/>
      <c r="T404" s="1075"/>
      <c r="U404" s="1254">
        <v>34</v>
      </c>
      <c r="V404" s="1355" t="s">
        <v>237</v>
      </c>
      <c r="W404" s="1241">
        <v>0</v>
      </c>
      <c r="X404" s="1241">
        <v>0</v>
      </c>
      <c r="Y404" s="1242">
        <v>6</v>
      </c>
      <c r="Z404" s="1143">
        <f>SUM(W404:Y404)</f>
        <v>6</v>
      </c>
      <c r="AA404" s="1074"/>
      <c r="AB404" s="1126"/>
      <c r="AC404" s="1073"/>
      <c r="AD404" s="1084"/>
      <c r="AE404" s="1062"/>
      <c r="AF404" s="1296"/>
      <c r="AG404" s="1297"/>
      <c r="AH404" s="1298"/>
      <c r="AI404" s="1298"/>
      <c r="AJ404" s="1299"/>
      <c r="AK404" s="1300">
        <v>16000</v>
      </c>
      <c r="AL404" s="1090">
        <f>AK404*Y404</f>
        <v>96000</v>
      </c>
      <c r="AM404" s="1297"/>
      <c r="AN404" s="1297"/>
      <c r="AO404" s="1298"/>
      <c r="AP404" s="1301"/>
      <c r="AQ404" s="1298"/>
      <c r="AR404" s="1301"/>
      <c r="AS404" s="1301"/>
      <c r="AT404" s="1297"/>
      <c r="AU404" s="1299"/>
      <c r="AV404" s="1067"/>
      <c r="AX404" s="1074"/>
      <c r="AY404" s="1074"/>
      <c r="AZ404" s="1081"/>
      <c r="BA404" s="1358"/>
      <c r="BB404" s="1123"/>
      <c r="BC404" s="1081"/>
      <c r="BD404" s="1081"/>
      <c r="BE404" s="1081"/>
      <c r="BF404" s="1359"/>
    </row>
    <row r="405" spans="1:58" ht="16.5" customHeight="1">
      <c r="A405" s="1082"/>
      <c r="B405" s="1082"/>
      <c r="C405" s="1083"/>
      <c r="D405" s="1082"/>
      <c r="E405" s="1083"/>
      <c r="F405" s="1138"/>
      <c r="G405" s="1038"/>
      <c r="H405" s="1092"/>
      <c r="I405" s="1346"/>
      <c r="J405" s="1069"/>
      <c r="K405" s="1339"/>
      <c r="L405" s="1139"/>
      <c r="M405" s="1128"/>
      <c r="N405" s="1038"/>
      <c r="O405" s="1083"/>
      <c r="P405" s="1072"/>
      <c r="Q405" s="1073"/>
      <c r="R405" s="1074"/>
      <c r="S405" s="1074"/>
      <c r="T405" s="1075"/>
      <c r="U405" s="1254">
        <v>35</v>
      </c>
      <c r="V405" s="1355" t="s">
        <v>236</v>
      </c>
      <c r="W405" s="1241">
        <v>1</v>
      </c>
      <c r="X405" s="1241">
        <v>0</v>
      </c>
      <c r="Y405" s="1242">
        <v>0</v>
      </c>
      <c r="Z405" s="1360" t="s">
        <v>215</v>
      </c>
      <c r="AA405" s="1074"/>
      <c r="AB405" s="1126"/>
      <c r="AC405" s="1073"/>
      <c r="AD405" s="1084"/>
      <c r="AE405" s="1062"/>
      <c r="AF405" s="1296"/>
      <c r="AG405" s="1297"/>
      <c r="AH405" s="1298"/>
      <c r="AI405" s="1298"/>
      <c r="AJ405" s="1299"/>
      <c r="AK405" s="1300">
        <v>6000</v>
      </c>
      <c r="AL405" s="1090">
        <f t="shared" si="31"/>
        <v>6000</v>
      </c>
      <c r="AM405" s="1297"/>
      <c r="AN405" s="1297"/>
      <c r="AO405" s="1298"/>
      <c r="AP405" s="1301"/>
      <c r="AQ405" s="1298"/>
      <c r="AR405" s="1301"/>
      <c r="AS405" s="1301"/>
      <c r="AT405" s="1297"/>
      <c r="AU405" s="1299"/>
      <c r="AV405" s="1067"/>
      <c r="AX405" s="1074"/>
      <c r="AY405" s="1074"/>
      <c r="AZ405" s="1081"/>
      <c r="BA405" s="1358"/>
      <c r="BB405" s="1123"/>
      <c r="BC405" s="1081"/>
      <c r="BD405" s="1081"/>
      <c r="BE405" s="1081"/>
      <c r="BF405" s="1359"/>
    </row>
    <row r="406" spans="1:58" ht="16.5" customHeight="1">
      <c r="A406" s="1082"/>
      <c r="B406" s="1082"/>
      <c r="C406" s="1083"/>
      <c r="D406" s="1082"/>
      <c r="E406" s="1083"/>
      <c r="F406" s="1138"/>
      <c r="G406" s="1038"/>
      <c r="H406" s="1092"/>
      <c r="I406" s="1346"/>
      <c r="J406" s="1069"/>
      <c r="K406" s="1339"/>
      <c r="L406" s="1139"/>
      <c r="M406" s="1128"/>
      <c r="N406" s="1038"/>
      <c r="O406" s="1083"/>
      <c r="P406" s="1072"/>
      <c r="Q406" s="1073"/>
      <c r="R406" s="1074"/>
      <c r="S406" s="1074"/>
      <c r="T406" s="1075"/>
      <c r="U406" s="1254">
        <v>36</v>
      </c>
      <c r="V406" s="1355" t="s">
        <v>235</v>
      </c>
      <c r="W406" s="1241">
        <v>1</v>
      </c>
      <c r="X406" s="1241">
        <v>0</v>
      </c>
      <c r="Y406" s="1242">
        <v>0</v>
      </c>
      <c r="Z406" s="1360" t="s">
        <v>215</v>
      </c>
      <c r="AA406" s="1074"/>
      <c r="AB406" s="1126"/>
      <c r="AC406" s="1073"/>
      <c r="AD406" s="1084"/>
      <c r="AE406" s="1062"/>
      <c r="AF406" s="1296"/>
      <c r="AG406" s="1297"/>
      <c r="AH406" s="1298"/>
      <c r="AI406" s="1298"/>
      <c r="AJ406" s="1299"/>
      <c r="AK406" s="1300"/>
      <c r="AL406" s="1090">
        <f t="shared" si="31"/>
        <v>0</v>
      </c>
      <c r="AM406" s="1297"/>
      <c r="AN406" s="1297"/>
      <c r="AO406" s="1298"/>
      <c r="AP406" s="1301"/>
      <c r="AQ406" s="1298"/>
      <c r="AR406" s="1301"/>
      <c r="AS406" s="1301"/>
      <c r="AT406" s="1297"/>
      <c r="AU406" s="1299"/>
      <c r="AV406" s="1067"/>
      <c r="AX406" s="1074"/>
      <c r="AY406" s="1074"/>
      <c r="AZ406" s="1081"/>
      <c r="BA406" s="1358"/>
      <c r="BB406" s="1123"/>
      <c r="BC406" s="1081"/>
      <c r="BD406" s="1081"/>
      <c r="BE406" s="1081"/>
      <c r="BF406" s="1359"/>
    </row>
    <row r="407" spans="1:58" ht="16.5" customHeight="1">
      <c r="A407" s="1082"/>
      <c r="B407" s="1082"/>
      <c r="C407" s="1083"/>
      <c r="D407" s="1082"/>
      <c r="E407" s="1083"/>
      <c r="F407" s="1138"/>
      <c r="G407" s="1038"/>
      <c r="H407" s="1092"/>
      <c r="I407" s="1346"/>
      <c r="J407" s="1069"/>
      <c r="K407" s="1339"/>
      <c r="L407" s="1139"/>
      <c r="M407" s="1128"/>
      <c r="N407" s="1038"/>
      <c r="O407" s="1083"/>
      <c r="P407" s="1072"/>
      <c r="Q407" s="1073"/>
      <c r="R407" s="1074"/>
      <c r="S407" s="1074"/>
      <c r="T407" s="1075"/>
      <c r="U407" s="1254">
        <v>37</v>
      </c>
      <c r="V407" s="1355" t="s">
        <v>234</v>
      </c>
      <c r="W407" s="1241">
        <v>0</v>
      </c>
      <c r="X407" s="1241">
        <v>0</v>
      </c>
      <c r="Y407" s="1242">
        <v>4</v>
      </c>
      <c r="Z407" s="1143">
        <f t="shared" ref="Z407:Z413" si="35">SUM(W407:Y407)</f>
        <v>4</v>
      </c>
      <c r="AA407" s="1074"/>
      <c r="AB407" s="1126"/>
      <c r="AC407" s="1073"/>
      <c r="AD407" s="1084"/>
      <c r="AE407" s="1062"/>
      <c r="AF407" s="1296"/>
      <c r="AG407" s="1297"/>
      <c r="AH407" s="1298"/>
      <c r="AI407" s="1298"/>
      <c r="AJ407" s="1299"/>
      <c r="AK407" s="1300"/>
      <c r="AL407" s="1090">
        <f>AK407*Y407</f>
        <v>0</v>
      </c>
      <c r="AM407" s="1297"/>
      <c r="AN407" s="1297"/>
      <c r="AO407" s="1298"/>
      <c r="AP407" s="1301"/>
      <c r="AQ407" s="1298"/>
      <c r="AR407" s="1301"/>
      <c r="AS407" s="1301"/>
      <c r="AT407" s="1297"/>
      <c r="AU407" s="1299"/>
      <c r="AV407" s="1067"/>
      <c r="AX407" s="1074"/>
      <c r="AY407" s="1074"/>
      <c r="AZ407" s="1081"/>
      <c r="BA407" s="1358"/>
      <c r="BB407" s="1123"/>
      <c r="BC407" s="1081"/>
      <c r="BD407" s="1081"/>
      <c r="BE407" s="1081"/>
      <c r="BF407" s="1359"/>
    </row>
    <row r="408" spans="1:58" ht="16.5" customHeight="1">
      <c r="A408" s="1082"/>
      <c r="B408" s="1082"/>
      <c r="C408" s="1083"/>
      <c r="D408" s="1082"/>
      <c r="E408" s="1083"/>
      <c r="F408" s="1138"/>
      <c r="G408" s="1038"/>
      <c r="H408" s="1092"/>
      <c r="I408" s="1346"/>
      <c r="J408" s="1069"/>
      <c r="K408" s="1339"/>
      <c r="L408" s="1139"/>
      <c r="M408" s="1128"/>
      <c r="N408" s="1038"/>
      <c r="O408" s="1083"/>
      <c r="P408" s="1072"/>
      <c r="Q408" s="1073"/>
      <c r="R408" s="1074"/>
      <c r="S408" s="1074"/>
      <c r="T408" s="1075"/>
      <c r="U408" s="1254">
        <v>38</v>
      </c>
      <c r="V408" s="1355" t="s">
        <v>233</v>
      </c>
      <c r="W408" s="1241">
        <v>0</v>
      </c>
      <c r="X408" s="1241">
        <v>0</v>
      </c>
      <c r="Y408" s="1242">
        <v>1</v>
      </c>
      <c r="Z408" s="1143">
        <f t="shared" si="35"/>
        <v>1</v>
      </c>
      <c r="AA408" s="1074"/>
      <c r="AB408" s="1126"/>
      <c r="AC408" s="1073"/>
      <c r="AD408" s="1084"/>
      <c r="AE408" s="1062"/>
      <c r="AF408" s="1296"/>
      <c r="AG408" s="1297"/>
      <c r="AH408" s="1298"/>
      <c r="AI408" s="1298"/>
      <c r="AJ408" s="1299"/>
      <c r="AK408" s="1300">
        <v>0</v>
      </c>
      <c r="AL408" s="1090">
        <f>AK408*Y408</f>
        <v>0</v>
      </c>
      <c r="AM408" s="1297"/>
      <c r="AN408" s="1297"/>
      <c r="AO408" s="1298"/>
      <c r="AP408" s="1301"/>
      <c r="AQ408" s="1298"/>
      <c r="AR408" s="1301"/>
      <c r="AS408" s="1301"/>
      <c r="AT408" s="1297"/>
      <c r="AU408" s="1299"/>
      <c r="AV408" s="1067"/>
      <c r="AX408" s="1074"/>
      <c r="AY408" s="1074"/>
      <c r="AZ408" s="1081"/>
      <c r="BA408" s="1358"/>
      <c r="BB408" s="1123"/>
      <c r="BC408" s="1081"/>
      <c r="BD408" s="1081"/>
      <c r="BE408" s="1081"/>
      <c r="BF408" s="1359"/>
    </row>
    <row r="409" spans="1:58" ht="16.5" customHeight="1">
      <c r="A409" s="1082"/>
      <c r="B409" s="1082"/>
      <c r="C409" s="1083"/>
      <c r="D409" s="1082"/>
      <c r="E409" s="1083"/>
      <c r="F409" s="1138"/>
      <c r="G409" s="1038"/>
      <c r="H409" s="1092"/>
      <c r="I409" s="1346"/>
      <c r="J409" s="1069"/>
      <c r="K409" s="1339"/>
      <c r="L409" s="1139"/>
      <c r="M409" s="1128"/>
      <c r="N409" s="1038"/>
      <c r="O409" s="1083"/>
      <c r="P409" s="1072"/>
      <c r="Q409" s="1073"/>
      <c r="R409" s="1074"/>
      <c r="S409" s="1074"/>
      <c r="T409" s="1075"/>
      <c r="U409" s="1254">
        <v>39</v>
      </c>
      <c r="V409" s="1355" t="s">
        <v>232</v>
      </c>
      <c r="W409" s="1241">
        <v>0</v>
      </c>
      <c r="X409" s="1241">
        <v>1</v>
      </c>
      <c r="Y409" s="1242">
        <v>0</v>
      </c>
      <c r="Z409" s="1143">
        <f t="shared" si="35"/>
        <v>1</v>
      </c>
      <c r="AA409" s="1074"/>
      <c r="AB409" s="1126"/>
      <c r="AC409" s="1073"/>
      <c r="AD409" s="1084"/>
      <c r="AE409" s="1062"/>
      <c r="AF409" s="1296"/>
      <c r="AG409" s="1297"/>
      <c r="AH409" s="1298"/>
      <c r="AI409" s="1298"/>
      <c r="AJ409" s="1299"/>
      <c r="AK409" s="1300">
        <v>16650</v>
      </c>
      <c r="AL409" s="1090">
        <f>AK409*X409</f>
        <v>16650</v>
      </c>
      <c r="AM409" s="1297"/>
      <c r="AN409" s="1297"/>
      <c r="AO409" s="1298"/>
      <c r="AP409" s="1301"/>
      <c r="AQ409" s="1298"/>
      <c r="AR409" s="1301"/>
      <c r="AS409" s="1301"/>
      <c r="AT409" s="1297"/>
      <c r="AU409" s="1299"/>
      <c r="AV409" s="1067"/>
      <c r="AX409" s="1074"/>
      <c r="AY409" s="1074"/>
      <c r="AZ409" s="1081"/>
      <c r="BA409" s="1358"/>
      <c r="BB409" s="1123"/>
      <c r="BC409" s="1081"/>
      <c r="BD409" s="1081"/>
      <c r="BE409" s="1081"/>
      <c r="BF409" s="1359"/>
    </row>
    <row r="410" spans="1:58" ht="16.5" customHeight="1">
      <c r="A410" s="1082"/>
      <c r="B410" s="1082"/>
      <c r="C410" s="1083"/>
      <c r="D410" s="1082"/>
      <c r="E410" s="1083"/>
      <c r="F410" s="1138"/>
      <c r="G410" s="1038"/>
      <c r="H410" s="1092"/>
      <c r="I410" s="1346"/>
      <c r="J410" s="1069"/>
      <c r="K410" s="1339"/>
      <c r="L410" s="1139"/>
      <c r="M410" s="1128"/>
      <c r="N410" s="1038"/>
      <c r="O410" s="1083"/>
      <c r="P410" s="1072"/>
      <c r="Q410" s="1073"/>
      <c r="R410" s="1074"/>
      <c r="S410" s="1074"/>
      <c r="T410" s="1075"/>
      <c r="U410" s="1254">
        <v>40</v>
      </c>
      <c r="V410" s="1355" t="s">
        <v>231</v>
      </c>
      <c r="W410" s="1241">
        <v>0</v>
      </c>
      <c r="X410" s="1241">
        <v>1</v>
      </c>
      <c r="Y410" s="1242">
        <v>0</v>
      </c>
      <c r="Z410" s="1143">
        <f t="shared" si="35"/>
        <v>1</v>
      </c>
      <c r="AA410" s="1074"/>
      <c r="AB410" s="1126"/>
      <c r="AC410" s="1073"/>
      <c r="AD410" s="1084"/>
      <c r="AE410" s="1062"/>
      <c r="AF410" s="1296"/>
      <c r="AG410" s="1297"/>
      <c r="AH410" s="1298"/>
      <c r="AI410" s="1298"/>
      <c r="AJ410" s="1299"/>
      <c r="AK410" s="1300"/>
      <c r="AL410" s="1090">
        <f>AK410*X410</f>
        <v>0</v>
      </c>
      <c r="AM410" s="1297"/>
      <c r="AN410" s="1297"/>
      <c r="AO410" s="1298"/>
      <c r="AP410" s="1301"/>
      <c r="AQ410" s="1298"/>
      <c r="AR410" s="1301"/>
      <c r="AS410" s="1301"/>
      <c r="AT410" s="1297"/>
      <c r="AU410" s="1299"/>
      <c r="AV410" s="1067"/>
      <c r="AX410" s="1074"/>
      <c r="AY410" s="1074"/>
      <c r="AZ410" s="1081"/>
      <c r="BA410" s="1358"/>
      <c r="BB410" s="1123"/>
      <c r="BC410" s="1081"/>
      <c r="BD410" s="1081"/>
      <c r="BE410" s="1081"/>
      <c r="BF410" s="1359"/>
    </row>
    <row r="411" spans="1:58" ht="16.5" customHeight="1">
      <c r="A411" s="1082"/>
      <c r="B411" s="1082"/>
      <c r="C411" s="1083"/>
      <c r="D411" s="1082"/>
      <c r="E411" s="1083"/>
      <c r="F411" s="1138"/>
      <c r="G411" s="1038"/>
      <c r="H411" s="1092"/>
      <c r="I411" s="1346"/>
      <c r="J411" s="1069"/>
      <c r="K411" s="1339"/>
      <c r="L411" s="1139"/>
      <c r="M411" s="1128"/>
      <c r="N411" s="1038"/>
      <c r="O411" s="1083"/>
      <c r="P411" s="1072"/>
      <c r="Q411" s="1073"/>
      <c r="R411" s="1074"/>
      <c r="S411" s="1074"/>
      <c r="T411" s="1075"/>
      <c r="U411" s="1254">
        <v>41</v>
      </c>
      <c r="V411" s="1355" t="s">
        <v>230</v>
      </c>
      <c r="W411" s="1241">
        <v>1</v>
      </c>
      <c r="X411" s="1241">
        <v>0</v>
      </c>
      <c r="Y411" s="1242">
        <v>0</v>
      </c>
      <c r="Z411" s="1143">
        <f t="shared" si="35"/>
        <v>1</v>
      </c>
      <c r="AA411" s="1074"/>
      <c r="AB411" s="1126"/>
      <c r="AC411" s="1073"/>
      <c r="AD411" s="1084"/>
      <c r="AE411" s="1062"/>
      <c r="AF411" s="1296"/>
      <c r="AG411" s="1297"/>
      <c r="AH411" s="1298"/>
      <c r="AI411" s="1298"/>
      <c r="AJ411" s="1299"/>
      <c r="AK411" s="1300">
        <v>20000</v>
      </c>
      <c r="AL411" s="1090">
        <f t="shared" si="31"/>
        <v>20000</v>
      </c>
      <c r="AM411" s="1297"/>
      <c r="AN411" s="1297"/>
      <c r="AO411" s="1298"/>
      <c r="AP411" s="1301"/>
      <c r="AQ411" s="1298"/>
      <c r="AR411" s="1301"/>
      <c r="AS411" s="1301"/>
      <c r="AT411" s="1297"/>
      <c r="AU411" s="1299"/>
      <c r="AV411" s="1067"/>
      <c r="AX411" s="1074"/>
      <c r="AY411" s="1074"/>
      <c r="AZ411" s="1081"/>
      <c r="BA411" s="1358"/>
      <c r="BB411" s="1123"/>
      <c r="BC411" s="1081"/>
      <c r="BD411" s="1081"/>
      <c r="BE411" s="1081"/>
      <c r="BF411" s="1359"/>
    </row>
    <row r="412" spans="1:58" ht="16.5" customHeight="1">
      <c r="A412" s="1082"/>
      <c r="B412" s="1082"/>
      <c r="C412" s="1083"/>
      <c r="D412" s="1082"/>
      <c r="E412" s="1083"/>
      <c r="F412" s="1138"/>
      <c r="G412" s="1038"/>
      <c r="H412" s="1092"/>
      <c r="I412" s="1346"/>
      <c r="J412" s="1069"/>
      <c r="K412" s="1339"/>
      <c r="L412" s="1139"/>
      <c r="M412" s="1128"/>
      <c r="N412" s="1038"/>
      <c r="O412" s="1083"/>
      <c r="P412" s="1072"/>
      <c r="Q412" s="1073"/>
      <c r="R412" s="1074"/>
      <c r="S412" s="1074"/>
      <c r="T412" s="1075"/>
      <c r="U412" s="1254">
        <v>42</v>
      </c>
      <c r="V412" s="1355" t="s">
        <v>229</v>
      </c>
      <c r="W412" s="1241">
        <v>0</v>
      </c>
      <c r="X412" s="1241">
        <v>0</v>
      </c>
      <c r="Y412" s="1242">
        <v>1</v>
      </c>
      <c r="Z412" s="1143">
        <f t="shared" si="35"/>
        <v>1</v>
      </c>
      <c r="AA412" s="1074"/>
      <c r="AB412" s="1126"/>
      <c r="AC412" s="1073"/>
      <c r="AD412" s="1084"/>
      <c r="AE412" s="1062"/>
      <c r="AF412" s="1296"/>
      <c r="AG412" s="1297"/>
      <c r="AH412" s="1298"/>
      <c r="AI412" s="1298"/>
      <c r="AJ412" s="1299"/>
      <c r="AK412" s="1300">
        <v>6650</v>
      </c>
      <c r="AL412" s="1090">
        <f>AK412*Y412</f>
        <v>6650</v>
      </c>
      <c r="AM412" s="1297"/>
      <c r="AN412" s="1297"/>
      <c r="AO412" s="1298"/>
      <c r="AP412" s="1301"/>
      <c r="AQ412" s="1298"/>
      <c r="AR412" s="1301"/>
      <c r="AS412" s="1301"/>
      <c r="AT412" s="1297"/>
      <c r="AU412" s="1299"/>
      <c r="AV412" s="1067"/>
      <c r="AX412" s="1074"/>
      <c r="AY412" s="1074"/>
      <c r="AZ412" s="1081"/>
      <c r="BA412" s="1358"/>
      <c r="BB412" s="1123"/>
      <c r="BC412" s="1081"/>
      <c r="BD412" s="1081"/>
      <c r="BE412" s="1081"/>
      <c r="BF412" s="1359"/>
    </row>
    <row r="413" spans="1:58" ht="16.5" customHeight="1">
      <c r="A413" s="1082"/>
      <c r="B413" s="1082"/>
      <c r="C413" s="1083"/>
      <c r="D413" s="1082"/>
      <c r="E413" s="1083"/>
      <c r="F413" s="1138"/>
      <c r="G413" s="1038"/>
      <c r="H413" s="1092"/>
      <c r="I413" s="1346"/>
      <c r="J413" s="1069"/>
      <c r="K413" s="1339"/>
      <c r="L413" s="1139"/>
      <c r="M413" s="1128"/>
      <c r="N413" s="1038"/>
      <c r="O413" s="1083"/>
      <c r="P413" s="1072"/>
      <c r="Q413" s="1073"/>
      <c r="R413" s="1074"/>
      <c r="S413" s="1074"/>
      <c r="T413" s="1075"/>
      <c r="U413" s="1254">
        <v>43</v>
      </c>
      <c r="V413" s="1355" t="s">
        <v>228</v>
      </c>
      <c r="W413" s="1241">
        <v>0</v>
      </c>
      <c r="X413" s="1241">
        <v>6</v>
      </c>
      <c r="Y413" s="1242">
        <v>0</v>
      </c>
      <c r="Z413" s="1143">
        <f t="shared" si="35"/>
        <v>6</v>
      </c>
      <c r="AA413" s="1074"/>
      <c r="AB413" s="1126"/>
      <c r="AC413" s="1073"/>
      <c r="AD413" s="1084"/>
      <c r="AE413" s="1062"/>
      <c r="AF413" s="1296"/>
      <c r="AG413" s="1297"/>
      <c r="AH413" s="1298"/>
      <c r="AI413" s="1298"/>
      <c r="AJ413" s="1299"/>
      <c r="AK413" s="1300">
        <v>6650</v>
      </c>
      <c r="AL413" s="1090">
        <f>AK413*X413</f>
        <v>39900</v>
      </c>
      <c r="AM413" s="1297"/>
      <c r="AN413" s="1297"/>
      <c r="AO413" s="1298"/>
      <c r="AP413" s="1301"/>
      <c r="AQ413" s="1298"/>
      <c r="AR413" s="1301"/>
      <c r="AS413" s="1301"/>
      <c r="AT413" s="1297"/>
      <c r="AU413" s="1299"/>
      <c r="AV413" s="1067"/>
      <c r="AX413" s="1074"/>
      <c r="AY413" s="1074"/>
      <c r="AZ413" s="1081"/>
      <c r="BA413" s="1358"/>
      <c r="BB413" s="1123"/>
      <c r="BC413" s="1081"/>
      <c r="BD413" s="1081"/>
      <c r="BE413" s="1081"/>
      <c r="BF413" s="1359"/>
    </row>
    <row r="414" spans="1:58" ht="16.5" customHeight="1">
      <c r="A414" s="1082"/>
      <c r="B414" s="1082"/>
      <c r="C414" s="1083"/>
      <c r="D414" s="1082"/>
      <c r="E414" s="1083"/>
      <c r="F414" s="1138"/>
      <c r="G414" s="1038"/>
      <c r="H414" s="1092"/>
      <c r="I414" s="1346"/>
      <c r="J414" s="1069"/>
      <c r="K414" s="1339"/>
      <c r="L414" s="1139"/>
      <c r="M414" s="1128"/>
      <c r="N414" s="1038"/>
      <c r="O414" s="1083"/>
      <c r="P414" s="1072"/>
      <c r="Q414" s="1073"/>
      <c r="R414" s="1074"/>
      <c r="S414" s="1074"/>
      <c r="T414" s="1075"/>
      <c r="U414" s="1254">
        <v>44</v>
      </c>
      <c r="V414" s="1355" t="s">
        <v>227</v>
      </c>
      <c r="W414" s="1241">
        <v>2</v>
      </c>
      <c r="X414" s="1241">
        <v>0</v>
      </c>
      <c r="Y414" s="1242">
        <v>0</v>
      </c>
      <c r="Z414" s="1360" t="s">
        <v>100</v>
      </c>
      <c r="AA414" s="1074"/>
      <c r="AB414" s="1126"/>
      <c r="AC414" s="1073"/>
      <c r="AD414" s="1084"/>
      <c r="AE414" s="1062"/>
      <c r="AF414" s="1296"/>
      <c r="AG414" s="1297"/>
      <c r="AH414" s="1298"/>
      <c r="AI414" s="1298"/>
      <c r="AJ414" s="1299"/>
      <c r="AK414" s="1300"/>
      <c r="AL414" s="1090">
        <f t="shared" ref="AL414:AL476" si="36">AK414*W414</f>
        <v>0</v>
      </c>
      <c r="AM414" s="1297"/>
      <c r="AN414" s="1297"/>
      <c r="AO414" s="1298"/>
      <c r="AP414" s="1301"/>
      <c r="AQ414" s="1298"/>
      <c r="AR414" s="1301"/>
      <c r="AS414" s="1301"/>
      <c r="AT414" s="1297"/>
      <c r="AU414" s="1299"/>
      <c r="AV414" s="1067"/>
      <c r="AX414" s="1074"/>
      <c r="AY414" s="1074"/>
      <c r="AZ414" s="1081"/>
      <c r="BA414" s="1358"/>
      <c r="BB414" s="1123"/>
      <c r="BC414" s="1081"/>
      <c r="BD414" s="1081"/>
      <c r="BE414" s="1081"/>
      <c r="BF414" s="1359"/>
    </row>
    <row r="415" spans="1:58" ht="16.5" customHeight="1">
      <c r="A415" s="1082"/>
      <c r="B415" s="1082"/>
      <c r="C415" s="1083"/>
      <c r="D415" s="1082"/>
      <c r="E415" s="1083"/>
      <c r="F415" s="1138"/>
      <c r="G415" s="1038"/>
      <c r="H415" s="1092"/>
      <c r="I415" s="1346"/>
      <c r="J415" s="1069"/>
      <c r="K415" s="1339"/>
      <c r="L415" s="1139"/>
      <c r="M415" s="1128"/>
      <c r="N415" s="1038"/>
      <c r="O415" s="1083"/>
      <c r="P415" s="1072"/>
      <c r="Q415" s="1073"/>
      <c r="R415" s="1074"/>
      <c r="S415" s="1074"/>
      <c r="T415" s="1075"/>
      <c r="U415" s="1254">
        <v>45</v>
      </c>
      <c r="V415" s="1355" t="s">
        <v>226</v>
      </c>
      <c r="W415" s="1241">
        <v>1</v>
      </c>
      <c r="X415" s="1241">
        <v>0</v>
      </c>
      <c r="Y415" s="1242">
        <v>0</v>
      </c>
      <c r="Z415" s="1360" t="s">
        <v>225</v>
      </c>
      <c r="AA415" s="1074"/>
      <c r="AB415" s="1126"/>
      <c r="AC415" s="1073"/>
      <c r="AD415" s="1084"/>
      <c r="AE415" s="1062"/>
      <c r="AF415" s="1296"/>
      <c r="AG415" s="1297"/>
      <c r="AH415" s="1298"/>
      <c r="AI415" s="1298"/>
      <c r="AJ415" s="1299"/>
      <c r="AK415" s="1300">
        <v>5000</v>
      </c>
      <c r="AL415" s="1090">
        <f>AK415*W415</f>
        <v>5000</v>
      </c>
      <c r="AM415" s="1297"/>
      <c r="AN415" s="1297"/>
      <c r="AO415" s="1298"/>
      <c r="AP415" s="1301"/>
      <c r="AQ415" s="1298"/>
      <c r="AR415" s="1301"/>
      <c r="AS415" s="1301"/>
      <c r="AT415" s="1297"/>
      <c r="AU415" s="1299"/>
      <c r="AV415" s="1067"/>
      <c r="AX415" s="1074"/>
      <c r="AY415" s="1074"/>
      <c r="AZ415" s="1081"/>
      <c r="BA415" s="1358"/>
      <c r="BB415" s="1123"/>
      <c r="BC415" s="1081"/>
      <c r="BD415" s="1081"/>
      <c r="BE415" s="1081"/>
      <c r="BF415" s="1359"/>
    </row>
    <row r="416" spans="1:58" ht="16.5" customHeight="1">
      <c r="A416" s="1082"/>
      <c r="B416" s="1082"/>
      <c r="C416" s="1083"/>
      <c r="D416" s="1082"/>
      <c r="E416" s="1083"/>
      <c r="F416" s="1138"/>
      <c r="G416" s="1038"/>
      <c r="H416" s="1092"/>
      <c r="I416" s="1346"/>
      <c r="J416" s="1069"/>
      <c r="K416" s="1339"/>
      <c r="L416" s="1139"/>
      <c r="M416" s="1128"/>
      <c r="N416" s="1038"/>
      <c r="O416" s="1083"/>
      <c r="P416" s="1072"/>
      <c r="Q416" s="1073"/>
      <c r="R416" s="1074"/>
      <c r="S416" s="1074"/>
      <c r="T416" s="1075"/>
      <c r="U416" s="1254">
        <v>46</v>
      </c>
      <c r="V416" s="1355" t="s">
        <v>224</v>
      </c>
      <c r="W416" s="1241">
        <v>1</v>
      </c>
      <c r="X416" s="1241">
        <v>0</v>
      </c>
      <c r="Y416" s="1242">
        <v>0</v>
      </c>
      <c r="Z416" s="1143">
        <f>SUM(W416:Y416)</f>
        <v>1</v>
      </c>
      <c r="AA416" s="1074"/>
      <c r="AB416" s="1126"/>
      <c r="AC416" s="1073"/>
      <c r="AD416" s="1084"/>
      <c r="AE416" s="1062"/>
      <c r="AF416" s="1296"/>
      <c r="AG416" s="1297"/>
      <c r="AH416" s="1298"/>
      <c r="AI416" s="1298"/>
      <c r="AJ416" s="1299"/>
      <c r="AK416" s="1300">
        <v>35400</v>
      </c>
      <c r="AL416" s="1090">
        <f t="shared" si="36"/>
        <v>35400</v>
      </c>
      <c r="AM416" s="1297"/>
      <c r="AN416" s="1297"/>
      <c r="AO416" s="1298"/>
      <c r="AP416" s="1301"/>
      <c r="AQ416" s="1298"/>
      <c r="AR416" s="1301"/>
      <c r="AS416" s="1301"/>
      <c r="AT416" s="1297"/>
      <c r="AU416" s="1299"/>
      <c r="AV416" s="1067"/>
      <c r="AX416" s="1074"/>
      <c r="AY416" s="1074"/>
      <c r="AZ416" s="1081"/>
      <c r="BA416" s="1358"/>
      <c r="BB416" s="1123"/>
      <c r="BC416" s="1081"/>
      <c r="BD416" s="1081"/>
      <c r="BE416" s="1081"/>
      <c r="BF416" s="1359"/>
    </row>
    <row r="417" spans="1:58" ht="16.5" customHeight="1">
      <c r="A417" s="1082"/>
      <c r="B417" s="1082"/>
      <c r="C417" s="1083"/>
      <c r="D417" s="1082"/>
      <c r="E417" s="1083"/>
      <c r="F417" s="1138"/>
      <c r="G417" s="1038"/>
      <c r="H417" s="1092"/>
      <c r="I417" s="1346"/>
      <c r="J417" s="1069"/>
      <c r="K417" s="1339"/>
      <c r="L417" s="1139"/>
      <c r="M417" s="1128"/>
      <c r="N417" s="1038"/>
      <c r="O417" s="1083"/>
      <c r="P417" s="1072"/>
      <c r="Q417" s="1073"/>
      <c r="R417" s="1074"/>
      <c r="S417" s="1074"/>
      <c r="T417" s="1075"/>
      <c r="U417" s="1254">
        <v>47</v>
      </c>
      <c r="V417" s="1355" t="s">
        <v>223</v>
      </c>
      <c r="W417" s="1241">
        <v>0</v>
      </c>
      <c r="X417" s="1241">
        <v>1</v>
      </c>
      <c r="Y417" s="1242">
        <v>0</v>
      </c>
      <c r="Z417" s="1143">
        <f>SUM(W417:Y417)</f>
        <v>1</v>
      </c>
      <c r="AA417" s="1074"/>
      <c r="AB417" s="1126"/>
      <c r="AC417" s="1073"/>
      <c r="AD417" s="1084"/>
      <c r="AE417" s="1062"/>
      <c r="AF417" s="1296"/>
      <c r="AG417" s="1297"/>
      <c r="AH417" s="1298"/>
      <c r="AI417" s="1298"/>
      <c r="AJ417" s="1299"/>
      <c r="AK417" s="1300">
        <v>105000</v>
      </c>
      <c r="AL417" s="1090">
        <f>AK417*X417</f>
        <v>105000</v>
      </c>
      <c r="AM417" s="1297"/>
      <c r="AN417" s="1297"/>
      <c r="AO417" s="1298"/>
      <c r="AP417" s="1301"/>
      <c r="AQ417" s="1298"/>
      <c r="AR417" s="1301"/>
      <c r="AS417" s="1301"/>
      <c r="AT417" s="1297"/>
      <c r="AU417" s="1299"/>
      <c r="AV417" s="1067"/>
      <c r="AX417" s="1074"/>
      <c r="AY417" s="1074"/>
      <c r="AZ417" s="1081"/>
      <c r="BA417" s="1358"/>
      <c r="BB417" s="1123"/>
      <c r="BC417" s="1081"/>
      <c r="BD417" s="1081"/>
      <c r="BE417" s="1081"/>
      <c r="BF417" s="1359"/>
    </row>
    <row r="418" spans="1:58" ht="16.5" customHeight="1">
      <c r="A418" s="1082"/>
      <c r="B418" s="1082"/>
      <c r="C418" s="1083"/>
      <c r="D418" s="1082"/>
      <c r="E418" s="1083"/>
      <c r="F418" s="1138"/>
      <c r="G418" s="1038"/>
      <c r="H418" s="1092"/>
      <c r="I418" s="1346"/>
      <c r="J418" s="1069"/>
      <c r="K418" s="1339"/>
      <c r="L418" s="1139"/>
      <c r="M418" s="1128"/>
      <c r="N418" s="1038"/>
      <c r="O418" s="1083"/>
      <c r="P418" s="1072"/>
      <c r="Q418" s="1073"/>
      <c r="R418" s="1074"/>
      <c r="S418" s="1074"/>
      <c r="T418" s="1075"/>
      <c r="U418" s="1254">
        <v>48</v>
      </c>
      <c r="V418" s="1355" t="s">
        <v>222</v>
      </c>
      <c r="W418" s="1241">
        <v>2</v>
      </c>
      <c r="X418" s="1241">
        <v>0</v>
      </c>
      <c r="Y418" s="1242">
        <v>0</v>
      </c>
      <c r="Z418" s="1143">
        <f>SUM(W418:Y418)</f>
        <v>2</v>
      </c>
      <c r="AA418" s="1074"/>
      <c r="AB418" s="1126"/>
      <c r="AC418" s="1073"/>
      <c r="AD418" s="1084"/>
      <c r="AE418" s="1062"/>
      <c r="AF418" s="1296"/>
      <c r="AG418" s="1297"/>
      <c r="AH418" s="1298"/>
      <c r="AI418" s="1298"/>
      <c r="AJ418" s="1299"/>
      <c r="AK418" s="1300"/>
      <c r="AL418" s="1090">
        <f t="shared" si="36"/>
        <v>0</v>
      </c>
      <c r="AM418" s="1297"/>
      <c r="AN418" s="1297"/>
      <c r="AO418" s="1298"/>
      <c r="AP418" s="1301"/>
      <c r="AQ418" s="1298"/>
      <c r="AR418" s="1301"/>
      <c r="AS418" s="1301"/>
      <c r="AT418" s="1297"/>
      <c r="AU418" s="1299"/>
      <c r="AV418" s="1067"/>
      <c r="AX418" s="1074"/>
      <c r="AY418" s="1074"/>
      <c r="AZ418" s="1081"/>
      <c r="BA418" s="1358"/>
      <c r="BB418" s="1123"/>
      <c r="BC418" s="1081"/>
      <c r="BD418" s="1081"/>
      <c r="BE418" s="1081"/>
      <c r="BF418" s="1359"/>
    </row>
    <row r="419" spans="1:58" ht="16.5" customHeight="1">
      <c r="A419" s="1082"/>
      <c r="B419" s="1082"/>
      <c r="C419" s="1083"/>
      <c r="D419" s="1082"/>
      <c r="E419" s="1083"/>
      <c r="F419" s="1138"/>
      <c r="G419" s="1038"/>
      <c r="H419" s="1092"/>
      <c r="I419" s="1346"/>
      <c r="J419" s="1069"/>
      <c r="K419" s="1339"/>
      <c r="L419" s="1139"/>
      <c r="M419" s="1128"/>
      <c r="N419" s="1038"/>
      <c r="O419" s="1083"/>
      <c r="P419" s="1072"/>
      <c r="Q419" s="1073"/>
      <c r="R419" s="1074"/>
      <c r="S419" s="1074"/>
      <c r="T419" s="1075"/>
      <c r="U419" s="1254">
        <v>49</v>
      </c>
      <c r="V419" s="1355" t="s">
        <v>32</v>
      </c>
      <c r="W419" s="1241">
        <v>0</v>
      </c>
      <c r="X419" s="1241">
        <v>5</v>
      </c>
      <c r="Y419" s="1242">
        <v>0</v>
      </c>
      <c r="Z419" s="1143">
        <f>SUM(W419:Y419)</f>
        <v>5</v>
      </c>
      <c r="AA419" s="1074"/>
      <c r="AB419" s="1126"/>
      <c r="AC419" s="1073"/>
      <c r="AD419" s="1084"/>
      <c r="AE419" s="1062"/>
      <c r="AF419" s="1296"/>
      <c r="AG419" s="1297"/>
      <c r="AH419" s="1298"/>
      <c r="AI419" s="1298"/>
      <c r="AJ419" s="1299"/>
      <c r="AK419" s="1300">
        <v>12600</v>
      </c>
      <c r="AL419" s="1090">
        <f>AK419*X419</f>
        <v>63000</v>
      </c>
      <c r="AM419" s="1297"/>
      <c r="AN419" s="1297"/>
      <c r="AO419" s="1298"/>
      <c r="AP419" s="1301"/>
      <c r="AQ419" s="1298"/>
      <c r="AR419" s="1301"/>
      <c r="AS419" s="1301"/>
      <c r="AT419" s="1297"/>
      <c r="AU419" s="1299"/>
      <c r="AV419" s="1067"/>
      <c r="AX419" s="1074"/>
      <c r="AY419" s="1074"/>
      <c r="AZ419" s="1081"/>
      <c r="BA419" s="1358"/>
      <c r="BB419" s="1123"/>
      <c r="BC419" s="1081"/>
      <c r="BD419" s="1081"/>
      <c r="BE419" s="1081"/>
      <c r="BF419" s="1359"/>
    </row>
    <row r="420" spans="1:58" ht="16.5" customHeight="1">
      <c r="A420" s="1082"/>
      <c r="B420" s="1082"/>
      <c r="C420" s="1083"/>
      <c r="D420" s="1082"/>
      <c r="E420" s="1083"/>
      <c r="F420" s="1138"/>
      <c r="G420" s="1038"/>
      <c r="H420" s="1092"/>
      <c r="I420" s="1346"/>
      <c r="J420" s="1069"/>
      <c r="K420" s="1339"/>
      <c r="L420" s="1139"/>
      <c r="M420" s="1128"/>
      <c r="N420" s="1038"/>
      <c r="O420" s="1083"/>
      <c r="P420" s="1072"/>
      <c r="Q420" s="1073"/>
      <c r="R420" s="1074"/>
      <c r="S420" s="1074"/>
      <c r="T420" s="1075"/>
      <c r="U420" s="1254">
        <v>50</v>
      </c>
      <c r="V420" s="1355" t="s">
        <v>221</v>
      </c>
      <c r="W420" s="1241">
        <v>5</v>
      </c>
      <c r="X420" s="1241">
        <v>0</v>
      </c>
      <c r="Y420" s="1242">
        <v>0</v>
      </c>
      <c r="Z420" s="1143">
        <f>SUM(W420:Y420)</f>
        <v>5</v>
      </c>
      <c r="AA420" s="1074"/>
      <c r="AB420" s="1126"/>
      <c r="AC420" s="1073"/>
      <c r="AD420" s="1084"/>
      <c r="AE420" s="1062"/>
      <c r="AF420" s="1296"/>
      <c r="AG420" s="1297"/>
      <c r="AH420" s="1298"/>
      <c r="AI420" s="1298"/>
      <c r="AJ420" s="1299"/>
      <c r="AK420" s="1089">
        <v>4810</v>
      </c>
      <c r="AL420" s="1090">
        <f t="shared" si="36"/>
        <v>24050</v>
      </c>
      <c r="AM420" s="1297"/>
      <c r="AN420" s="1297"/>
      <c r="AO420" s="1298"/>
      <c r="AP420" s="1301"/>
      <c r="AQ420" s="1298"/>
      <c r="AR420" s="1301"/>
      <c r="AS420" s="1301"/>
      <c r="AT420" s="1297"/>
      <c r="AU420" s="1299"/>
      <c r="AV420" s="1067"/>
      <c r="AX420" s="1074"/>
      <c r="AY420" s="1074"/>
      <c r="AZ420" s="1081"/>
      <c r="BA420" s="1358"/>
      <c r="BB420" s="1123"/>
      <c r="BC420" s="1081"/>
      <c r="BD420" s="1081"/>
      <c r="BE420" s="1081"/>
      <c r="BF420" s="1359"/>
    </row>
    <row r="421" spans="1:58" ht="16.5" customHeight="1">
      <c r="A421" s="1082"/>
      <c r="B421" s="1082"/>
      <c r="C421" s="1083"/>
      <c r="D421" s="1082"/>
      <c r="E421" s="1083"/>
      <c r="F421" s="1138"/>
      <c r="G421" s="1038"/>
      <c r="H421" s="1092"/>
      <c r="I421" s="1346"/>
      <c r="J421" s="1069"/>
      <c r="K421" s="1339"/>
      <c r="L421" s="1139"/>
      <c r="M421" s="1128"/>
      <c r="N421" s="1038"/>
      <c r="O421" s="1083"/>
      <c r="P421" s="1072"/>
      <c r="Q421" s="1073"/>
      <c r="R421" s="1074"/>
      <c r="S421" s="1074"/>
      <c r="T421" s="1075"/>
      <c r="U421" s="1254">
        <v>51</v>
      </c>
      <c r="V421" s="1355" t="s">
        <v>4</v>
      </c>
      <c r="W421" s="1241">
        <v>2</v>
      </c>
      <c r="X421" s="1241">
        <v>0</v>
      </c>
      <c r="Y421" s="1242">
        <v>0</v>
      </c>
      <c r="Z421" s="1360" t="s">
        <v>100</v>
      </c>
      <c r="AA421" s="1074"/>
      <c r="AB421" s="1126"/>
      <c r="AC421" s="1073"/>
      <c r="AD421" s="1084"/>
      <c r="AE421" s="1062"/>
      <c r="AF421" s="1296"/>
      <c r="AG421" s="1297"/>
      <c r="AH421" s="1298"/>
      <c r="AI421" s="1298"/>
      <c r="AJ421" s="1299"/>
      <c r="AK421" s="1300">
        <v>250</v>
      </c>
      <c r="AL421" s="1090">
        <f>AK421*W421</f>
        <v>500</v>
      </c>
      <c r="AM421" s="1297"/>
      <c r="AN421" s="1297"/>
      <c r="AO421" s="1298"/>
      <c r="AP421" s="1301"/>
      <c r="AQ421" s="1298"/>
      <c r="AR421" s="1301"/>
      <c r="AS421" s="1301"/>
      <c r="AT421" s="1297"/>
      <c r="AU421" s="1299"/>
      <c r="AV421" s="1067"/>
      <c r="AX421" s="1074"/>
      <c r="AY421" s="1074"/>
      <c r="AZ421" s="1081"/>
      <c r="BA421" s="1358"/>
      <c r="BB421" s="1123"/>
      <c r="BC421" s="1081"/>
      <c r="BD421" s="1081"/>
      <c r="BE421" s="1081"/>
      <c r="BF421" s="1359"/>
    </row>
    <row r="422" spans="1:58" ht="16.5" customHeight="1">
      <c r="A422" s="1082"/>
      <c r="B422" s="1082"/>
      <c r="C422" s="1083"/>
      <c r="D422" s="1082"/>
      <c r="E422" s="1083"/>
      <c r="F422" s="1138"/>
      <c r="G422" s="1038"/>
      <c r="H422" s="1092"/>
      <c r="I422" s="1346"/>
      <c r="J422" s="1069"/>
      <c r="K422" s="1339"/>
      <c r="L422" s="1139"/>
      <c r="M422" s="1128"/>
      <c r="N422" s="1038"/>
      <c r="O422" s="1083"/>
      <c r="P422" s="1072"/>
      <c r="Q422" s="1073"/>
      <c r="R422" s="1074"/>
      <c r="S422" s="1074"/>
      <c r="T422" s="1075"/>
      <c r="U422" s="1254">
        <v>52</v>
      </c>
      <c r="V422" s="1355" t="s">
        <v>220</v>
      </c>
      <c r="W422" s="1241">
        <v>2</v>
      </c>
      <c r="X422" s="1241">
        <v>0</v>
      </c>
      <c r="Y422" s="1242">
        <v>0</v>
      </c>
      <c r="Z422" s="1143">
        <f>SUM(W422:Y422)</f>
        <v>2</v>
      </c>
      <c r="AA422" s="1074"/>
      <c r="AB422" s="1126"/>
      <c r="AC422" s="1073"/>
      <c r="AD422" s="1084"/>
      <c r="AE422" s="1062"/>
      <c r="AF422" s="1296"/>
      <c r="AG422" s="1297"/>
      <c r="AH422" s="1298"/>
      <c r="AI422" s="1298"/>
      <c r="AJ422" s="1299"/>
      <c r="AK422" s="1300">
        <v>900</v>
      </c>
      <c r="AL422" s="1090">
        <f t="shared" si="36"/>
        <v>1800</v>
      </c>
      <c r="AM422" s="1297"/>
      <c r="AN422" s="1297"/>
      <c r="AO422" s="1298"/>
      <c r="AP422" s="1301"/>
      <c r="AQ422" s="1298"/>
      <c r="AR422" s="1301"/>
      <c r="AS422" s="1301"/>
      <c r="AT422" s="1297"/>
      <c r="AU422" s="1299"/>
      <c r="AV422" s="1067"/>
      <c r="AX422" s="1074"/>
      <c r="AY422" s="1074"/>
      <c r="AZ422" s="1081"/>
      <c r="BA422" s="1358"/>
      <c r="BB422" s="1123"/>
      <c r="BC422" s="1081"/>
      <c r="BD422" s="1081"/>
      <c r="BE422" s="1081"/>
      <c r="BF422" s="1359"/>
    </row>
    <row r="423" spans="1:58" ht="16.5" customHeight="1">
      <c r="A423" s="1082"/>
      <c r="B423" s="1082"/>
      <c r="C423" s="1083"/>
      <c r="D423" s="1082"/>
      <c r="E423" s="1083"/>
      <c r="F423" s="1138"/>
      <c r="G423" s="1038"/>
      <c r="H423" s="1092"/>
      <c r="I423" s="1346"/>
      <c r="J423" s="1069"/>
      <c r="K423" s="1339"/>
      <c r="L423" s="1139"/>
      <c r="M423" s="1128"/>
      <c r="N423" s="1038"/>
      <c r="O423" s="1083"/>
      <c r="P423" s="1072"/>
      <c r="Q423" s="1073"/>
      <c r="R423" s="1074"/>
      <c r="S423" s="1074"/>
      <c r="T423" s="1075"/>
      <c r="U423" s="1254">
        <v>53</v>
      </c>
      <c r="V423" s="1355" t="s">
        <v>219</v>
      </c>
      <c r="W423" s="1241">
        <v>2</v>
      </c>
      <c r="X423" s="1241">
        <v>0</v>
      </c>
      <c r="Y423" s="1242">
        <v>0</v>
      </c>
      <c r="Z423" s="1143">
        <f>SUM(W423:Y423)</f>
        <v>2</v>
      </c>
      <c r="AA423" s="1074"/>
      <c r="AB423" s="1126"/>
      <c r="AC423" s="1073"/>
      <c r="AD423" s="1084"/>
      <c r="AE423" s="1062"/>
      <c r="AF423" s="1296"/>
      <c r="AG423" s="1297"/>
      <c r="AH423" s="1298"/>
      <c r="AI423" s="1298"/>
      <c r="AJ423" s="1299"/>
      <c r="AK423" s="1300">
        <v>500</v>
      </c>
      <c r="AL423" s="1090">
        <f t="shared" si="36"/>
        <v>1000</v>
      </c>
      <c r="AM423" s="1297"/>
      <c r="AN423" s="1297"/>
      <c r="AO423" s="1298"/>
      <c r="AP423" s="1301"/>
      <c r="AQ423" s="1298"/>
      <c r="AR423" s="1301"/>
      <c r="AS423" s="1301"/>
      <c r="AT423" s="1297"/>
      <c r="AU423" s="1299"/>
      <c r="AV423" s="1067"/>
      <c r="AX423" s="1074"/>
      <c r="AY423" s="1074"/>
      <c r="AZ423" s="1081"/>
      <c r="BA423" s="1358"/>
      <c r="BB423" s="1123"/>
      <c r="BC423" s="1081"/>
      <c r="BD423" s="1081"/>
      <c r="BE423" s="1081"/>
      <c r="BF423" s="1359"/>
    </row>
    <row r="424" spans="1:58" ht="16.5" customHeight="1">
      <c r="A424" s="1082"/>
      <c r="B424" s="1082"/>
      <c r="C424" s="1083"/>
      <c r="D424" s="1082"/>
      <c r="E424" s="1083"/>
      <c r="F424" s="1138"/>
      <c r="G424" s="1038"/>
      <c r="H424" s="1092"/>
      <c r="I424" s="1346"/>
      <c r="J424" s="1069"/>
      <c r="K424" s="1339"/>
      <c r="L424" s="1139"/>
      <c r="M424" s="1128"/>
      <c r="N424" s="1038"/>
      <c r="O424" s="1083"/>
      <c r="P424" s="1072"/>
      <c r="Q424" s="1073"/>
      <c r="R424" s="1074"/>
      <c r="S424" s="1074"/>
      <c r="T424" s="1075"/>
      <c r="U424" s="1254">
        <v>54</v>
      </c>
      <c r="V424" s="1185" t="s">
        <v>133</v>
      </c>
      <c r="W424" s="1140">
        <v>1</v>
      </c>
      <c r="X424" s="1361">
        <v>0</v>
      </c>
      <c r="Y424" s="1362">
        <v>0</v>
      </c>
      <c r="Z424" s="1226" t="s">
        <v>215</v>
      </c>
      <c r="AA424" s="1074"/>
      <c r="AB424" s="1126"/>
      <c r="AC424" s="1073"/>
      <c r="AD424" s="1084"/>
      <c r="AE424" s="1062"/>
      <c r="AF424" s="1296"/>
      <c r="AG424" s="1297"/>
      <c r="AH424" s="1298"/>
      <c r="AI424" s="1298"/>
      <c r="AJ424" s="1299"/>
      <c r="AK424" s="1089">
        <v>2645</v>
      </c>
      <c r="AL424" s="1090">
        <f t="shared" si="36"/>
        <v>2645</v>
      </c>
      <c r="AM424" s="1297"/>
      <c r="AN424" s="1297"/>
      <c r="AO424" s="1298"/>
      <c r="AP424" s="1301"/>
      <c r="AQ424" s="1298"/>
      <c r="AR424" s="1301"/>
      <c r="AS424" s="1301"/>
      <c r="AT424" s="1297"/>
      <c r="AU424" s="1299"/>
      <c r="AV424" s="1067"/>
      <c r="AX424" s="1074"/>
      <c r="AY424" s="1074"/>
      <c r="AZ424" s="1081"/>
      <c r="BA424" s="1358"/>
      <c r="BB424" s="1123"/>
      <c r="BC424" s="1081"/>
      <c r="BD424" s="1081"/>
      <c r="BE424" s="1081"/>
      <c r="BF424" s="1359"/>
    </row>
    <row r="425" spans="1:58" ht="16.5" customHeight="1">
      <c r="A425" s="1082"/>
      <c r="B425" s="1082"/>
      <c r="C425" s="1083"/>
      <c r="D425" s="1082"/>
      <c r="E425" s="1083"/>
      <c r="F425" s="1138"/>
      <c r="G425" s="1038"/>
      <c r="H425" s="1092"/>
      <c r="I425" s="1346"/>
      <c r="J425" s="1069"/>
      <c r="K425" s="1339"/>
      <c r="L425" s="1139"/>
      <c r="M425" s="1128"/>
      <c r="N425" s="1038"/>
      <c r="O425" s="1083"/>
      <c r="P425" s="1072"/>
      <c r="Q425" s="1073"/>
      <c r="R425" s="1074"/>
      <c r="S425" s="1074"/>
      <c r="T425" s="1075"/>
      <c r="U425" s="1254">
        <v>55</v>
      </c>
      <c r="V425" s="1185" t="s">
        <v>218</v>
      </c>
      <c r="W425" s="1363">
        <v>0</v>
      </c>
      <c r="X425" s="1361">
        <v>1</v>
      </c>
      <c r="Y425" s="1362">
        <v>0</v>
      </c>
      <c r="Z425" s="1226" t="s">
        <v>215</v>
      </c>
      <c r="AA425" s="1074"/>
      <c r="AB425" s="1126"/>
      <c r="AC425" s="1073"/>
      <c r="AD425" s="1084"/>
      <c r="AE425" s="1062"/>
      <c r="AF425" s="1296"/>
      <c r="AG425" s="1297"/>
      <c r="AH425" s="1298"/>
      <c r="AI425" s="1298"/>
      <c r="AJ425" s="1299"/>
      <c r="AK425" s="1300">
        <v>2300</v>
      </c>
      <c r="AL425" s="1090">
        <f>AK425*X425</f>
        <v>2300</v>
      </c>
      <c r="AM425" s="1297"/>
      <c r="AN425" s="1297"/>
      <c r="AO425" s="1298"/>
      <c r="AP425" s="1301"/>
      <c r="AQ425" s="1298"/>
      <c r="AR425" s="1301"/>
      <c r="AS425" s="1301"/>
      <c r="AT425" s="1297"/>
      <c r="AU425" s="1299"/>
      <c r="AV425" s="1067"/>
      <c r="AX425" s="1074"/>
      <c r="AY425" s="1074"/>
      <c r="AZ425" s="1081"/>
      <c r="BA425" s="1358"/>
      <c r="BB425" s="1123"/>
      <c r="BC425" s="1081"/>
      <c r="BD425" s="1081"/>
      <c r="BE425" s="1081"/>
      <c r="BF425" s="1359"/>
    </row>
    <row r="426" spans="1:58" ht="16.5" customHeight="1">
      <c r="A426" s="1082"/>
      <c r="B426" s="1082"/>
      <c r="C426" s="1083"/>
      <c r="D426" s="1082"/>
      <c r="E426" s="1083"/>
      <c r="F426" s="1138"/>
      <c r="G426" s="1038"/>
      <c r="H426" s="1092"/>
      <c r="I426" s="1346"/>
      <c r="J426" s="1069"/>
      <c r="K426" s="1339"/>
      <c r="L426" s="1139"/>
      <c r="M426" s="1128"/>
      <c r="N426" s="1038"/>
      <c r="O426" s="1083"/>
      <c r="P426" s="1072"/>
      <c r="Q426" s="1073"/>
      <c r="R426" s="1074"/>
      <c r="S426" s="1074"/>
      <c r="T426" s="1075"/>
      <c r="U426" s="1254">
        <v>56</v>
      </c>
      <c r="V426" s="1185" t="s">
        <v>217</v>
      </c>
      <c r="W426" s="1140">
        <v>2</v>
      </c>
      <c r="X426" s="1361">
        <v>0</v>
      </c>
      <c r="Y426" s="1362">
        <v>0</v>
      </c>
      <c r="Z426" s="1226" t="s">
        <v>100</v>
      </c>
      <c r="AA426" s="1074"/>
      <c r="AB426" s="1126"/>
      <c r="AC426" s="1073"/>
      <c r="AD426" s="1084"/>
      <c r="AE426" s="1062"/>
      <c r="AF426" s="1296"/>
      <c r="AG426" s="1297"/>
      <c r="AH426" s="1298"/>
      <c r="AI426" s="1298"/>
      <c r="AJ426" s="1299"/>
      <c r="AK426" s="1300">
        <v>8750</v>
      </c>
      <c r="AL426" s="1090">
        <f t="shared" si="36"/>
        <v>17500</v>
      </c>
      <c r="AM426" s="1297"/>
      <c r="AN426" s="1297"/>
      <c r="AO426" s="1298"/>
      <c r="AP426" s="1301"/>
      <c r="AQ426" s="1298"/>
      <c r="AR426" s="1301"/>
      <c r="AS426" s="1301"/>
      <c r="AT426" s="1297"/>
      <c r="AU426" s="1299"/>
      <c r="AV426" s="1067"/>
      <c r="AX426" s="1074"/>
      <c r="AY426" s="1074"/>
      <c r="AZ426" s="1081"/>
      <c r="BA426" s="1358"/>
      <c r="BB426" s="1123"/>
      <c r="BC426" s="1081"/>
      <c r="BD426" s="1081"/>
      <c r="BE426" s="1081"/>
      <c r="BF426" s="1359"/>
    </row>
    <row r="427" spans="1:58" ht="16.5" customHeight="1">
      <c r="A427" s="1082"/>
      <c r="B427" s="1082"/>
      <c r="C427" s="1083"/>
      <c r="D427" s="1082"/>
      <c r="E427" s="1083"/>
      <c r="F427" s="1138"/>
      <c r="G427" s="1038"/>
      <c r="H427" s="1092"/>
      <c r="I427" s="1346"/>
      <c r="J427" s="1069"/>
      <c r="K427" s="1339"/>
      <c r="L427" s="1139"/>
      <c r="M427" s="1128"/>
      <c r="N427" s="1038"/>
      <c r="O427" s="1083"/>
      <c r="P427" s="1072"/>
      <c r="Q427" s="1073"/>
      <c r="R427" s="1074"/>
      <c r="S427" s="1074"/>
      <c r="T427" s="1075"/>
      <c r="U427" s="1254">
        <v>57</v>
      </c>
      <c r="V427" s="1185" t="s">
        <v>216</v>
      </c>
      <c r="W427" s="1140">
        <v>1</v>
      </c>
      <c r="X427" s="1361">
        <v>0</v>
      </c>
      <c r="Y427" s="1362">
        <v>0</v>
      </c>
      <c r="Z427" s="1226" t="s">
        <v>215</v>
      </c>
      <c r="AA427" s="1074"/>
      <c r="AB427" s="1126"/>
      <c r="AC427" s="1073"/>
      <c r="AD427" s="1084"/>
      <c r="AE427" s="1062"/>
      <c r="AF427" s="1296"/>
      <c r="AG427" s="1297"/>
      <c r="AH427" s="1298"/>
      <c r="AI427" s="1298"/>
      <c r="AJ427" s="1299"/>
      <c r="AK427" s="1300">
        <v>900</v>
      </c>
      <c r="AL427" s="1090">
        <f>AK427*W427</f>
        <v>900</v>
      </c>
      <c r="AM427" s="1297"/>
      <c r="AN427" s="1297"/>
      <c r="AO427" s="1298"/>
      <c r="AP427" s="1301"/>
      <c r="AQ427" s="1298"/>
      <c r="AR427" s="1301"/>
      <c r="AS427" s="1301"/>
      <c r="AT427" s="1297"/>
      <c r="AU427" s="1299"/>
      <c r="AV427" s="1067"/>
      <c r="AX427" s="1074"/>
      <c r="AY427" s="1074"/>
      <c r="AZ427" s="1081"/>
      <c r="BA427" s="1358"/>
      <c r="BB427" s="1123"/>
      <c r="BC427" s="1081"/>
      <c r="BD427" s="1081"/>
      <c r="BE427" s="1081"/>
      <c r="BF427" s="1359"/>
    </row>
    <row r="428" spans="1:58" ht="16.5" customHeight="1">
      <c r="A428" s="1098"/>
      <c r="B428" s="1095"/>
      <c r="C428" s="1186"/>
      <c r="D428" s="1095"/>
      <c r="E428" s="1186"/>
      <c r="F428" s="1150"/>
      <c r="G428" s="1095"/>
      <c r="H428" s="1099"/>
      <c r="I428" s="1349"/>
      <c r="J428" s="1103"/>
      <c r="K428" s="1342"/>
      <c r="L428" s="1154"/>
      <c r="M428" s="1153"/>
      <c r="N428" s="1095"/>
      <c r="O428" s="1105"/>
      <c r="P428" s="1106"/>
      <c r="Q428" s="1107"/>
      <c r="R428" s="1094"/>
      <c r="S428" s="1094"/>
      <c r="T428" s="1168"/>
      <c r="U428" s="1188"/>
      <c r="V428" s="1189"/>
      <c r="W428" s="1111"/>
      <c r="X428" s="1110"/>
      <c r="Y428" s="1096"/>
      <c r="Z428" s="1166"/>
      <c r="AA428" s="1094"/>
      <c r="AB428" s="1156"/>
      <c r="AC428" s="1107"/>
      <c r="AD428" s="1114"/>
      <c r="AE428" s="1093"/>
      <c r="AF428" s="1305"/>
      <c r="AG428" s="1116"/>
      <c r="AH428" s="1307"/>
      <c r="AI428" s="1307"/>
      <c r="AJ428" s="1308"/>
      <c r="AK428" s="1309"/>
      <c r="AL428" s="1120"/>
      <c r="AM428" s="1306"/>
      <c r="AN428" s="1116"/>
      <c r="AO428" s="1307"/>
      <c r="AP428" s="1108"/>
      <c r="AQ428" s="1307"/>
      <c r="AR428" s="1108"/>
      <c r="AS428" s="1310"/>
      <c r="AT428" s="1116"/>
      <c r="AU428" s="1308"/>
      <c r="AV428" s="1101"/>
    </row>
    <row r="429" spans="1:58" ht="16.5" customHeight="1">
      <c r="A429" s="1269">
        <v>31</v>
      </c>
      <c r="B429" s="1033" t="s">
        <v>25</v>
      </c>
      <c r="C429" s="1036" t="s">
        <v>214</v>
      </c>
      <c r="D429" s="1033"/>
      <c r="E429" s="1036"/>
      <c r="F429" s="1171" t="s">
        <v>213</v>
      </c>
      <c r="G429" s="1272" t="s">
        <v>25</v>
      </c>
      <c r="H429" s="1273" t="s">
        <v>29</v>
      </c>
      <c r="I429" s="1343">
        <v>447</v>
      </c>
      <c r="J429" s="1043" t="s">
        <v>41</v>
      </c>
      <c r="K429" s="1330" t="s">
        <v>212</v>
      </c>
      <c r="L429" s="1279"/>
      <c r="M429" s="1043"/>
      <c r="N429" s="1035"/>
      <c r="O429" s="1273"/>
      <c r="P429" s="1046"/>
      <c r="Q429" s="1047"/>
      <c r="R429" s="1034"/>
      <c r="S429" s="1034"/>
      <c r="T429" s="1048"/>
      <c r="U429" s="1180"/>
      <c r="V429" s="1047"/>
      <c r="W429" s="1052"/>
      <c r="X429" s="1051"/>
      <c r="Y429" s="1036"/>
      <c r="Z429" s="1203"/>
      <c r="AA429" s="1034"/>
      <c r="AB429" s="1050"/>
      <c r="AC429" s="1047"/>
      <c r="AD429" s="1180"/>
      <c r="AE429" s="1049"/>
      <c r="AF429" s="1333">
        <f>Resum!F1</f>
        <v>356000</v>
      </c>
      <c r="AG429" s="1086">
        <f>AF429*I429</f>
        <v>159132000</v>
      </c>
      <c r="AH429" s="1334"/>
      <c r="AI429" s="1334"/>
      <c r="AJ429" s="1364"/>
      <c r="AK429" s="1336"/>
      <c r="AL429" s="1090"/>
      <c r="AM429" s="1337"/>
      <c r="AN429" s="1086">
        <f>AM429+AJ429+AG429</f>
        <v>159132000</v>
      </c>
      <c r="AO429" s="1334"/>
      <c r="AP429" s="1136">
        <v>0</v>
      </c>
      <c r="AQ429" s="1087">
        <v>0</v>
      </c>
      <c r="AR429" s="1136">
        <f>(AG429+AI429)*5%</f>
        <v>7956600</v>
      </c>
      <c r="AS429" s="1087">
        <f>0.5%*(AG429+AI429)*(3)</f>
        <v>2386980</v>
      </c>
      <c r="AT429" s="1086">
        <f>+AS429+AR429+AQ429+AP429+AO429</f>
        <v>10343580</v>
      </c>
      <c r="AU429" s="1137">
        <f>ROUND(AT429+AN429,-3)</f>
        <v>169476000</v>
      </c>
      <c r="AV429" s="1365"/>
    </row>
    <row r="430" spans="1:58" ht="16.5" customHeight="1">
      <c r="A430" s="1082"/>
      <c r="B430" s="1038" t="s">
        <v>16</v>
      </c>
      <c r="C430" s="1071" t="s">
        <v>211</v>
      </c>
      <c r="D430" s="1038"/>
      <c r="E430" s="1071"/>
      <c r="F430" s="1138"/>
      <c r="G430" s="1038" t="s">
        <v>16</v>
      </c>
      <c r="H430" s="1039" t="s">
        <v>22</v>
      </c>
      <c r="I430" s="1346"/>
      <c r="J430" s="1069"/>
      <c r="K430" s="1339"/>
      <c r="L430" s="1235"/>
      <c r="M430" s="1069"/>
      <c r="N430" s="1038"/>
      <c r="O430" s="1083"/>
      <c r="P430" s="1072"/>
      <c r="Q430" s="1073"/>
      <c r="R430" s="1074"/>
      <c r="S430" s="1074"/>
      <c r="T430" s="1075"/>
      <c r="U430" s="1091"/>
      <c r="V430" s="1073"/>
      <c r="W430" s="1079"/>
      <c r="X430" s="1078"/>
      <c r="Y430" s="1039"/>
      <c r="Z430" s="1134"/>
      <c r="AA430" s="1074"/>
      <c r="AB430" s="1077"/>
      <c r="AC430" s="1073"/>
      <c r="AD430" s="1091"/>
      <c r="AE430" s="1076"/>
      <c r="AF430" s="1296"/>
      <c r="AG430" s="1297"/>
      <c r="AH430" s="1298"/>
      <c r="AI430" s="1298"/>
      <c r="AJ430" s="1299"/>
      <c r="AK430" s="1300"/>
      <c r="AL430" s="1090"/>
      <c r="AM430" s="1297"/>
      <c r="AN430" s="1297"/>
      <c r="AO430" s="1298"/>
      <c r="AP430" s="1301"/>
      <c r="AQ430" s="1298"/>
      <c r="AR430" s="1301"/>
      <c r="AS430" s="1301"/>
      <c r="AT430" s="1297"/>
      <c r="AU430" s="1299"/>
      <c r="AV430" s="1302"/>
    </row>
    <row r="431" spans="1:58" ht="16.5" customHeight="1">
      <c r="A431" s="1082"/>
      <c r="B431" s="1038" t="s">
        <v>18</v>
      </c>
      <c r="C431" s="1039" t="s">
        <v>124</v>
      </c>
      <c r="D431" s="1038"/>
      <c r="E431" s="1039"/>
      <c r="F431" s="1138"/>
      <c r="G431" s="1038" t="s">
        <v>18</v>
      </c>
      <c r="H431" s="1039" t="s">
        <v>19</v>
      </c>
      <c r="I431" s="1346"/>
      <c r="J431" s="1069"/>
      <c r="K431" s="1339"/>
      <c r="L431" s="1235"/>
      <c r="M431" s="1069"/>
      <c r="N431" s="1038"/>
      <c r="O431" s="1083"/>
      <c r="P431" s="1072"/>
      <c r="Q431" s="1073"/>
      <c r="R431" s="1074"/>
      <c r="S431" s="1074"/>
      <c r="T431" s="1075"/>
      <c r="U431" s="1091"/>
      <c r="V431" s="1073"/>
      <c r="W431" s="1079"/>
      <c r="X431" s="1078"/>
      <c r="Y431" s="1039"/>
      <c r="Z431" s="1134"/>
      <c r="AA431" s="1074"/>
      <c r="AB431" s="1077"/>
      <c r="AC431" s="1073"/>
      <c r="AD431" s="1091"/>
      <c r="AE431" s="1076"/>
      <c r="AF431" s="1296"/>
      <c r="AG431" s="1297"/>
      <c r="AH431" s="1298"/>
      <c r="AI431" s="1298"/>
      <c r="AJ431" s="1299"/>
      <c r="AK431" s="1300"/>
      <c r="AL431" s="1090"/>
      <c r="AM431" s="1297"/>
      <c r="AN431" s="1297"/>
      <c r="AO431" s="1298"/>
      <c r="AP431" s="1301"/>
      <c r="AQ431" s="1298"/>
      <c r="AR431" s="1301"/>
      <c r="AS431" s="1301"/>
      <c r="AT431" s="1297"/>
      <c r="AU431" s="1299"/>
      <c r="AV431" s="1302"/>
    </row>
    <row r="432" spans="1:58" ht="49.5" customHeight="1">
      <c r="A432" s="1082"/>
      <c r="B432" s="1082" t="s">
        <v>12</v>
      </c>
      <c r="C432" s="1083" t="s">
        <v>210</v>
      </c>
      <c r="D432" s="1038"/>
      <c r="E432" s="1083"/>
      <c r="F432" s="1138"/>
      <c r="G432" s="1038"/>
      <c r="H432" s="1092"/>
      <c r="I432" s="1346"/>
      <c r="J432" s="1069"/>
      <c r="K432" s="1339"/>
      <c r="L432" s="1235"/>
      <c r="M432" s="1069"/>
      <c r="N432" s="1038"/>
      <c r="O432" s="1083"/>
      <c r="P432" s="1072"/>
      <c r="Q432" s="1073"/>
      <c r="R432" s="1074"/>
      <c r="S432" s="1074"/>
      <c r="T432" s="1075"/>
      <c r="U432" s="1091"/>
      <c r="V432" s="1073"/>
      <c r="W432" s="1079"/>
      <c r="X432" s="1078"/>
      <c r="Y432" s="1039"/>
      <c r="Z432" s="1134"/>
      <c r="AA432" s="1074"/>
      <c r="AB432" s="1077"/>
      <c r="AC432" s="1073"/>
      <c r="AD432" s="1091"/>
      <c r="AE432" s="1076"/>
      <c r="AF432" s="1296"/>
      <c r="AG432" s="1297"/>
      <c r="AH432" s="1298"/>
      <c r="AI432" s="1298"/>
      <c r="AJ432" s="1299"/>
      <c r="AK432" s="1300"/>
      <c r="AL432" s="1090"/>
      <c r="AM432" s="1297"/>
      <c r="AN432" s="1297"/>
      <c r="AO432" s="1298"/>
      <c r="AP432" s="1301"/>
      <c r="AQ432" s="1298"/>
      <c r="AR432" s="1301"/>
      <c r="AS432" s="1301"/>
      <c r="AT432" s="1297"/>
      <c r="AU432" s="1299"/>
      <c r="AV432" s="1302"/>
    </row>
    <row r="433" spans="1:48" ht="16.5" customHeight="1">
      <c r="A433" s="1082"/>
      <c r="B433" s="1038" t="s">
        <v>8</v>
      </c>
      <c r="C433" s="1244" t="s">
        <v>209</v>
      </c>
      <c r="D433" s="1038"/>
      <c r="E433" s="1083"/>
      <c r="F433" s="1138"/>
      <c r="G433" s="1038"/>
      <c r="H433" s="1092"/>
      <c r="I433" s="1346"/>
      <c r="J433" s="1069"/>
      <c r="K433" s="1339"/>
      <c r="L433" s="1235"/>
      <c r="M433" s="1069"/>
      <c r="N433" s="1038"/>
      <c r="O433" s="1083"/>
      <c r="P433" s="1072"/>
      <c r="Q433" s="1073"/>
      <c r="R433" s="1074"/>
      <c r="S433" s="1074"/>
      <c r="T433" s="1075"/>
      <c r="U433" s="1091"/>
      <c r="V433" s="1073"/>
      <c r="W433" s="1079"/>
      <c r="X433" s="1078"/>
      <c r="Y433" s="1039"/>
      <c r="Z433" s="1134"/>
      <c r="AA433" s="1074"/>
      <c r="AB433" s="1077"/>
      <c r="AC433" s="1073"/>
      <c r="AD433" s="1091"/>
      <c r="AE433" s="1076"/>
      <c r="AF433" s="1296"/>
      <c r="AG433" s="1297"/>
      <c r="AH433" s="1298"/>
      <c r="AI433" s="1298"/>
      <c r="AJ433" s="1299"/>
      <c r="AK433" s="1300"/>
      <c r="AL433" s="1090"/>
      <c r="AM433" s="1297"/>
      <c r="AN433" s="1297"/>
      <c r="AO433" s="1298"/>
      <c r="AP433" s="1301"/>
      <c r="AQ433" s="1298"/>
      <c r="AR433" s="1301"/>
      <c r="AS433" s="1301"/>
      <c r="AT433" s="1297"/>
      <c r="AU433" s="1299"/>
      <c r="AV433" s="1302"/>
    </row>
    <row r="434" spans="1:48" ht="16.5" customHeight="1">
      <c r="A434" s="1098"/>
      <c r="B434" s="1095"/>
      <c r="C434" s="1186"/>
      <c r="D434" s="1095"/>
      <c r="E434" s="1186"/>
      <c r="F434" s="1150"/>
      <c r="G434" s="1095"/>
      <c r="H434" s="1099"/>
      <c r="I434" s="1349"/>
      <c r="J434" s="1103"/>
      <c r="K434" s="1342"/>
      <c r="L434" s="1287"/>
      <c r="M434" s="1103"/>
      <c r="N434" s="1095"/>
      <c r="O434" s="1105"/>
      <c r="P434" s="1106"/>
      <c r="Q434" s="1107"/>
      <c r="R434" s="1094"/>
      <c r="S434" s="1094"/>
      <c r="T434" s="1168"/>
      <c r="U434" s="1109"/>
      <c r="V434" s="1107"/>
      <c r="W434" s="1111"/>
      <c r="X434" s="1110"/>
      <c r="Y434" s="1096"/>
      <c r="Z434" s="1286"/>
      <c r="AA434" s="1094"/>
      <c r="AB434" s="1151"/>
      <c r="AC434" s="1107"/>
      <c r="AD434" s="1109"/>
      <c r="AE434" s="1108"/>
      <c r="AF434" s="1305"/>
      <c r="AG434" s="1306"/>
      <c r="AH434" s="1307"/>
      <c r="AI434" s="1307"/>
      <c r="AJ434" s="1308"/>
      <c r="AK434" s="1309"/>
      <c r="AL434" s="1120"/>
      <c r="AM434" s="1306"/>
      <c r="AN434" s="1306"/>
      <c r="AO434" s="1307"/>
      <c r="AP434" s="1310"/>
      <c r="AQ434" s="1307"/>
      <c r="AR434" s="1310"/>
      <c r="AS434" s="1310"/>
      <c r="AT434" s="1306"/>
      <c r="AU434" s="1308"/>
      <c r="AV434" s="1311"/>
    </row>
    <row r="435" spans="1:48" ht="16.5" customHeight="1">
      <c r="A435" s="1269">
        <v>32</v>
      </c>
      <c r="B435" s="1033" t="s">
        <v>25</v>
      </c>
      <c r="C435" s="1036" t="s">
        <v>208</v>
      </c>
      <c r="D435" s="1035"/>
      <c r="E435" s="1366"/>
      <c r="F435" s="1171" t="s">
        <v>207</v>
      </c>
      <c r="G435" s="1272" t="s">
        <v>25</v>
      </c>
      <c r="H435" s="1367" t="s">
        <v>29</v>
      </c>
      <c r="I435" s="1343">
        <v>233</v>
      </c>
      <c r="J435" s="1043" t="s">
        <v>41</v>
      </c>
      <c r="K435" s="1041" t="s">
        <v>206</v>
      </c>
      <c r="L435" s="1279"/>
      <c r="M435" s="1043"/>
      <c r="N435" s="1038"/>
      <c r="O435" s="1293" t="s">
        <v>205</v>
      </c>
      <c r="P435" s="1347"/>
      <c r="Q435" s="1075"/>
      <c r="R435" s="1123" t="s">
        <v>25</v>
      </c>
      <c r="S435" s="1074" t="s">
        <v>24</v>
      </c>
      <c r="T435" s="1048"/>
      <c r="U435" s="1353"/>
      <c r="V435" s="1319"/>
      <c r="W435" s="1052"/>
      <c r="X435" s="1051"/>
      <c r="Y435" s="1036"/>
      <c r="Z435" s="1312"/>
      <c r="AA435" s="1034"/>
      <c r="AB435" s="1181"/>
      <c r="AC435" s="1048"/>
      <c r="AD435" s="1180"/>
      <c r="AE435" s="1049"/>
      <c r="AF435" s="1333">
        <f>Resum!F1</f>
        <v>356000</v>
      </c>
      <c r="AG435" s="1086">
        <f>AF435*I435</f>
        <v>82948000</v>
      </c>
      <c r="AH435" s="1058"/>
      <c r="AI435" s="1334"/>
      <c r="AJ435" s="1335">
        <f>SUM(AI435:AI458)</f>
        <v>596472500</v>
      </c>
      <c r="AK435" s="1336"/>
      <c r="AL435" s="1090"/>
      <c r="AM435" s="1337">
        <f>SUM(AL437:AL441)</f>
        <v>930300</v>
      </c>
      <c r="AN435" s="1086">
        <f>AM435+AJ435+AG435</f>
        <v>680350800</v>
      </c>
      <c r="AO435" s="1334"/>
      <c r="AP435" s="1136">
        <f>(AG435+AI436)*15%</f>
        <v>36875400</v>
      </c>
      <c r="AQ435" s="1087">
        <f>(AG435+AI436)*1%</f>
        <v>2458360</v>
      </c>
      <c r="AR435" s="1136">
        <f>(AG435+AI436)*5%</f>
        <v>12291800</v>
      </c>
      <c r="AS435" s="1087">
        <f>0.5%*(AG435+AI436)*(3)</f>
        <v>3687540</v>
      </c>
      <c r="AT435" s="1086">
        <f>+AS435+AR435+AQ435+AP435+AO435</f>
        <v>55313100</v>
      </c>
      <c r="AU435" s="1137">
        <f>ROUND(AT435+AN435,-3)</f>
        <v>735664000</v>
      </c>
      <c r="AV435" s="1365"/>
    </row>
    <row r="436" spans="1:48" ht="16.5" customHeight="1">
      <c r="A436" s="1082"/>
      <c r="B436" s="1038" t="s">
        <v>16</v>
      </c>
      <c r="C436" s="1039" t="s">
        <v>204</v>
      </c>
      <c r="D436" s="1038"/>
      <c r="E436" s="1244"/>
      <c r="F436" s="1138"/>
      <c r="G436" s="1038" t="s">
        <v>16</v>
      </c>
      <c r="H436" s="1092" t="s">
        <v>22</v>
      </c>
      <c r="I436" s="1346"/>
      <c r="J436" s="1069"/>
      <c r="K436" s="1067"/>
      <c r="L436" s="1235"/>
      <c r="M436" s="1069"/>
      <c r="N436" s="1064" t="s">
        <v>25</v>
      </c>
      <c r="O436" s="1293" t="s">
        <v>26</v>
      </c>
      <c r="P436" s="1347">
        <v>1</v>
      </c>
      <c r="Q436" s="1213">
        <v>92.55</v>
      </c>
      <c r="R436" s="1074"/>
      <c r="S436" s="1074"/>
      <c r="T436" s="1075"/>
      <c r="U436" s="1184"/>
      <c r="V436" s="1185"/>
      <c r="W436" s="1079"/>
      <c r="X436" s="1078"/>
      <c r="Y436" s="1039"/>
      <c r="Z436" s="1183"/>
      <c r="AA436" s="1074"/>
      <c r="AB436" s="1063"/>
      <c r="AC436" s="1075"/>
      <c r="AD436" s="1091"/>
      <c r="AE436" s="1076"/>
      <c r="AF436" s="1296"/>
      <c r="AG436" s="1297"/>
      <c r="AH436" s="1087">
        <v>2200000</v>
      </c>
      <c r="AI436" s="1087">
        <f>AH436*Q436*0.8</f>
        <v>162888000</v>
      </c>
      <c r="AJ436" s="1299"/>
      <c r="AK436" s="1300"/>
      <c r="AL436" s="1090"/>
      <c r="AM436" s="1297"/>
      <c r="AN436" s="1297"/>
      <c r="AO436" s="1298"/>
      <c r="AP436" s="1301"/>
      <c r="AQ436" s="1298"/>
      <c r="AR436" s="1301"/>
      <c r="AS436" s="1301"/>
      <c r="AT436" s="1297"/>
      <c r="AU436" s="1299"/>
      <c r="AV436" s="1302"/>
    </row>
    <row r="437" spans="1:48" ht="33" customHeight="1">
      <c r="A437" s="1082"/>
      <c r="B437" s="1038" t="s">
        <v>18</v>
      </c>
      <c r="C437" s="1039" t="s">
        <v>124</v>
      </c>
      <c r="D437" s="1038"/>
      <c r="E437" s="1244"/>
      <c r="F437" s="1138"/>
      <c r="G437" s="1038" t="s">
        <v>18</v>
      </c>
      <c r="H437" s="1092" t="s">
        <v>19</v>
      </c>
      <c r="I437" s="1346"/>
      <c r="J437" s="1069"/>
      <c r="K437" s="1067"/>
      <c r="L437" s="1235"/>
      <c r="M437" s="1069"/>
      <c r="N437" s="1064" t="s">
        <v>160</v>
      </c>
      <c r="O437" s="1293" t="s">
        <v>62</v>
      </c>
      <c r="P437" s="1347">
        <v>1</v>
      </c>
      <c r="Q437" s="1213">
        <v>32</v>
      </c>
      <c r="R437" s="1074" t="s">
        <v>16</v>
      </c>
      <c r="S437" s="1074" t="s">
        <v>15</v>
      </c>
      <c r="T437" s="1075">
        <v>4</v>
      </c>
      <c r="U437" s="1184">
        <v>1</v>
      </c>
      <c r="V437" s="1073" t="s">
        <v>14</v>
      </c>
      <c r="W437" s="1140">
        <v>2</v>
      </c>
      <c r="X437" s="1141">
        <v>0</v>
      </c>
      <c r="Y437" s="1142">
        <v>0</v>
      </c>
      <c r="Z437" s="1143">
        <f>SUM(W437:Y437)</f>
        <v>2</v>
      </c>
      <c r="AA437" s="1074"/>
      <c r="AB437" s="1063"/>
      <c r="AC437" s="1075"/>
      <c r="AD437" s="1091"/>
      <c r="AE437" s="1076"/>
      <c r="AF437" s="1296"/>
      <c r="AG437" s="1297"/>
      <c r="AH437" s="1298">
        <v>210000</v>
      </c>
      <c r="AI437" s="1087">
        <f>AH437*Q437*0.7</f>
        <v>4704000</v>
      </c>
      <c r="AJ437" s="1299"/>
      <c r="AK437" s="1089">
        <v>350000</v>
      </c>
      <c r="AL437" s="1087">
        <f t="shared" si="36"/>
        <v>700000</v>
      </c>
      <c r="AM437" s="1297"/>
      <c r="AN437" s="1297"/>
      <c r="AO437" s="1298"/>
      <c r="AP437" s="1301"/>
      <c r="AQ437" s="1298"/>
      <c r="AR437" s="1301"/>
      <c r="AS437" s="1301"/>
      <c r="AT437" s="1297"/>
      <c r="AU437" s="1299"/>
      <c r="AV437" s="1302"/>
    </row>
    <row r="438" spans="1:48" ht="49.5" customHeight="1">
      <c r="A438" s="1082"/>
      <c r="B438" s="1082" t="s">
        <v>12</v>
      </c>
      <c r="C438" s="1071" t="s">
        <v>203</v>
      </c>
      <c r="D438" s="1038"/>
      <c r="E438" s="1244"/>
      <c r="F438" s="1138"/>
      <c r="G438" s="1038"/>
      <c r="H438" s="1092"/>
      <c r="I438" s="1346"/>
      <c r="J438" s="1069"/>
      <c r="K438" s="1067"/>
      <c r="L438" s="1235"/>
      <c r="M438" s="1069"/>
      <c r="N438" s="1064" t="s">
        <v>18</v>
      </c>
      <c r="O438" s="1293" t="s">
        <v>21</v>
      </c>
      <c r="P438" s="1347">
        <v>1</v>
      </c>
      <c r="Q438" s="1213">
        <v>5</v>
      </c>
      <c r="R438" s="1074"/>
      <c r="S438" s="1074"/>
      <c r="T438" s="1075"/>
      <c r="U438" s="1184">
        <v>2</v>
      </c>
      <c r="V438" s="1073" t="s">
        <v>36</v>
      </c>
      <c r="W438" s="1140">
        <v>1</v>
      </c>
      <c r="X438" s="1141">
        <v>0</v>
      </c>
      <c r="Y438" s="1142">
        <v>0</v>
      </c>
      <c r="Z438" s="1143">
        <f>SUM(W438:Y438)</f>
        <v>1</v>
      </c>
      <c r="AA438" s="1074"/>
      <c r="AB438" s="1063"/>
      <c r="AC438" s="1075"/>
      <c r="AD438" s="1091"/>
      <c r="AE438" s="1076"/>
      <c r="AF438" s="1296"/>
      <c r="AG438" s="1297"/>
      <c r="AH438" s="1298">
        <v>250000</v>
      </c>
      <c r="AI438" s="1087">
        <f>AH438*Q438*0.7</f>
        <v>875000</v>
      </c>
      <c r="AJ438" s="1299"/>
      <c r="AK438" s="1300">
        <v>150000</v>
      </c>
      <c r="AL438" s="1090">
        <f t="shared" si="36"/>
        <v>150000</v>
      </c>
      <c r="AM438" s="1297"/>
      <c r="AN438" s="1297"/>
      <c r="AO438" s="1298"/>
      <c r="AP438" s="1301"/>
      <c r="AQ438" s="1298"/>
      <c r="AR438" s="1301"/>
      <c r="AS438" s="1301"/>
      <c r="AT438" s="1297"/>
      <c r="AU438" s="1299"/>
      <c r="AV438" s="1302"/>
    </row>
    <row r="439" spans="1:48" ht="16.5" customHeight="1">
      <c r="A439" s="1082"/>
      <c r="B439" s="1038" t="s">
        <v>8</v>
      </c>
      <c r="C439" s="1244" t="s">
        <v>202</v>
      </c>
      <c r="D439" s="1038"/>
      <c r="E439" s="1244"/>
      <c r="F439" s="1138"/>
      <c r="G439" s="1038"/>
      <c r="H439" s="1092"/>
      <c r="I439" s="1346"/>
      <c r="J439" s="1069"/>
      <c r="K439" s="1067"/>
      <c r="L439" s="1235"/>
      <c r="M439" s="1069"/>
      <c r="N439" s="1064" t="s">
        <v>12</v>
      </c>
      <c r="O439" s="1293" t="s">
        <v>17</v>
      </c>
      <c r="P439" s="1347">
        <v>3</v>
      </c>
      <c r="Q439" s="1213"/>
      <c r="R439" s="1074"/>
      <c r="S439" s="1074"/>
      <c r="T439" s="1075"/>
      <c r="U439" s="1184">
        <v>3</v>
      </c>
      <c r="V439" s="1073" t="s">
        <v>144</v>
      </c>
      <c r="W439" s="1140">
        <v>3</v>
      </c>
      <c r="X439" s="1141">
        <v>0</v>
      </c>
      <c r="Y439" s="1142">
        <v>0</v>
      </c>
      <c r="Z439" s="1143">
        <f>SUM(W439:Y439)</f>
        <v>3</v>
      </c>
      <c r="AA439" s="1074"/>
      <c r="AB439" s="1063"/>
      <c r="AC439" s="1075"/>
      <c r="AD439" s="1091"/>
      <c r="AE439" s="1076"/>
      <c r="AF439" s="1296"/>
      <c r="AG439" s="1297"/>
      <c r="AH439" s="1298">
        <v>2500000</v>
      </c>
      <c r="AI439" s="1087">
        <f>AH439*P439*0.5</f>
        <v>3750000</v>
      </c>
      <c r="AJ439" s="1299"/>
      <c r="AK439" s="1300">
        <v>20100</v>
      </c>
      <c r="AL439" s="1090">
        <f t="shared" si="36"/>
        <v>60300</v>
      </c>
      <c r="AM439" s="1297"/>
      <c r="AN439" s="1297"/>
      <c r="AO439" s="1298"/>
      <c r="AP439" s="1301"/>
      <c r="AQ439" s="1298"/>
      <c r="AR439" s="1301"/>
      <c r="AS439" s="1301"/>
      <c r="AT439" s="1297"/>
      <c r="AU439" s="1299"/>
      <c r="AV439" s="1302"/>
    </row>
    <row r="440" spans="1:48" ht="16.5" customHeight="1">
      <c r="A440" s="1082"/>
      <c r="B440" s="1038"/>
      <c r="C440" s="1244"/>
      <c r="D440" s="1038"/>
      <c r="E440" s="1244"/>
      <c r="F440" s="1138"/>
      <c r="G440" s="1038"/>
      <c r="H440" s="1092"/>
      <c r="I440" s="1346"/>
      <c r="J440" s="1069"/>
      <c r="K440" s="1067"/>
      <c r="L440" s="1235"/>
      <c r="M440" s="1069"/>
      <c r="N440" s="1064" t="s">
        <v>8</v>
      </c>
      <c r="O440" s="1293" t="s">
        <v>11</v>
      </c>
      <c r="P440" s="1347">
        <v>3</v>
      </c>
      <c r="Q440" s="1213"/>
      <c r="R440" s="1074"/>
      <c r="S440" s="1074"/>
      <c r="T440" s="1075"/>
      <c r="U440" s="1184">
        <v>4</v>
      </c>
      <c r="V440" s="1073" t="s">
        <v>6</v>
      </c>
      <c r="W440" s="1140">
        <v>2</v>
      </c>
      <c r="X440" s="1141">
        <v>0</v>
      </c>
      <c r="Y440" s="1194">
        <v>0</v>
      </c>
      <c r="Z440" s="1143">
        <f>SUM(W440:Y440)</f>
        <v>2</v>
      </c>
      <c r="AA440" s="1074"/>
      <c r="AB440" s="1063"/>
      <c r="AC440" s="1075"/>
      <c r="AD440" s="1091"/>
      <c r="AE440" s="1076"/>
      <c r="AF440" s="1296"/>
      <c r="AG440" s="1297"/>
      <c r="AH440" s="1298">
        <v>2500000</v>
      </c>
      <c r="AI440" s="1087">
        <f>AH440*P440*0.75</f>
        <v>5625000</v>
      </c>
      <c r="AJ440" s="1299"/>
      <c r="AK440" s="1300">
        <v>10000</v>
      </c>
      <c r="AL440" s="1090">
        <f t="shared" si="36"/>
        <v>20000</v>
      </c>
      <c r="AM440" s="1297"/>
      <c r="AN440" s="1297"/>
      <c r="AO440" s="1298"/>
      <c r="AP440" s="1301"/>
      <c r="AQ440" s="1298"/>
      <c r="AR440" s="1301"/>
      <c r="AS440" s="1301"/>
      <c r="AT440" s="1297"/>
      <c r="AU440" s="1299"/>
      <c r="AV440" s="1302"/>
    </row>
    <row r="441" spans="1:48" ht="16.5" customHeight="1">
      <c r="A441" s="1082"/>
      <c r="B441" s="1038"/>
      <c r="C441" s="1244"/>
      <c r="D441" s="1038"/>
      <c r="E441" s="1244"/>
      <c r="F441" s="1138"/>
      <c r="G441" s="1038"/>
      <c r="H441" s="1092"/>
      <c r="I441" s="1346"/>
      <c r="J441" s="1069"/>
      <c r="K441" s="1067"/>
      <c r="L441" s="1235"/>
      <c r="M441" s="1069"/>
      <c r="N441" s="1064" t="s">
        <v>54</v>
      </c>
      <c r="O441" s="1293" t="s">
        <v>7</v>
      </c>
      <c r="P441" s="1347">
        <v>1</v>
      </c>
      <c r="Q441" s="1213">
        <v>38.5</v>
      </c>
      <c r="R441" s="1074"/>
      <c r="S441" s="1074"/>
      <c r="T441" s="1075"/>
      <c r="U441" s="1184"/>
      <c r="V441" s="1185"/>
      <c r="W441" s="1079"/>
      <c r="X441" s="1078"/>
      <c r="Y441" s="1039"/>
      <c r="Z441" s="1183"/>
      <c r="AA441" s="1074"/>
      <c r="AB441" s="1063"/>
      <c r="AC441" s="1075"/>
      <c r="AD441" s="1091"/>
      <c r="AE441" s="1076"/>
      <c r="AF441" s="1296"/>
      <c r="AG441" s="1297"/>
      <c r="AH441" s="1298">
        <v>300000</v>
      </c>
      <c r="AI441" s="1087">
        <f>AH441*Q441*0.5</f>
        <v>5775000</v>
      </c>
      <c r="AJ441" s="1299"/>
      <c r="AK441" s="1300"/>
      <c r="AL441" s="1090"/>
      <c r="AM441" s="1297"/>
      <c r="AN441" s="1297"/>
      <c r="AO441" s="1298"/>
      <c r="AP441" s="1301"/>
      <c r="AQ441" s="1298"/>
      <c r="AR441" s="1301"/>
      <c r="AS441" s="1301"/>
      <c r="AT441" s="1297"/>
      <c r="AU441" s="1299"/>
      <c r="AV441" s="1302"/>
    </row>
    <row r="442" spans="1:48" ht="16.5" customHeight="1">
      <c r="A442" s="1082"/>
      <c r="B442" s="1038"/>
      <c r="C442" s="1244"/>
      <c r="D442" s="1038"/>
      <c r="E442" s="1244"/>
      <c r="F442" s="1138"/>
      <c r="G442" s="1038"/>
      <c r="H442" s="1092"/>
      <c r="I442" s="1346"/>
      <c r="J442" s="1069"/>
      <c r="K442" s="1067"/>
      <c r="L442" s="1235"/>
      <c r="M442" s="1069"/>
      <c r="N442" s="1064" t="s">
        <v>53</v>
      </c>
      <c r="O442" s="1293" t="s">
        <v>120</v>
      </c>
      <c r="P442" s="1347">
        <v>1</v>
      </c>
      <c r="Q442" s="1213">
        <v>0.63</v>
      </c>
      <c r="R442" s="1074"/>
      <c r="S442" s="1074"/>
      <c r="T442" s="1075"/>
      <c r="U442" s="1184"/>
      <c r="V442" s="1185"/>
      <c r="W442" s="1079"/>
      <c r="X442" s="1078"/>
      <c r="Y442" s="1039"/>
      <c r="Z442" s="1183"/>
      <c r="AA442" s="1074"/>
      <c r="AB442" s="1063"/>
      <c r="AC442" s="1075"/>
      <c r="AD442" s="1091"/>
      <c r="AE442" s="1076"/>
      <c r="AF442" s="1296"/>
      <c r="AG442" s="1297"/>
      <c r="AH442" s="1298">
        <v>200000</v>
      </c>
      <c r="AI442" s="1087">
        <f>AH442*Q442*0.5</f>
        <v>63000</v>
      </c>
      <c r="AJ442" s="1299"/>
      <c r="AK442" s="1300"/>
      <c r="AL442" s="1090"/>
      <c r="AM442" s="1297"/>
      <c r="AN442" s="1297"/>
      <c r="AO442" s="1298"/>
      <c r="AP442" s="1301"/>
      <c r="AQ442" s="1298"/>
      <c r="AR442" s="1301"/>
      <c r="AS442" s="1301"/>
      <c r="AT442" s="1297"/>
      <c r="AU442" s="1299"/>
      <c r="AV442" s="1302"/>
    </row>
    <row r="443" spans="1:48" ht="16.5" customHeight="1">
      <c r="A443" s="1082"/>
      <c r="B443" s="1038"/>
      <c r="C443" s="1244"/>
      <c r="D443" s="1038"/>
      <c r="E443" s="1244"/>
      <c r="F443" s="1138"/>
      <c r="G443" s="1038"/>
      <c r="H443" s="1092"/>
      <c r="I443" s="1346"/>
      <c r="J443" s="1069"/>
      <c r="K443" s="1067"/>
      <c r="L443" s="1235"/>
      <c r="M443" s="1069"/>
      <c r="N443" s="1064" t="s">
        <v>51</v>
      </c>
      <c r="O443" s="1293" t="s">
        <v>121</v>
      </c>
      <c r="P443" s="1347">
        <v>1</v>
      </c>
      <c r="Q443" s="1213">
        <v>18.100000000000001</v>
      </c>
      <c r="R443" s="1074"/>
      <c r="S443" s="1074"/>
      <c r="T443" s="1075"/>
      <c r="U443" s="1184"/>
      <c r="V443" s="1185"/>
      <c r="W443" s="1079"/>
      <c r="X443" s="1078"/>
      <c r="Y443" s="1039"/>
      <c r="Z443" s="1183"/>
      <c r="AA443" s="1074"/>
      <c r="AB443" s="1063"/>
      <c r="AC443" s="1075"/>
      <c r="AD443" s="1091"/>
      <c r="AE443" s="1076"/>
      <c r="AF443" s="1296"/>
      <c r="AG443" s="1297"/>
      <c r="AH443" s="1298">
        <v>300000</v>
      </c>
      <c r="AI443" s="1087">
        <f>AH443*Q443*0.5</f>
        <v>2715000</v>
      </c>
      <c r="AJ443" s="1299"/>
      <c r="AK443" s="1300"/>
      <c r="AL443" s="1090"/>
      <c r="AM443" s="1297"/>
      <c r="AN443" s="1297"/>
      <c r="AO443" s="1298"/>
      <c r="AP443" s="1301"/>
      <c r="AQ443" s="1298"/>
      <c r="AR443" s="1301"/>
      <c r="AS443" s="1301"/>
      <c r="AT443" s="1297"/>
      <c r="AU443" s="1299"/>
      <c r="AV443" s="1302"/>
    </row>
    <row r="444" spans="1:48" ht="16.5" customHeight="1">
      <c r="A444" s="1082"/>
      <c r="B444" s="1038"/>
      <c r="C444" s="1244"/>
      <c r="D444" s="1038"/>
      <c r="E444" s="1244"/>
      <c r="F444" s="1138"/>
      <c r="G444" s="1038"/>
      <c r="H444" s="1092"/>
      <c r="I444" s="1346"/>
      <c r="J444" s="1069"/>
      <c r="K444" s="1067"/>
      <c r="L444" s="1235"/>
      <c r="M444" s="1069"/>
      <c r="N444" s="1064" t="s">
        <v>154</v>
      </c>
      <c r="O444" s="1293" t="s">
        <v>201</v>
      </c>
      <c r="P444" s="1347">
        <v>1</v>
      </c>
      <c r="Q444" s="1213">
        <v>7.3</v>
      </c>
      <c r="R444" s="1074"/>
      <c r="S444" s="1074"/>
      <c r="T444" s="1075"/>
      <c r="U444" s="1184"/>
      <c r="V444" s="1185"/>
      <c r="W444" s="1079"/>
      <c r="X444" s="1078"/>
      <c r="Y444" s="1039"/>
      <c r="Z444" s="1183"/>
      <c r="AA444" s="1074"/>
      <c r="AB444" s="1063"/>
      <c r="AC444" s="1075"/>
      <c r="AD444" s="1091"/>
      <c r="AE444" s="1076"/>
      <c r="AF444" s="1296"/>
      <c r="AG444" s="1297"/>
      <c r="AH444" s="1298">
        <v>125000</v>
      </c>
      <c r="AI444" s="1087">
        <f>AH444*Q444*0.5</f>
        <v>456250</v>
      </c>
      <c r="AJ444" s="1299"/>
      <c r="AK444" s="1300"/>
      <c r="AL444" s="1090"/>
      <c r="AM444" s="1297"/>
      <c r="AN444" s="1297"/>
      <c r="AO444" s="1298"/>
      <c r="AP444" s="1301"/>
      <c r="AQ444" s="1298"/>
      <c r="AR444" s="1301"/>
      <c r="AS444" s="1301"/>
      <c r="AT444" s="1297"/>
      <c r="AU444" s="1299"/>
      <c r="AV444" s="1302"/>
    </row>
    <row r="445" spans="1:48" ht="16.5" customHeight="1">
      <c r="A445" s="1082"/>
      <c r="B445" s="1038"/>
      <c r="C445" s="1244"/>
      <c r="D445" s="1038"/>
      <c r="E445" s="1244"/>
      <c r="F445" s="1138"/>
      <c r="G445" s="1038"/>
      <c r="H445" s="1092"/>
      <c r="I445" s="1346"/>
      <c r="J445" s="1069"/>
      <c r="K445" s="1067"/>
      <c r="L445" s="1235"/>
      <c r="M445" s="1069"/>
      <c r="N445" s="1064" t="s">
        <v>172</v>
      </c>
      <c r="O445" s="1293" t="s">
        <v>70</v>
      </c>
      <c r="P445" s="1347">
        <v>1</v>
      </c>
      <c r="Q445" s="1213">
        <v>3.2</v>
      </c>
      <c r="R445" s="1074"/>
      <c r="S445" s="1074"/>
      <c r="T445" s="1075"/>
      <c r="U445" s="1184"/>
      <c r="V445" s="1185"/>
      <c r="W445" s="1079"/>
      <c r="X445" s="1078"/>
      <c r="Y445" s="1039"/>
      <c r="Z445" s="1183"/>
      <c r="AA445" s="1074"/>
      <c r="AB445" s="1063"/>
      <c r="AC445" s="1075"/>
      <c r="AD445" s="1091"/>
      <c r="AE445" s="1076"/>
      <c r="AF445" s="1296"/>
      <c r="AG445" s="1297"/>
      <c r="AH445" s="1298">
        <v>100000</v>
      </c>
      <c r="AI445" s="1087">
        <f>AH445*Q445*0.5</f>
        <v>160000</v>
      </c>
      <c r="AJ445" s="1299"/>
      <c r="AK445" s="1300"/>
      <c r="AL445" s="1090"/>
      <c r="AM445" s="1297"/>
      <c r="AN445" s="1297"/>
      <c r="AO445" s="1298"/>
      <c r="AP445" s="1301"/>
      <c r="AQ445" s="1298"/>
      <c r="AR445" s="1301"/>
      <c r="AS445" s="1301"/>
      <c r="AT445" s="1297"/>
      <c r="AU445" s="1299"/>
      <c r="AV445" s="1302"/>
    </row>
    <row r="446" spans="1:48" ht="16.5" customHeight="1">
      <c r="A446" s="1082"/>
      <c r="B446" s="1038"/>
      <c r="C446" s="1244"/>
      <c r="D446" s="1038"/>
      <c r="E446" s="1244"/>
      <c r="F446" s="1138"/>
      <c r="G446" s="1038"/>
      <c r="H446" s="1092"/>
      <c r="I446" s="1346"/>
      <c r="J446" s="1069"/>
      <c r="K446" s="1067"/>
      <c r="L446" s="1235"/>
      <c r="M446" s="1069"/>
      <c r="N446" s="1064"/>
      <c r="O446" s="1293"/>
      <c r="P446" s="1347"/>
      <c r="Q446" s="1213"/>
      <c r="R446" s="1074"/>
      <c r="S446" s="1074"/>
      <c r="T446" s="1075"/>
      <c r="U446" s="1184"/>
      <c r="V446" s="1185"/>
      <c r="W446" s="1079"/>
      <c r="X446" s="1078"/>
      <c r="Y446" s="1039"/>
      <c r="Z446" s="1183"/>
      <c r="AA446" s="1074"/>
      <c r="AB446" s="1063"/>
      <c r="AC446" s="1075"/>
      <c r="AD446" s="1091"/>
      <c r="AE446" s="1076"/>
      <c r="AF446" s="1296"/>
      <c r="AG446" s="1297"/>
      <c r="AH446" s="1298"/>
      <c r="AI446" s="1298"/>
      <c r="AJ446" s="1299"/>
      <c r="AK446" s="1300"/>
      <c r="AL446" s="1090"/>
      <c r="AM446" s="1297"/>
      <c r="AN446" s="1297"/>
      <c r="AO446" s="1298"/>
      <c r="AP446" s="1301"/>
      <c r="AQ446" s="1298"/>
      <c r="AR446" s="1301"/>
      <c r="AS446" s="1301"/>
      <c r="AT446" s="1297"/>
      <c r="AU446" s="1299"/>
      <c r="AV446" s="1302"/>
    </row>
    <row r="447" spans="1:48" ht="33" customHeight="1">
      <c r="A447" s="1082"/>
      <c r="B447" s="1038"/>
      <c r="C447" s="1244"/>
      <c r="D447" s="1038"/>
      <c r="E447" s="1244"/>
      <c r="F447" s="1138"/>
      <c r="G447" s="1038"/>
      <c r="H447" s="1092"/>
      <c r="I447" s="1346"/>
      <c r="J447" s="1069"/>
      <c r="K447" s="1067"/>
      <c r="L447" s="1235"/>
      <c r="M447" s="1069"/>
      <c r="N447" s="1064"/>
      <c r="O447" s="1293" t="s">
        <v>200</v>
      </c>
      <c r="P447" s="1347"/>
      <c r="Q447" s="1213"/>
      <c r="R447" s="1074"/>
      <c r="S447" s="1074"/>
      <c r="T447" s="1075"/>
      <c r="U447" s="1184"/>
      <c r="V447" s="1185"/>
      <c r="W447" s="1079"/>
      <c r="X447" s="1078"/>
      <c r="Y447" s="1039"/>
      <c r="Z447" s="1183"/>
      <c r="AA447" s="1074"/>
      <c r="AB447" s="1063"/>
      <c r="AC447" s="1075"/>
      <c r="AD447" s="1091"/>
      <c r="AE447" s="1076"/>
      <c r="AF447" s="1296"/>
      <c r="AG447" s="1297"/>
      <c r="AH447" s="1087"/>
      <c r="AI447" s="1298"/>
      <c r="AJ447" s="1299"/>
      <c r="AK447" s="1300"/>
      <c r="AL447" s="1090"/>
      <c r="AM447" s="1297"/>
      <c r="AN447" s="1297"/>
      <c r="AO447" s="1298"/>
      <c r="AP447" s="1301"/>
      <c r="AQ447" s="1298"/>
      <c r="AR447" s="1301"/>
      <c r="AS447" s="1301"/>
      <c r="AT447" s="1297"/>
      <c r="AU447" s="1299"/>
      <c r="AV447" s="1302"/>
    </row>
    <row r="448" spans="1:48" ht="16.5" customHeight="1">
      <c r="A448" s="1082"/>
      <c r="B448" s="1038"/>
      <c r="C448" s="1244"/>
      <c r="D448" s="1038"/>
      <c r="E448" s="1244"/>
      <c r="F448" s="1138"/>
      <c r="G448" s="1038"/>
      <c r="H448" s="1092"/>
      <c r="I448" s="1346"/>
      <c r="J448" s="1069"/>
      <c r="K448" s="1067"/>
      <c r="L448" s="1235"/>
      <c r="M448" s="1069"/>
      <c r="N448" s="1064" t="s">
        <v>25</v>
      </c>
      <c r="O448" s="1293" t="s">
        <v>26</v>
      </c>
      <c r="P448" s="1347">
        <v>1</v>
      </c>
      <c r="Q448" s="1213">
        <v>198</v>
      </c>
      <c r="R448" s="1074"/>
      <c r="S448" s="1074"/>
      <c r="T448" s="1075"/>
      <c r="U448" s="1184"/>
      <c r="V448" s="1185"/>
      <c r="W448" s="1079"/>
      <c r="X448" s="1078"/>
      <c r="Y448" s="1039"/>
      <c r="Z448" s="1183"/>
      <c r="AA448" s="1074"/>
      <c r="AB448" s="1063"/>
      <c r="AC448" s="1075"/>
      <c r="AD448" s="1091"/>
      <c r="AE448" s="1076"/>
      <c r="AF448" s="1296"/>
      <c r="AG448" s="1297"/>
      <c r="AH448" s="1087">
        <v>2530000</v>
      </c>
      <c r="AI448" s="1087">
        <f>AH448*Q448*0.75</f>
        <v>375705000</v>
      </c>
      <c r="AJ448" s="1299"/>
      <c r="AK448" s="1300"/>
      <c r="AL448" s="1090"/>
      <c r="AM448" s="1297"/>
      <c r="AN448" s="1297"/>
      <c r="AO448" s="1298"/>
      <c r="AP448" s="1301"/>
      <c r="AQ448" s="1298"/>
      <c r="AR448" s="1301"/>
      <c r="AS448" s="1301"/>
      <c r="AT448" s="1297"/>
      <c r="AU448" s="1299"/>
      <c r="AV448" s="1302"/>
    </row>
    <row r="449" spans="1:48" ht="16.5" customHeight="1">
      <c r="A449" s="1082"/>
      <c r="B449" s="1038"/>
      <c r="C449" s="1244"/>
      <c r="D449" s="1038"/>
      <c r="E449" s="1244"/>
      <c r="F449" s="1138"/>
      <c r="G449" s="1038"/>
      <c r="H449" s="1092"/>
      <c r="I449" s="1346"/>
      <c r="J449" s="1069"/>
      <c r="K449" s="1067"/>
      <c r="L449" s="1235"/>
      <c r="M449" s="1069"/>
      <c r="N449" s="1064" t="s">
        <v>16</v>
      </c>
      <c r="O449" s="1293" t="s">
        <v>52</v>
      </c>
      <c r="P449" s="1347">
        <v>1</v>
      </c>
      <c r="Q449" s="1213">
        <v>32.9</v>
      </c>
      <c r="R449" s="1074"/>
      <c r="S449" s="1074"/>
      <c r="T449" s="1075"/>
      <c r="U449" s="1184"/>
      <c r="V449" s="1185"/>
      <c r="W449" s="1079"/>
      <c r="X449" s="1078"/>
      <c r="Y449" s="1039"/>
      <c r="Z449" s="1183"/>
      <c r="AA449" s="1074"/>
      <c r="AB449" s="1063"/>
      <c r="AC449" s="1075"/>
      <c r="AD449" s="1091"/>
      <c r="AE449" s="1076"/>
      <c r="AF449" s="1296"/>
      <c r="AG449" s="1297"/>
      <c r="AH449" s="1087">
        <v>210000</v>
      </c>
      <c r="AI449" s="1087">
        <f>AH449*Q449*0.75</f>
        <v>5181750</v>
      </c>
      <c r="AJ449" s="1299"/>
      <c r="AK449" s="1300"/>
      <c r="AL449" s="1090"/>
      <c r="AM449" s="1297"/>
      <c r="AN449" s="1297"/>
      <c r="AO449" s="1298"/>
      <c r="AP449" s="1301"/>
      <c r="AQ449" s="1298"/>
      <c r="AR449" s="1301"/>
      <c r="AS449" s="1301"/>
      <c r="AT449" s="1297"/>
      <c r="AU449" s="1299"/>
      <c r="AV449" s="1302"/>
    </row>
    <row r="450" spans="1:48" ht="16.5" customHeight="1">
      <c r="A450" s="1082"/>
      <c r="B450" s="1038"/>
      <c r="C450" s="1244"/>
      <c r="D450" s="1038"/>
      <c r="E450" s="1244"/>
      <c r="F450" s="1138"/>
      <c r="G450" s="1038"/>
      <c r="H450" s="1092"/>
      <c r="I450" s="1346"/>
      <c r="J450" s="1069"/>
      <c r="K450" s="1067"/>
      <c r="L450" s="1235"/>
      <c r="M450" s="1069"/>
      <c r="N450" s="1064" t="s">
        <v>18</v>
      </c>
      <c r="O450" s="1293" t="s">
        <v>21</v>
      </c>
      <c r="P450" s="1347">
        <v>1</v>
      </c>
      <c r="Q450" s="1213">
        <v>18</v>
      </c>
      <c r="R450" s="1074"/>
      <c r="S450" s="1074"/>
      <c r="T450" s="1075"/>
      <c r="U450" s="1184"/>
      <c r="V450" s="1185"/>
      <c r="W450" s="1079"/>
      <c r="X450" s="1078"/>
      <c r="Y450" s="1039"/>
      <c r="Z450" s="1183"/>
      <c r="AA450" s="1074"/>
      <c r="AB450" s="1063"/>
      <c r="AC450" s="1075"/>
      <c r="AD450" s="1091"/>
      <c r="AE450" s="1076"/>
      <c r="AF450" s="1296"/>
      <c r="AG450" s="1297"/>
      <c r="AH450" s="1298">
        <v>250000</v>
      </c>
      <c r="AI450" s="1087">
        <f>AH450*Q450*0.75</f>
        <v>3375000</v>
      </c>
      <c r="AJ450" s="1299"/>
      <c r="AK450" s="1300"/>
      <c r="AL450" s="1090"/>
      <c r="AM450" s="1297"/>
      <c r="AN450" s="1297"/>
      <c r="AO450" s="1298"/>
      <c r="AP450" s="1301"/>
      <c r="AQ450" s="1298"/>
      <c r="AR450" s="1301"/>
      <c r="AS450" s="1301"/>
      <c r="AT450" s="1297"/>
      <c r="AU450" s="1299"/>
      <c r="AV450" s="1302"/>
    </row>
    <row r="451" spans="1:48" ht="16.5" customHeight="1">
      <c r="A451" s="1082"/>
      <c r="B451" s="1038"/>
      <c r="C451" s="1244"/>
      <c r="D451" s="1038"/>
      <c r="E451" s="1244"/>
      <c r="F451" s="1138"/>
      <c r="G451" s="1038"/>
      <c r="H451" s="1092"/>
      <c r="I451" s="1346"/>
      <c r="J451" s="1069"/>
      <c r="K451" s="1067"/>
      <c r="L451" s="1235"/>
      <c r="M451" s="1069"/>
      <c r="N451" s="1064" t="s">
        <v>12</v>
      </c>
      <c r="O451" s="1293" t="s">
        <v>17</v>
      </c>
      <c r="P451" s="1347">
        <v>2</v>
      </c>
      <c r="Q451" s="1213"/>
      <c r="R451" s="1074"/>
      <c r="S451" s="1074"/>
      <c r="T451" s="1075"/>
      <c r="U451" s="1184"/>
      <c r="V451" s="1185"/>
      <c r="W451" s="1079"/>
      <c r="X451" s="1078"/>
      <c r="Y451" s="1039"/>
      <c r="Z451" s="1183"/>
      <c r="AA451" s="1074"/>
      <c r="AB451" s="1063"/>
      <c r="AC451" s="1075"/>
      <c r="AD451" s="1091"/>
      <c r="AE451" s="1076"/>
      <c r="AF451" s="1296"/>
      <c r="AG451" s="1297"/>
      <c r="AH451" s="1298">
        <v>250000</v>
      </c>
      <c r="AI451" s="1087">
        <f>AH451*P451*0.5</f>
        <v>250000</v>
      </c>
      <c r="AJ451" s="1299"/>
      <c r="AK451" s="1300"/>
      <c r="AL451" s="1090"/>
      <c r="AM451" s="1297"/>
      <c r="AN451" s="1297"/>
      <c r="AO451" s="1298"/>
      <c r="AP451" s="1301"/>
      <c r="AQ451" s="1298"/>
      <c r="AR451" s="1301"/>
      <c r="AS451" s="1301"/>
      <c r="AT451" s="1297"/>
      <c r="AU451" s="1299"/>
      <c r="AV451" s="1302"/>
    </row>
    <row r="452" spans="1:48" ht="16.5" customHeight="1">
      <c r="A452" s="1082"/>
      <c r="B452" s="1038"/>
      <c r="C452" s="1244"/>
      <c r="D452" s="1038"/>
      <c r="E452" s="1244"/>
      <c r="F452" s="1138"/>
      <c r="G452" s="1038"/>
      <c r="H452" s="1092"/>
      <c r="I452" s="1346"/>
      <c r="J452" s="1069"/>
      <c r="K452" s="1067"/>
      <c r="L452" s="1235"/>
      <c r="M452" s="1069"/>
      <c r="N452" s="1064" t="s">
        <v>8</v>
      </c>
      <c r="O452" s="1293" t="s">
        <v>11</v>
      </c>
      <c r="P452" s="1347">
        <v>2</v>
      </c>
      <c r="Q452" s="1213"/>
      <c r="R452" s="1074"/>
      <c r="S452" s="1074"/>
      <c r="T452" s="1075"/>
      <c r="U452" s="1184"/>
      <c r="V452" s="1185"/>
      <c r="W452" s="1079"/>
      <c r="X452" s="1078"/>
      <c r="Y452" s="1039"/>
      <c r="Z452" s="1183"/>
      <c r="AA452" s="1074"/>
      <c r="AB452" s="1063"/>
      <c r="AC452" s="1075"/>
      <c r="AD452" s="1091"/>
      <c r="AE452" s="1076"/>
      <c r="AF452" s="1296"/>
      <c r="AG452" s="1297"/>
      <c r="AH452" s="1298">
        <v>2500000</v>
      </c>
      <c r="AI452" s="1087">
        <f>AH452*P452*0.75</f>
        <v>3750000</v>
      </c>
      <c r="AJ452" s="1299"/>
      <c r="AK452" s="1300"/>
      <c r="AL452" s="1090"/>
      <c r="AM452" s="1297"/>
      <c r="AN452" s="1297"/>
      <c r="AO452" s="1298"/>
      <c r="AP452" s="1301"/>
      <c r="AQ452" s="1298"/>
      <c r="AR452" s="1301"/>
      <c r="AS452" s="1301"/>
      <c r="AT452" s="1297"/>
      <c r="AU452" s="1299"/>
      <c r="AV452" s="1302"/>
    </row>
    <row r="453" spans="1:48" ht="16.5" customHeight="1">
      <c r="A453" s="1082"/>
      <c r="B453" s="1038"/>
      <c r="C453" s="1244"/>
      <c r="D453" s="1038"/>
      <c r="E453" s="1244"/>
      <c r="F453" s="1138"/>
      <c r="G453" s="1038"/>
      <c r="H453" s="1092"/>
      <c r="I453" s="1346"/>
      <c r="J453" s="1069"/>
      <c r="K453" s="1067"/>
      <c r="L453" s="1235"/>
      <c r="M453" s="1069"/>
      <c r="N453" s="1064" t="s">
        <v>54</v>
      </c>
      <c r="O453" s="1293" t="s">
        <v>121</v>
      </c>
      <c r="P453" s="1347">
        <v>1</v>
      </c>
      <c r="Q453" s="1213">
        <v>112.8</v>
      </c>
      <c r="R453" s="1074"/>
      <c r="S453" s="1074"/>
      <c r="T453" s="1075"/>
      <c r="U453" s="1184"/>
      <c r="V453" s="1185"/>
      <c r="W453" s="1079"/>
      <c r="X453" s="1078"/>
      <c r="Y453" s="1039"/>
      <c r="Z453" s="1183"/>
      <c r="AA453" s="1074"/>
      <c r="AB453" s="1063"/>
      <c r="AC453" s="1075"/>
      <c r="AD453" s="1091"/>
      <c r="AE453" s="1076"/>
      <c r="AF453" s="1296"/>
      <c r="AG453" s="1297"/>
      <c r="AH453" s="1298">
        <v>300000</v>
      </c>
      <c r="AI453" s="1087">
        <f>AH453*Q453*0.5</f>
        <v>16920000</v>
      </c>
      <c r="AJ453" s="1299"/>
      <c r="AK453" s="1300"/>
      <c r="AL453" s="1090"/>
      <c r="AM453" s="1297"/>
      <c r="AN453" s="1297"/>
      <c r="AO453" s="1298"/>
      <c r="AP453" s="1301"/>
      <c r="AQ453" s="1298"/>
      <c r="AR453" s="1301"/>
      <c r="AS453" s="1301"/>
      <c r="AT453" s="1297"/>
      <c r="AU453" s="1299"/>
      <c r="AV453" s="1302"/>
    </row>
    <row r="454" spans="1:48" ht="16.5" customHeight="1">
      <c r="A454" s="1082"/>
      <c r="B454" s="1038"/>
      <c r="C454" s="1244"/>
      <c r="D454" s="1038"/>
      <c r="E454" s="1244"/>
      <c r="F454" s="1138"/>
      <c r="G454" s="1038"/>
      <c r="H454" s="1092"/>
      <c r="I454" s="1346"/>
      <c r="J454" s="1069"/>
      <c r="K454" s="1067"/>
      <c r="L454" s="1235"/>
      <c r="M454" s="1069"/>
      <c r="N454" s="1064" t="s">
        <v>53</v>
      </c>
      <c r="O454" s="1293" t="s">
        <v>120</v>
      </c>
      <c r="P454" s="1347">
        <v>1</v>
      </c>
      <c r="Q454" s="1213">
        <v>0.42</v>
      </c>
      <c r="R454" s="1074"/>
      <c r="S454" s="1074"/>
      <c r="T454" s="1075"/>
      <c r="U454" s="1184"/>
      <c r="V454" s="1185"/>
      <c r="W454" s="1079"/>
      <c r="X454" s="1078"/>
      <c r="Y454" s="1039"/>
      <c r="Z454" s="1183"/>
      <c r="AA454" s="1074"/>
      <c r="AB454" s="1063"/>
      <c r="AC454" s="1075"/>
      <c r="AD454" s="1091"/>
      <c r="AE454" s="1076"/>
      <c r="AF454" s="1296"/>
      <c r="AG454" s="1297"/>
      <c r="AH454" s="1298">
        <v>200000</v>
      </c>
      <c r="AI454" s="1087">
        <f>AH454*Q454*0.5</f>
        <v>42000</v>
      </c>
      <c r="AJ454" s="1299"/>
      <c r="AK454" s="1300"/>
      <c r="AL454" s="1090"/>
      <c r="AM454" s="1297"/>
      <c r="AN454" s="1297"/>
      <c r="AO454" s="1298"/>
      <c r="AP454" s="1301"/>
      <c r="AQ454" s="1298"/>
      <c r="AR454" s="1301"/>
      <c r="AS454" s="1301"/>
      <c r="AT454" s="1297"/>
      <c r="AU454" s="1299"/>
      <c r="AV454" s="1302"/>
    </row>
    <row r="455" spans="1:48" ht="16.5" customHeight="1">
      <c r="A455" s="1082"/>
      <c r="B455" s="1038"/>
      <c r="C455" s="1244"/>
      <c r="D455" s="1038"/>
      <c r="E455" s="1244"/>
      <c r="F455" s="1138"/>
      <c r="G455" s="1038"/>
      <c r="H455" s="1092"/>
      <c r="I455" s="1346"/>
      <c r="J455" s="1069"/>
      <c r="K455" s="1067"/>
      <c r="L455" s="1235"/>
      <c r="M455" s="1069"/>
      <c r="N455" s="1064" t="s">
        <v>51</v>
      </c>
      <c r="O455" s="1293" t="s">
        <v>199</v>
      </c>
      <c r="P455" s="1347">
        <v>1</v>
      </c>
      <c r="Q455" s="1213">
        <v>51.8</v>
      </c>
      <c r="R455" s="1074"/>
      <c r="S455" s="1074"/>
      <c r="T455" s="1075"/>
      <c r="U455" s="1184"/>
      <c r="V455" s="1185"/>
      <c r="W455" s="1079"/>
      <c r="X455" s="1078"/>
      <c r="Y455" s="1039"/>
      <c r="Z455" s="1183"/>
      <c r="AA455" s="1074"/>
      <c r="AB455" s="1063"/>
      <c r="AC455" s="1075"/>
      <c r="AD455" s="1091"/>
      <c r="AE455" s="1076"/>
      <c r="AF455" s="1296"/>
      <c r="AG455" s="1297"/>
      <c r="AH455" s="1298">
        <v>125000</v>
      </c>
      <c r="AI455" s="1087">
        <f>AH455*Q455*0.5</f>
        <v>3237500</v>
      </c>
      <c r="AJ455" s="1299"/>
      <c r="AK455" s="1300"/>
      <c r="AL455" s="1090"/>
      <c r="AM455" s="1297"/>
      <c r="AN455" s="1297"/>
      <c r="AO455" s="1298"/>
      <c r="AP455" s="1301"/>
      <c r="AQ455" s="1298"/>
      <c r="AR455" s="1301"/>
      <c r="AS455" s="1301"/>
      <c r="AT455" s="1297"/>
      <c r="AU455" s="1299"/>
      <c r="AV455" s="1302"/>
    </row>
    <row r="456" spans="1:48" ht="33" customHeight="1">
      <c r="A456" s="1082"/>
      <c r="B456" s="1038"/>
      <c r="C456" s="1244"/>
      <c r="D456" s="1038"/>
      <c r="E456" s="1244"/>
      <c r="F456" s="1138"/>
      <c r="G456" s="1038"/>
      <c r="H456" s="1092"/>
      <c r="I456" s="1346"/>
      <c r="J456" s="1069"/>
      <c r="K456" s="1067"/>
      <c r="L456" s="1235"/>
      <c r="M456" s="1069"/>
      <c r="N456" s="1064" t="s">
        <v>154</v>
      </c>
      <c r="O456" s="1293" t="s">
        <v>198</v>
      </c>
      <c r="P456" s="1347">
        <v>1</v>
      </c>
      <c r="Q456" s="1213">
        <v>6</v>
      </c>
      <c r="R456" s="1074"/>
      <c r="S456" s="1074"/>
      <c r="T456" s="1075"/>
      <c r="U456" s="1184"/>
      <c r="V456" s="1185"/>
      <c r="W456" s="1079"/>
      <c r="X456" s="1078"/>
      <c r="Y456" s="1039"/>
      <c r="Z456" s="1183"/>
      <c r="AA456" s="1074"/>
      <c r="AB456" s="1063"/>
      <c r="AC456" s="1075"/>
      <c r="AD456" s="1091"/>
      <c r="AE456" s="1076"/>
      <c r="AF456" s="1296"/>
      <c r="AG456" s="1297"/>
      <c r="AH456" s="1298">
        <v>250000</v>
      </c>
      <c r="AI456" s="1087">
        <f>AH456*Q456*0.5</f>
        <v>750000</v>
      </c>
      <c r="AJ456" s="1299"/>
      <c r="AK456" s="1300"/>
      <c r="AL456" s="1090"/>
      <c r="AM456" s="1297"/>
      <c r="AN456" s="1297"/>
      <c r="AO456" s="1298"/>
      <c r="AP456" s="1301"/>
      <c r="AQ456" s="1298"/>
      <c r="AR456" s="1301"/>
      <c r="AS456" s="1301"/>
      <c r="AT456" s="1297"/>
      <c r="AU456" s="1299"/>
      <c r="AV456" s="1302"/>
    </row>
    <row r="457" spans="1:48" ht="33" customHeight="1">
      <c r="A457" s="1082"/>
      <c r="B457" s="1038"/>
      <c r="C457" s="1244"/>
      <c r="D457" s="1038"/>
      <c r="E457" s="1244"/>
      <c r="F457" s="1138"/>
      <c r="G457" s="1038"/>
      <c r="H457" s="1092"/>
      <c r="I457" s="1346"/>
      <c r="J457" s="1069"/>
      <c r="K457" s="1067"/>
      <c r="L457" s="1235"/>
      <c r="M457" s="1069"/>
      <c r="N457" s="1064" t="s">
        <v>172</v>
      </c>
      <c r="O457" s="1293" t="s">
        <v>197</v>
      </c>
      <c r="P457" s="1347">
        <v>1</v>
      </c>
      <c r="Q457" s="1213">
        <v>2</v>
      </c>
      <c r="R457" s="1074"/>
      <c r="S457" s="1074"/>
      <c r="T457" s="1075"/>
      <c r="U457" s="1184"/>
      <c r="V457" s="1185"/>
      <c r="W457" s="1079"/>
      <c r="X457" s="1078"/>
      <c r="Y457" s="1039"/>
      <c r="Z457" s="1183"/>
      <c r="AA457" s="1074"/>
      <c r="AB457" s="1063"/>
      <c r="AC457" s="1075"/>
      <c r="AD457" s="1091"/>
      <c r="AE457" s="1076"/>
      <c r="AF457" s="1296"/>
      <c r="AG457" s="1297"/>
      <c r="AH457" s="1298">
        <v>250000</v>
      </c>
      <c r="AI457" s="1087">
        <f>AH457*Q457*0.5</f>
        <v>250000</v>
      </c>
      <c r="AJ457" s="1299"/>
      <c r="AK457" s="1300"/>
      <c r="AL457" s="1090"/>
      <c r="AM457" s="1297"/>
      <c r="AN457" s="1297"/>
      <c r="AO457" s="1298"/>
      <c r="AP457" s="1301"/>
      <c r="AQ457" s="1298"/>
      <c r="AR457" s="1301"/>
      <c r="AS457" s="1301"/>
      <c r="AT457" s="1297"/>
      <c r="AU457" s="1299"/>
      <c r="AV457" s="1302"/>
    </row>
    <row r="458" spans="1:48" ht="16.5" customHeight="1">
      <c r="A458" s="1098"/>
      <c r="B458" s="1095"/>
      <c r="C458" s="1186"/>
      <c r="D458" s="1095"/>
      <c r="E458" s="1186"/>
      <c r="F458" s="1150"/>
      <c r="G458" s="1095"/>
      <c r="H458" s="1099"/>
      <c r="I458" s="1349"/>
      <c r="J458" s="1103"/>
      <c r="K458" s="1101"/>
      <c r="L458" s="1287"/>
      <c r="M458" s="1103"/>
      <c r="N458" s="1095"/>
      <c r="O458" s="1105"/>
      <c r="P458" s="1151"/>
      <c r="Q458" s="1107"/>
      <c r="R458" s="1094"/>
      <c r="S458" s="1094"/>
      <c r="T458" s="1168"/>
      <c r="U458" s="1188"/>
      <c r="V458" s="1189"/>
      <c r="W458" s="1111"/>
      <c r="X458" s="1110"/>
      <c r="Y458" s="1096"/>
      <c r="Z458" s="1166"/>
      <c r="AA458" s="1094"/>
      <c r="AB458" s="1167"/>
      <c r="AC458" s="1168"/>
      <c r="AD458" s="1109"/>
      <c r="AE458" s="1108"/>
      <c r="AF458" s="1305"/>
      <c r="AG458" s="1306"/>
      <c r="AH458" s="1307"/>
      <c r="AI458" s="1307"/>
      <c r="AJ458" s="1308"/>
      <c r="AK458" s="1309"/>
      <c r="AL458" s="1120"/>
      <c r="AM458" s="1306"/>
      <c r="AN458" s="1306"/>
      <c r="AO458" s="1307"/>
      <c r="AP458" s="1310"/>
      <c r="AQ458" s="1307"/>
      <c r="AR458" s="1310"/>
      <c r="AS458" s="1310"/>
      <c r="AT458" s="1306"/>
      <c r="AU458" s="1308"/>
      <c r="AV458" s="1311"/>
    </row>
    <row r="459" spans="1:48" ht="16.5" customHeight="1">
      <c r="A459" s="1269">
        <v>33</v>
      </c>
      <c r="B459" s="1033" t="s">
        <v>25</v>
      </c>
      <c r="C459" s="1036" t="s">
        <v>196</v>
      </c>
      <c r="D459" s="1033"/>
      <c r="E459" s="1036"/>
      <c r="F459" s="1171" t="s">
        <v>195</v>
      </c>
      <c r="G459" s="1272" t="s">
        <v>25</v>
      </c>
      <c r="H459" s="1273" t="s">
        <v>29</v>
      </c>
      <c r="I459" s="1343">
        <v>584</v>
      </c>
      <c r="J459" s="1043" t="s">
        <v>41</v>
      </c>
      <c r="K459" s="1330" t="s">
        <v>194</v>
      </c>
      <c r="L459" s="1129" t="s">
        <v>46</v>
      </c>
      <c r="M459" s="1331"/>
      <c r="N459" s="1033" t="s">
        <v>150</v>
      </c>
      <c r="O459" s="1190" t="s">
        <v>26</v>
      </c>
      <c r="P459" s="1344">
        <v>1</v>
      </c>
      <c r="Q459" s="1212">
        <v>61.58</v>
      </c>
      <c r="R459" s="1170"/>
      <c r="S459" s="1034"/>
      <c r="T459" s="1048"/>
      <c r="U459" s="1180"/>
      <c r="V459" s="1047"/>
      <c r="W459" s="1052"/>
      <c r="X459" s="1051"/>
      <c r="Y459" s="1036"/>
      <c r="Z459" s="1312"/>
      <c r="AA459" s="1170"/>
      <c r="AB459" s="1173"/>
      <c r="AC459" s="1047"/>
      <c r="AD459" s="1055"/>
      <c r="AE459" s="1032"/>
      <c r="AF459" s="1333">
        <f>Resum!F1</f>
        <v>356000</v>
      </c>
      <c r="AG459" s="1086">
        <f>AF459*I459</f>
        <v>207904000</v>
      </c>
      <c r="AH459" s="1334">
        <v>2200000</v>
      </c>
      <c r="AI459" s="1087">
        <f>AH459*Q459*0.75</f>
        <v>101607000</v>
      </c>
      <c r="AJ459" s="1335">
        <f>SUM(AI459:AI470)</f>
        <v>153433130</v>
      </c>
      <c r="AK459" s="1336"/>
      <c r="AL459" s="1090"/>
      <c r="AM459" s="1337"/>
      <c r="AN459" s="1086">
        <f>AM459+AJ459+AG459</f>
        <v>361337130</v>
      </c>
      <c r="AO459" s="1334"/>
      <c r="AP459" s="1136">
        <f>(AG459+69420000)*15%</f>
        <v>41598600</v>
      </c>
      <c r="AQ459" s="1087">
        <f>(AG459+AI459)*1%</f>
        <v>3095110</v>
      </c>
      <c r="AR459" s="1136">
        <f>(AG459+AI459)*5%</f>
        <v>15475550</v>
      </c>
      <c r="AS459" s="1087">
        <f>0.5%*(AG459+AI459)*(3)</f>
        <v>4642665</v>
      </c>
      <c r="AT459" s="1086">
        <f>+AS459+AR459+AQ459+AP459+AO459</f>
        <v>64811925</v>
      </c>
      <c r="AU459" s="1137">
        <f>ROUND(AT459+AN459,-3)</f>
        <v>426149000</v>
      </c>
      <c r="AV459" s="1041"/>
    </row>
    <row r="460" spans="1:48" ht="33" customHeight="1">
      <c r="A460" s="1082"/>
      <c r="B460" s="1038" t="s">
        <v>16</v>
      </c>
      <c r="C460" s="1071" t="s">
        <v>193</v>
      </c>
      <c r="D460" s="1038"/>
      <c r="E460" s="1071"/>
      <c r="F460" s="1138"/>
      <c r="G460" s="1038" t="s">
        <v>16</v>
      </c>
      <c r="H460" s="1039" t="s">
        <v>22</v>
      </c>
      <c r="I460" s="1346"/>
      <c r="J460" s="1069"/>
      <c r="K460" s="1339"/>
      <c r="L460" s="1139"/>
      <c r="M460" s="1128"/>
      <c r="N460" s="1038" t="s">
        <v>16</v>
      </c>
      <c r="O460" s="1293" t="s">
        <v>192</v>
      </c>
      <c r="P460" s="1347">
        <v>1</v>
      </c>
      <c r="Q460" s="1213">
        <v>10.88</v>
      </c>
      <c r="R460" s="1074"/>
      <c r="S460" s="1074"/>
      <c r="T460" s="1144"/>
      <c r="U460" s="1184"/>
      <c r="V460" s="1146"/>
      <c r="W460" s="1314"/>
      <c r="X460" s="1315"/>
      <c r="Y460" s="1316"/>
      <c r="Z460" s="1183"/>
      <c r="AA460" s="1074"/>
      <c r="AB460" s="1126"/>
      <c r="AC460" s="1073"/>
      <c r="AD460" s="1084"/>
      <c r="AE460" s="1062"/>
      <c r="AF460" s="1296"/>
      <c r="AG460" s="1297"/>
      <c r="AH460" s="1298">
        <v>250000</v>
      </c>
      <c r="AI460" s="1087">
        <f>AH460*Q460*0.7</f>
        <v>1903999.9999999998</v>
      </c>
      <c r="AJ460" s="1299"/>
      <c r="AK460" s="1300"/>
      <c r="AL460" s="1090"/>
      <c r="AM460" s="1297"/>
      <c r="AN460" s="1297"/>
      <c r="AO460" s="1298"/>
      <c r="AP460" s="1301"/>
      <c r="AQ460" s="1298"/>
      <c r="AR460" s="1301"/>
      <c r="AS460" s="1301"/>
      <c r="AT460" s="1297"/>
      <c r="AU460" s="1299"/>
      <c r="AV460" s="1067"/>
    </row>
    <row r="461" spans="1:48" ht="33" customHeight="1">
      <c r="A461" s="1082"/>
      <c r="B461" s="1038" t="s">
        <v>18</v>
      </c>
      <c r="C461" s="1039" t="s">
        <v>124</v>
      </c>
      <c r="D461" s="1038"/>
      <c r="E461" s="1039"/>
      <c r="F461" s="1138"/>
      <c r="G461" s="1038" t="s">
        <v>18</v>
      </c>
      <c r="H461" s="1039" t="s">
        <v>19</v>
      </c>
      <c r="I461" s="1346"/>
      <c r="J461" s="1069"/>
      <c r="K461" s="1339"/>
      <c r="L461" s="1139"/>
      <c r="M461" s="1128"/>
      <c r="N461" s="1038" t="s">
        <v>159</v>
      </c>
      <c r="O461" s="1293" t="s">
        <v>191</v>
      </c>
      <c r="P461" s="1347">
        <v>1</v>
      </c>
      <c r="Q461" s="1213">
        <v>71.209999999999994</v>
      </c>
      <c r="R461" s="1074"/>
      <c r="S461" s="1074"/>
      <c r="T461" s="1069"/>
      <c r="U461" s="1184"/>
      <c r="V461" s="1185"/>
      <c r="W461" s="1079"/>
      <c r="X461" s="1078"/>
      <c r="Y461" s="1039"/>
      <c r="Z461" s="1183"/>
      <c r="AA461" s="1074"/>
      <c r="AB461" s="1126"/>
      <c r="AC461" s="1073"/>
      <c r="AD461" s="1084"/>
      <c r="AE461" s="1062"/>
      <c r="AF461" s="1296"/>
      <c r="AG461" s="1297"/>
      <c r="AH461" s="1298">
        <v>430000</v>
      </c>
      <c r="AI461" s="1087">
        <f>AH461*Q461*0.5</f>
        <v>15310149.999999998</v>
      </c>
      <c r="AJ461" s="1299"/>
      <c r="AK461" s="1300"/>
      <c r="AL461" s="1090"/>
      <c r="AM461" s="1297"/>
      <c r="AN461" s="1297"/>
      <c r="AO461" s="1298"/>
      <c r="AP461" s="1301"/>
      <c r="AQ461" s="1298"/>
      <c r="AR461" s="1301"/>
      <c r="AS461" s="1301"/>
      <c r="AT461" s="1297"/>
      <c r="AU461" s="1299"/>
      <c r="AV461" s="1067"/>
    </row>
    <row r="462" spans="1:48" ht="49.5" customHeight="1">
      <c r="A462" s="1082"/>
      <c r="B462" s="1038" t="s">
        <v>12</v>
      </c>
      <c r="C462" s="1083" t="s">
        <v>123</v>
      </c>
      <c r="D462" s="1038"/>
      <c r="E462" s="1083"/>
      <c r="F462" s="1138"/>
      <c r="G462" s="1038"/>
      <c r="H462" s="1092"/>
      <c r="I462" s="1346"/>
      <c r="J462" s="1069"/>
      <c r="K462" s="1339"/>
      <c r="L462" s="1139"/>
      <c r="M462" s="1128"/>
      <c r="N462" s="1038" t="s">
        <v>12</v>
      </c>
      <c r="O462" s="1293" t="s">
        <v>106</v>
      </c>
      <c r="P462" s="1347">
        <v>1</v>
      </c>
      <c r="Q462" s="1213">
        <v>60.96</v>
      </c>
      <c r="R462" s="1074"/>
      <c r="S462" s="1074"/>
      <c r="T462" s="1069"/>
      <c r="U462" s="1184"/>
      <c r="V462" s="1185"/>
      <c r="W462" s="1079"/>
      <c r="X462" s="1078"/>
      <c r="Y462" s="1039"/>
      <c r="Z462" s="1183"/>
      <c r="AA462" s="1074"/>
      <c r="AB462" s="1126"/>
      <c r="AC462" s="1073"/>
      <c r="AD462" s="1084"/>
      <c r="AE462" s="1062"/>
      <c r="AF462" s="1296"/>
      <c r="AG462" s="1297"/>
      <c r="AH462" s="1298">
        <v>180000</v>
      </c>
      <c r="AI462" s="1087">
        <f>AH462*Q462*0.5</f>
        <v>5486400</v>
      </c>
      <c r="AJ462" s="1299"/>
      <c r="AK462" s="1300"/>
      <c r="AL462" s="1090"/>
      <c r="AM462" s="1297"/>
      <c r="AN462" s="1297"/>
      <c r="AO462" s="1298"/>
      <c r="AP462" s="1301"/>
      <c r="AQ462" s="1298"/>
      <c r="AR462" s="1301"/>
      <c r="AS462" s="1301"/>
      <c r="AT462" s="1297"/>
      <c r="AU462" s="1299"/>
      <c r="AV462" s="1067"/>
    </row>
    <row r="463" spans="1:48" ht="16.5" customHeight="1">
      <c r="A463" s="1082"/>
      <c r="B463" s="1038" t="s">
        <v>8</v>
      </c>
      <c r="C463" s="1083" t="s">
        <v>190</v>
      </c>
      <c r="D463" s="1038"/>
      <c r="E463" s="1083"/>
      <c r="F463" s="1138"/>
      <c r="G463" s="1038"/>
      <c r="H463" s="1092"/>
      <c r="I463" s="1346"/>
      <c r="J463" s="1069"/>
      <c r="K463" s="1339"/>
      <c r="L463" s="1139"/>
      <c r="M463" s="1128"/>
      <c r="N463" s="1038" t="s">
        <v>8</v>
      </c>
      <c r="O463" s="1293" t="s">
        <v>17</v>
      </c>
      <c r="P463" s="1347">
        <v>2</v>
      </c>
      <c r="Q463" s="1213"/>
      <c r="R463" s="1074"/>
      <c r="S463" s="1074"/>
      <c r="T463" s="1069"/>
      <c r="U463" s="1184"/>
      <c r="V463" s="1185"/>
      <c r="W463" s="1079"/>
      <c r="X463" s="1078"/>
      <c r="Y463" s="1039"/>
      <c r="Z463" s="1183"/>
      <c r="AA463" s="1074"/>
      <c r="AB463" s="1126"/>
      <c r="AC463" s="1073"/>
      <c r="AD463" s="1084"/>
      <c r="AE463" s="1062"/>
      <c r="AF463" s="1296"/>
      <c r="AG463" s="1297"/>
      <c r="AH463" s="1298">
        <v>2500000</v>
      </c>
      <c r="AI463" s="1087">
        <f>AH463*P463*0.5</f>
        <v>2500000</v>
      </c>
      <c r="AJ463" s="1299"/>
      <c r="AK463" s="1300"/>
      <c r="AL463" s="1090"/>
      <c r="AM463" s="1297"/>
      <c r="AN463" s="1297"/>
      <c r="AO463" s="1298"/>
      <c r="AP463" s="1301"/>
      <c r="AQ463" s="1298"/>
      <c r="AR463" s="1301"/>
      <c r="AS463" s="1301"/>
      <c r="AT463" s="1297"/>
      <c r="AU463" s="1299"/>
      <c r="AV463" s="1067"/>
    </row>
    <row r="464" spans="1:48" ht="16.5" customHeight="1">
      <c r="A464" s="1082"/>
      <c r="B464" s="1038"/>
      <c r="C464" s="1083"/>
      <c r="D464" s="1038"/>
      <c r="E464" s="1083"/>
      <c r="F464" s="1138"/>
      <c r="G464" s="1038"/>
      <c r="H464" s="1092"/>
      <c r="I464" s="1346"/>
      <c r="J464" s="1069"/>
      <c r="K464" s="1339"/>
      <c r="L464" s="1139"/>
      <c r="M464" s="1128"/>
      <c r="N464" s="1038" t="s">
        <v>54</v>
      </c>
      <c r="O464" s="1293" t="s">
        <v>11</v>
      </c>
      <c r="P464" s="1347">
        <v>1</v>
      </c>
      <c r="Q464" s="1213"/>
      <c r="R464" s="1074"/>
      <c r="S464" s="1074"/>
      <c r="T464" s="1069"/>
      <c r="U464" s="1184"/>
      <c r="V464" s="1185"/>
      <c r="W464" s="1079"/>
      <c r="X464" s="1078"/>
      <c r="Y464" s="1039"/>
      <c r="Z464" s="1183"/>
      <c r="AA464" s="1074"/>
      <c r="AB464" s="1126"/>
      <c r="AC464" s="1073"/>
      <c r="AD464" s="1084"/>
      <c r="AE464" s="1062"/>
      <c r="AF464" s="1296"/>
      <c r="AG464" s="1297"/>
      <c r="AH464" s="1298">
        <v>2500000</v>
      </c>
      <c r="AI464" s="1087">
        <f>AH464*P464*0.75</f>
        <v>1875000</v>
      </c>
      <c r="AJ464" s="1299"/>
      <c r="AK464" s="1300"/>
      <c r="AL464" s="1090"/>
      <c r="AM464" s="1297"/>
      <c r="AN464" s="1297"/>
      <c r="AO464" s="1298"/>
      <c r="AP464" s="1301"/>
      <c r="AQ464" s="1298"/>
      <c r="AR464" s="1301"/>
      <c r="AS464" s="1301"/>
      <c r="AT464" s="1297"/>
      <c r="AU464" s="1299"/>
      <c r="AV464" s="1067"/>
    </row>
    <row r="465" spans="1:48" ht="16.5" customHeight="1">
      <c r="A465" s="1082"/>
      <c r="B465" s="1038"/>
      <c r="C465" s="1083"/>
      <c r="D465" s="1038"/>
      <c r="E465" s="1083"/>
      <c r="F465" s="1138"/>
      <c r="G465" s="1038"/>
      <c r="H465" s="1092"/>
      <c r="I465" s="1346"/>
      <c r="J465" s="1069"/>
      <c r="K465" s="1339"/>
      <c r="L465" s="1139"/>
      <c r="M465" s="1128"/>
      <c r="N465" s="1038" t="s">
        <v>53</v>
      </c>
      <c r="O465" s="1293" t="s">
        <v>189</v>
      </c>
      <c r="P465" s="1347">
        <v>1</v>
      </c>
      <c r="Q465" s="1213">
        <v>61.9</v>
      </c>
      <c r="R465" s="1074"/>
      <c r="S465" s="1074"/>
      <c r="T465" s="1069"/>
      <c r="U465" s="1184"/>
      <c r="V465" s="1185"/>
      <c r="W465" s="1079"/>
      <c r="X465" s="1078"/>
      <c r="Y465" s="1039"/>
      <c r="Z465" s="1183"/>
      <c r="AA465" s="1074"/>
      <c r="AB465" s="1126"/>
      <c r="AC465" s="1073"/>
      <c r="AD465" s="1084"/>
      <c r="AE465" s="1062"/>
      <c r="AF465" s="1296"/>
      <c r="AG465" s="1297"/>
      <c r="AH465" s="1298">
        <v>250000</v>
      </c>
      <c r="AI465" s="1087">
        <f t="shared" ref="AI465:AI470" si="37">AH465*Q465*0.5</f>
        <v>7737500</v>
      </c>
      <c r="AJ465" s="1299"/>
      <c r="AK465" s="1300"/>
      <c r="AL465" s="1090"/>
      <c r="AM465" s="1297"/>
      <c r="AN465" s="1297"/>
      <c r="AO465" s="1298"/>
      <c r="AP465" s="1301"/>
      <c r="AQ465" s="1298"/>
      <c r="AR465" s="1301"/>
      <c r="AS465" s="1301"/>
      <c r="AT465" s="1297"/>
      <c r="AU465" s="1299"/>
      <c r="AV465" s="1067"/>
    </row>
    <row r="466" spans="1:48" ht="16.5" customHeight="1">
      <c r="A466" s="1082"/>
      <c r="B466" s="1038"/>
      <c r="C466" s="1083"/>
      <c r="D466" s="1038"/>
      <c r="E466" s="1083"/>
      <c r="F466" s="1138"/>
      <c r="G466" s="1038"/>
      <c r="H466" s="1092"/>
      <c r="I466" s="1346"/>
      <c r="J466" s="1069"/>
      <c r="K466" s="1339"/>
      <c r="L466" s="1139"/>
      <c r="M466" s="1128"/>
      <c r="N466" s="1038" t="s">
        <v>51</v>
      </c>
      <c r="O466" s="1293" t="s">
        <v>121</v>
      </c>
      <c r="P466" s="1347">
        <v>1</v>
      </c>
      <c r="Q466" s="1213">
        <v>34.6</v>
      </c>
      <c r="R466" s="1074"/>
      <c r="S466" s="1074"/>
      <c r="T466" s="1069"/>
      <c r="U466" s="1184"/>
      <c r="V466" s="1185"/>
      <c r="W466" s="1079"/>
      <c r="X466" s="1078"/>
      <c r="Y466" s="1039"/>
      <c r="Z466" s="1183"/>
      <c r="AA466" s="1074"/>
      <c r="AB466" s="1126"/>
      <c r="AC466" s="1073"/>
      <c r="AD466" s="1084"/>
      <c r="AE466" s="1062"/>
      <c r="AF466" s="1296"/>
      <c r="AG466" s="1297"/>
      <c r="AH466" s="1298">
        <v>300000</v>
      </c>
      <c r="AI466" s="1087">
        <f t="shared" si="37"/>
        <v>5190000</v>
      </c>
      <c r="AJ466" s="1299"/>
      <c r="AK466" s="1300"/>
      <c r="AL466" s="1090"/>
      <c r="AM466" s="1297"/>
      <c r="AN466" s="1297"/>
      <c r="AO466" s="1298"/>
      <c r="AP466" s="1301"/>
      <c r="AQ466" s="1298"/>
      <c r="AR466" s="1301"/>
      <c r="AS466" s="1301"/>
      <c r="AT466" s="1297"/>
      <c r="AU466" s="1299"/>
      <c r="AV466" s="1067"/>
    </row>
    <row r="467" spans="1:48" ht="16.5" customHeight="1">
      <c r="A467" s="1082"/>
      <c r="B467" s="1038"/>
      <c r="C467" s="1083"/>
      <c r="D467" s="1038"/>
      <c r="E467" s="1083"/>
      <c r="F467" s="1138"/>
      <c r="G467" s="1038"/>
      <c r="H467" s="1092"/>
      <c r="I467" s="1346"/>
      <c r="J467" s="1069"/>
      <c r="K467" s="1339"/>
      <c r="L467" s="1139"/>
      <c r="M467" s="1128"/>
      <c r="N467" s="1038" t="s">
        <v>154</v>
      </c>
      <c r="O467" s="1293" t="s">
        <v>188</v>
      </c>
      <c r="P467" s="1347">
        <v>1</v>
      </c>
      <c r="Q467" s="1213">
        <v>14.2</v>
      </c>
      <c r="R467" s="1074"/>
      <c r="S467" s="1074"/>
      <c r="T467" s="1069"/>
      <c r="U467" s="1184"/>
      <c r="V467" s="1185"/>
      <c r="W467" s="1079"/>
      <c r="X467" s="1078"/>
      <c r="Y467" s="1039"/>
      <c r="Z467" s="1183"/>
      <c r="AA467" s="1074"/>
      <c r="AB467" s="1126"/>
      <c r="AC467" s="1073"/>
      <c r="AD467" s="1084"/>
      <c r="AE467" s="1062"/>
      <c r="AF467" s="1296"/>
      <c r="AG467" s="1297"/>
      <c r="AH467" s="1298">
        <v>400000</v>
      </c>
      <c r="AI467" s="1087">
        <f t="shared" si="37"/>
        <v>2840000</v>
      </c>
      <c r="AJ467" s="1299"/>
      <c r="AK467" s="1300"/>
      <c r="AL467" s="1090"/>
      <c r="AM467" s="1297"/>
      <c r="AN467" s="1297"/>
      <c r="AO467" s="1298"/>
      <c r="AP467" s="1301"/>
      <c r="AQ467" s="1298"/>
      <c r="AR467" s="1301"/>
      <c r="AS467" s="1301"/>
      <c r="AT467" s="1297"/>
      <c r="AU467" s="1299"/>
      <c r="AV467" s="1067"/>
    </row>
    <row r="468" spans="1:48" ht="16.5" customHeight="1">
      <c r="A468" s="1082"/>
      <c r="B468" s="1038"/>
      <c r="C468" s="1083"/>
      <c r="D468" s="1038"/>
      <c r="E468" s="1083"/>
      <c r="F468" s="1138"/>
      <c r="G468" s="1038"/>
      <c r="H468" s="1092"/>
      <c r="I468" s="1346"/>
      <c r="J468" s="1069"/>
      <c r="K468" s="1339"/>
      <c r="L468" s="1139"/>
      <c r="M468" s="1128"/>
      <c r="N468" s="1038" t="s">
        <v>172</v>
      </c>
      <c r="O468" s="1293" t="s">
        <v>155</v>
      </c>
      <c r="P468" s="1347">
        <v>1</v>
      </c>
      <c r="Q468" s="1213">
        <v>63.52</v>
      </c>
      <c r="R468" s="1074"/>
      <c r="S468" s="1074"/>
      <c r="T468" s="1069"/>
      <c r="U468" s="1184"/>
      <c r="V468" s="1185"/>
      <c r="W468" s="1079"/>
      <c r="X468" s="1078"/>
      <c r="Y468" s="1039"/>
      <c r="Z468" s="1183"/>
      <c r="AA468" s="1074"/>
      <c r="AB468" s="1126"/>
      <c r="AC468" s="1073"/>
      <c r="AD468" s="1084"/>
      <c r="AE468" s="1062"/>
      <c r="AF468" s="1296"/>
      <c r="AG468" s="1297"/>
      <c r="AH468" s="1298">
        <v>125000</v>
      </c>
      <c r="AI468" s="1087">
        <f t="shared" si="37"/>
        <v>3970000</v>
      </c>
      <c r="AJ468" s="1299"/>
      <c r="AK468" s="1300"/>
      <c r="AL468" s="1090"/>
      <c r="AM468" s="1297"/>
      <c r="AN468" s="1297"/>
      <c r="AO468" s="1298"/>
      <c r="AP468" s="1301"/>
      <c r="AQ468" s="1298"/>
      <c r="AR468" s="1301"/>
      <c r="AS468" s="1301"/>
      <c r="AT468" s="1297"/>
      <c r="AU468" s="1299"/>
      <c r="AV468" s="1067"/>
    </row>
    <row r="469" spans="1:48" ht="16.5" customHeight="1">
      <c r="A469" s="1082"/>
      <c r="B469" s="1038"/>
      <c r="C469" s="1083"/>
      <c r="D469" s="1038"/>
      <c r="E469" s="1083"/>
      <c r="F469" s="1138"/>
      <c r="G469" s="1038"/>
      <c r="H469" s="1092"/>
      <c r="I469" s="1346"/>
      <c r="J469" s="1069"/>
      <c r="K469" s="1339"/>
      <c r="L469" s="1139"/>
      <c r="M469" s="1128"/>
      <c r="N469" s="1038" t="s">
        <v>187</v>
      </c>
      <c r="O469" s="1293" t="s">
        <v>186</v>
      </c>
      <c r="P469" s="1347">
        <v>1</v>
      </c>
      <c r="Q469" s="1213">
        <v>21.9</v>
      </c>
      <c r="R469" s="1074"/>
      <c r="S469" s="1074"/>
      <c r="T469" s="1069"/>
      <c r="U469" s="1184"/>
      <c r="V469" s="1185"/>
      <c r="W469" s="1079"/>
      <c r="X469" s="1078"/>
      <c r="Y469" s="1039"/>
      <c r="Z469" s="1183"/>
      <c r="AA469" s="1074"/>
      <c r="AB469" s="1126"/>
      <c r="AC469" s="1073"/>
      <c r="AD469" s="1084"/>
      <c r="AE469" s="1062"/>
      <c r="AF469" s="1296"/>
      <c r="AG469" s="1297"/>
      <c r="AH469" s="1298">
        <v>400000</v>
      </c>
      <c r="AI469" s="1087">
        <f t="shared" si="37"/>
        <v>4380000</v>
      </c>
      <c r="AJ469" s="1299"/>
      <c r="AK469" s="1300"/>
      <c r="AL469" s="1090"/>
      <c r="AM469" s="1297"/>
      <c r="AN469" s="1297"/>
      <c r="AO469" s="1298"/>
      <c r="AP469" s="1301"/>
      <c r="AQ469" s="1298"/>
      <c r="AR469" s="1301"/>
      <c r="AS469" s="1301"/>
      <c r="AT469" s="1297"/>
      <c r="AU469" s="1299"/>
      <c r="AV469" s="1067"/>
    </row>
    <row r="470" spans="1:48" ht="16.5" customHeight="1">
      <c r="A470" s="1082"/>
      <c r="B470" s="1038"/>
      <c r="C470" s="1083"/>
      <c r="D470" s="1038"/>
      <c r="E470" s="1083"/>
      <c r="F470" s="1138"/>
      <c r="G470" s="1038"/>
      <c r="H470" s="1092"/>
      <c r="I470" s="1346"/>
      <c r="J470" s="1069"/>
      <c r="K470" s="1339"/>
      <c r="L470" s="1139"/>
      <c r="M470" s="1128"/>
      <c r="N470" s="1038" t="s">
        <v>185</v>
      </c>
      <c r="O470" s="1293" t="s">
        <v>184</v>
      </c>
      <c r="P470" s="1347">
        <v>1</v>
      </c>
      <c r="Q470" s="1213">
        <v>12.6616</v>
      </c>
      <c r="R470" s="1074"/>
      <c r="S470" s="1074"/>
      <c r="T470" s="1069"/>
      <c r="U470" s="1184"/>
      <c r="V470" s="1185"/>
      <c r="W470" s="1079"/>
      <c r="X470" s="1078"/>
      <c r="Y470" s="1039"/>
      <c r="Z470" s="1183"/>
      <c r="AA470" s="1074"/>
      <c r="AB470" s="1126"/>
      <c r="AC470" s="1073"/>
      <c r="AD470" s="1084"/>
      <c r="AE470" s="1062"/>
      <c r="AF470" s="1296"/>
      <c r="AG470" s="1297"/>
      <c r="AH470" s="1298">
        <v>100000</v>
      </c>
      <c r="AI470" s="1087">
        <f t="shared" si="37"/>
        <v>633080</v>
      </c>
      <c r="AJ470" s="1299"/>
      <c r="AK470" s="1300"/>
      <c r="AL470" s="1090"/>
      <c r="AM470" s="1297"/>
      <c r="AN470" s="1297"/>
      <c r="AO470" s="1298"/>
      <c r="AP470" s="1301"/>
      <c r="AQ470" s="1298"/>
      <c r="AR470" s="1301"/>
      <c r="AS470" s="1301"/>
      <c r="AT470" s="1297"/>
      <c r="AU470" s="1299"/>
      <c r="AV470" s="1067"/>
    </row>
    <row r="471" spans="1:48" ht="16.5" customHeight="1">
      <c r="A471" s="1098"/>
      <c r="B471" s="1095"/>
      <c r="C471" s="1186"/>
      <c r="D471" s="1095"/>
      <c r="E471" s="1186"/>
      <c r="F471" s="1150"/>
      <c r="G471" s="1095"/>
      <c r="H471" s="1099"/>
      <c r="I471" s="1349"/>
      <c r="J471" s="1103"/>
      <c r="K471" s="1342"/>
      <c r="L471" s="1154"/>
      <c r="M471" s="1153"/>
      <c r="N471" s="1095"/>
      <c r="O471" s="1105"/>
      <c r="P471" s="1109"/>
      <c r="Q471" s="1108"/>
      <c r="R471" s="1094"/>
      <c r="S471" s="1094"/>
      <c r="T471" s="1103"/>
      <c r="U471" s="1188"/>
      <c r="V471" s="1189"/>
      <c r="W471" s="1111"/>
      <c r="X471" s="1110"/>
      <c r="Y471" s="1096"/>
      <c r="Z471" s="1166"/>
      <c r="AA471" s="1094"/>
      <c r="AB471" s="1156"/>
      <c r="AC471" s="1107"/>
      <c r="AD471" s="1114"/>
      <c r="AE471" s="1093"/>
      <c r="AF471" s="1305"/>
      <c r="AG471" s="1306"/>
      <c r="AH471" s="1307"/>
      <c r="AI471" s="1307"/>
      <c r="AJ471" s="1308"/>
      <c r="AK471" s="1309"/>
      <c r="AL471" s="1120"/>
      <c r="AM471" s="1306"/>
      <c r="AN471" s="1306"/>
      <c r="AO471" s="1307"/>
      <c r="AP471" s="1310"/>
      <c r="AQ471" s="1307"/>
      <c r="AR471" s="1310"/>
      <c r="AS471" s="1310"/>
      <c r="AT471" s="1306"/>
      <c r="AU471" s="1308"/>
      <c r="AV471" s="1101"/>
    </row>
    <row r="472" spans="1:48" ht="16.5" customHeight="1">
      <c r="A472" s="1269">
        <v>34</v>
      </c>
      <c r="B472" s="1033" t="s">
        <v>25</v>
      </c>
      <c r="C472" s="1036" t="s">
        <v>183</v>
      </c>
      <c r="D472" s="1033"/>
      <c r="E472" s="1036"/>
      <c r="F472" s="1171" t="s">
        <v>182</v>
      </c>
      <c r="G472" s="1272" t="s">
        <v>25</v>
      </c>
      <c r="H472" s="1273" t="s">
        <v>181</v>
      </c>
      <c r="I472" s="1343">
        <v>605</v>
      </c>
      <c r="J472" s="1043" t="s">
        <v>41</v>
      </c>
      <c r="K472" s="1330" t="s">
        <v>180</v>
      </c>
      <c r="L472" s="1279"/>
      <c r="M472" s="1054"/>
      <c r="N472" s="1033" t="s">
        <v>150</v>
      </c>
      <c r="O472" s="1190" t="s">
        <v>26</v>
      </c>
      <c r="P472" s="1344">
        <v>2</v>
      </c>
      <c r="Q472" s="1212">
        <v>403.35</v>
      </c>
      <c r="R472" s="1034" t="s">
        <v>25</v>
      </c>
      <c r="S472" s="1034" t="s">
        <v>24</v>
      </c>
      <c r="T472" s="1048"/>
      <c r="U472" s="1180"/>
      <c r="V472" s="1049"/>
      <c r="W472" s="1052"/>
      <c r="X472" s="1051"/>
      <c r="Y472" s="1036"/>
      <c r="Z472" s="1203"/>
      <c r="AA472" s="1034"/>
      <c r="AB472" s="1050"/>
      <c r="AC472" s="1047"/>
      <c r="AD472" s="1180"/>
      <c r="AE472" s="1049"/>
      <c r="AF472" s="1333">
        <f>Resum!F1</f>
        <v>356000</v>
      </c>
      <c r="AG472" s="1086">
        <f>AF472*I472</f>
        <v>215380000</v>
      </c>
      <c r="AH472" s="1087">
        <v>2530000</v>
      </c>
      <c r="AI472" s="1087">
        <f>AH472*Q472*0.8</f>
        <v>816380400</v>
      </c>
      <c r="AJ472" s="1335">
        <f>SUM(AI472:AI481)</f>
        <v>876233650</v>
      </c>
      <c r="AK472" s="1336"/>
      <c r="AL472" s="1090"/>
      <c r="AM472" s="1337">
        <f>SUM(AL472:AL481)</f>
        <v>335000</v>
      </c>
      <c r="AN472" s="1086">
        <f>AM472+AJ472+AG472</f>
        <v>1091948650</v>
      </c>
      <c r="AO472" s="1334"/>
      <c r="AP472" s="1136">
        <f>(AG472+AI472)*10%</f>
        <v>103176040</v>
      </c>
      <c r="AQ472" s="1087">
        <f>(AG472+AI472)*0.5%</f>
        <v>5158802</v>
      </c>
      <c r="AR472" s="1136">
        <f>(AG472+AI472)*5%</f>
        <v>51588020</v>
      </c>
      <c r="AS472" s="1087">
        <f>0.5%*(AG472+AI472)*(3)</f>
        <v>15476406</v>
      </c>
      <c r="AT472" s="1086">
        <f>+AS472+AR472+AQ472+AP472+AO472</f>
        <v>175399268</v>
      </c>
      <c r="AU472" s="1137">
        <f>ROUND(AT472+AN472,-3)</f>
        <v>1267348000</v>
      </c>
      <c r="AV472" s="1365"/>
    </row>
    <row r="473" spans="1:48" ht="33" customHeight="1">
      <c r="A473" s="1082"/>
      <c r="B473" s="1038" t="s">
        <v>16</v>
      </c>
      <c r="C473" s="1071" t="s">
        <v>179</v>
      </c>
      <c r="D473" s="1038"/>
      <c r="E473" s="1071"/>
      <c r="F473" s="1138"/>
      <c r="G473" s="1038" t="s">
        <v>16</v>
      </c>
      <c r="H473" s="1039" t="s">
        <v>22</v>
      </c>
      <c r="I473" s="1346"/>
      <c r="J473" s="1069"/>
      <c r="K473" s="1339"/>
      <c r="L473" s="1235"/>
      <c r="M473" s="1081"/>
      <c r="N473" s="1038" t="s">
        <v>16</v>
      </c>
      <c r="O473" s="1293" t="s">
        <v>62</v>
      </c>
      <c r="P473" s="1347">
        <v>1</v>
      </c>
      <c r="Q473" s="1213">
        <v>60.5</v>
      </c>
      <c r="R473" s="1074"/>
      <c r="S473" s="1074"/>
      <c r="T473" s="1075"/>
      <c r="U473" s="1091"/>
      <c r="V473" s="1076"/>
      <c r="W473" s="1079"/>
      <c r="X473" s="1078"/>
      <c r="Y473" s="1039"/>
      <c r="Z473" s="1134"/>
      <c r="AA473" s="1074"/>
      <c r="AB473" s="1077"/>
      <c r="AC473" s="1073"/>
      <c r="AD473" s="1091"/>
      <c r="AE473" s="1076"/>
      <c r="AF473" s="1296"/>
      <c r="AG473" s="1297"/>
      <c r="AH473" s="1298">
        <v>430000</v>
      </c>
      <c r="AI473" s="1087">
        <f>AH473*Q473*0.5</f>
        <v>13007500</v>
      </c>
      <c r="AJ473" s="1299"/>
      <c r="AK473" s="1300"/>
      <c r="AL473" s="1090"/>
      <c r="AM473" s="1297"/>
      <c r="AN473" s="1297"/>
      <c r="AO473" s="1298"/>
      <c r="AP473" s="1301"/>
      <c r="AQ473" s="1298"/>
      <c r="AR473" s="1301"/>
      <c r="AS473" s="1301"/>
      <c r="AT473" s="1297"/>
      <c r="AU473" s="1299"/>
      <c r="AV473" s="1302"/>
    </row>
    <row r="474" spans="1:48" ht="16.5" customHeight="1">
      <c r="A474" s="1082"/>
      <c r="B474" s="1038" t="s">
        <v>18</v>
      </c>
      <c r="C474" s="1039" t="s">
        <v>124</v>
      </c>
      <c r="D474" s="1038"/>
      <c r="E474" s="1039"/>
      <c r="F474" s="1138"/>
      <c r="G474" s="1038" t="s">
        <v>18</v>
      </c>
      <c r="H474" s="1039" t="s">
        <v>19</v>
      </c>
      <c r="I474" s="1346"/>
      <c r="J474" s="1069"/>
      <c r="K474" s="1339"/>
      <c r="L474" s="1235"/>
      <c r="M474" s="1081"/>
      <c r="N474" s="1038" t="s">
        <v>159</v>
      </c>
      <c r="O474" s="1293" t="s">
        <v>21</v>
      </c>
      <c r="P474" s="1347">
        <v>3</v>
      </c>
      <c r="Q474" s="1213">
        <v>93.6</v>
      </c>
      <c r="R474" s="1074" t="s">
        <v>16</v>
      </c>
      <c r="S474" s="1074" t="s">
        <v>15</v>
      </c>
      <c r="T474" s="1075">
        <v>3</v>
      </c>
      <c r="U474" s="1091">
        <v>1</v>
      </c>
      <c r="V474" s="1185" t="s">
        <v>48</v>
      </c>
      <c r="W474" s="1140">
        <v>4</v>
      </c>
      <c r="X474" s="1141">
        <v>0</v>
      </c>
      <c r="Y474" s="1142">
        <v>0</v>
      </c>
      <c r="Z474" s="1143">
        <f>SUM(W474:Y474)</f>
        <v>4</v>
      </c>
      <c r="AA474" s="1074"/>
      <c r="AB474" s="1077"/>
      <c r="AC474" s="1073"/>
      <c r="AD474" s="1091"/>
      <c r="AE474" s="1076"/>
      <c r="AF474" s="1296"/>
      <c r="AG474" s="1297"/>
      <c r="AH474" s="1298">
        <v>350000</v>
      </c>
      <c r="AI474" s="1087">
        <f>AH474*Q474*0.7</f>
        <v>22931999.999999996</v>
      </c>
      <c r="AJ474" s="1299"/>
      <c r="AK474" s="1300">
        <v>15000</v>
      </c>
      <c r="AL474" s="1090">
        <f t="shared" si="36"/>
        <v>60000</v>
      </c>
      <c r="AM474" s="1297"/>
      <c r="AN474" s="1297"/>
      <c r="AO474" s="1298"/>
      <c r="AP474" s="1301"/>
      <c r="AQ474" s="1298"/>
      <c r="AR474" s="1301"/>
      <c r="AS474" s="1301"/>
      <c r="AT474" s="1297"/>
      <c r="AU474" s="1299"/>
      <c r="AV474" s="1302"/>
    </row>
    <row r="475" spans="1:48" ht="49.5" customHeight="1">
      <c r="A475" s="1082"/>
      <c r="B475" s="1082" t="s">
        <v>12</v>
      </c>
      <c r="C475" s="1083" t="s">
        <v>178</v>
      </c>
      <c r="D475" s="1038"/>
      <c r="E475" s="1083"/>
      <c r="F475" s="1138"/>
      <c r="G475" s="1038"/>
      <c r="H475" s="1092"/>
      <c r="I475" s="1346"/>
      <c r="J475" s="1069"/>
      <c r="K475" s="1339"/>
      <c r="L475" s="1235"/>
      <c r="M475" s="1081"/>
      <c r="N475" s="1038" t="s">
        <v>12</v>
      </c>
      <c r="O475" s="1293" t="s">
        <v>17</v>
      </c>
      <c r="P475" s="1347">
        <v>1</v>
      </c>
      <c r="Q475" s="1213"/>
      <c r="R475" s="1074"/>
      <c r="S475" s="1074"/>
      <c r="T475" s="1075"/>
      <c r="U475" s="1091">
        <v>2</v>
      </c>
      <c r="V475" s="1185" t="s">
        <v>157</v>
      </c>
      <c r="W475" s="1140">
        <v>1</v>
      </c>
      <c r="X475" s="1141">
        <v>0</v>
      </c>
      <c r="Y475" s="1142">
        <v>0</v>
      </c>
      <c r="Z475" s="1143">
        <f>SUM(W475:Y475)</f>
        <v>1</v>
      </c>
      <c r="AA475" s="1074"/>
      <c r="AB475" s="1077"/>
      <c r="AC475" s="1073"/>
      <c r="AD475" s="1091"/>
      <c r="AE475" s="1076"/>
      <c r="AF475" s="1296"/>
      <c r="AG475" s="1297"/>
      <c r="AH475" s="1298">
        <v>2500000</v>
      </c>
      <c r="AI475" s="1087">
        <f>AH475*P475*0.5</f>
        <v>1250000</v>
      </c>
      <c r="AJ475" s="1299"/>
      <c r="AK475" s="1300">
        <v>125000</v>
      </c>
      <c r="AL475" s="1090">
        <f t="shared" si="36"/>
        <v>125000</v>
      </c>
      <c r="AM475" s="1297"/>
      <c r="AN475" s="1297"/>
      <c r="AO475" s="1298"/>
      <c r="AP475" s="1301"/>
      <c r="AQ475" s="1298"/>
      <c r="AR475" s="1301"/>
      <c r="AS475" s="1301"/>
      <c r="AT475" s="1297"/>
      <c r="AU475" s="1299"/>
      <c r="AV475" s="1302"/>
    </row>
    <row r="476" spans="1:48" ht="16.5" customHeight="1">
      <c r="A476" s="1082"/>
      <c r="B476" s="1082" t="s">
        <v>8</v>
      </c>
      <c r="C476" s="1083" t="s">
        <v>177</v>
      </c>
      <c r="D476" s="1038"/>
      <c r="E476" s="1083"/>
      <c r="F476" s="1138"/>
      <c r="G476" s="1038"/>
      <c r="H476" s="1092"/>
      <c r="I476" s="1346"/>
      <c r="J476" s="1069"/>
      <c r="K476" s="1339"/>
      <c r="L476" s="1235"/>
      <c r="M476" s="1081"/>
      <c r="N476" s="1038" t="s">
        <v>8</v>
      </c>
      <c r="O476" s="1293" t="s">
        <v>11</v>
      </c>
      <c r="P476" s="1347">
        <v>1</v>
      </c>
      <c r="Q476" s="1213"/>
      <c r="R476" s="1074"/>
      <c r="S476" s="1074"/>
      <c r="T476" s="1075"/>
      <c r="U476" s="1091">
        <v>3</v>
      </c>
      <c r="V476" s="1185" t="s">
        <v>36</v>
      </c>
      <c r="W476" s="1140">
        <v>1</v>
      </c>
      <c r="X476" s="1141">
        <v>0</v>
      </c>
      <c r="Y476" s="1142">
        <v>0</v>
      </c>
      <c r="Z476" s="1143">
        <f>SUM(W476:Y476)</f>
        <v>1</v>
      </c>
      <c r="AA476" s="1074"/>
      <c r="AB476" s="1077"/>
      <c r="AC476" s="1073"/>
      <c r="AD476" s="1091"/>
      <c r="AE476" s="1076"/>
      <c r="AF476" s="1296"/>
      <c r="AG476" s="1297"/>
      <c r="AH476" s="1298">
        <v>2500000</v>
      </c>
      <c r="AI476" s="1087">
        <f>AH476*P476*0.75</f>
        <v>1875000</v>
      </c>
      <c r="AJ476" s="1299"/>
      <c r="AK476" s="1300">
        <v>150000</v>
      </c>
      <c r="AL476" s="1090">
        <f t="shared" si="36"/>
        <v>150000</v>
      </c>
      <c r="AM476" s="1297"/>
      <c r="AN476" s="1297"/>
      <c r="AO476" s="1298"/>
      <c r="AP476" s="1301"/>
      <c r="AQ476" s="1298"/>
      <c r="AR476" s="1301"/>
      <c r="AS476" s="1301"/>
      <c r="AT476" s="1297"/>
      <c r="AU476" s="1299"/>
      <c r="AV476" s="1302"/>
    </row>
    <row r="477" spans="1:48" ht="16.5" customHeight="1">
      <c r="A477" s="1082"/>
      <c r="B477" s="1082"/>
      <c r="C477" s="1083"/>
      <c r="D477" s="1038"/>
      <c r="E477" s="1083"/>
      <c r="F477" s="1138"/>
      <c r="G477" s="1038"/>
      <c r="H477" s="1092"/>
      <c r="I477" s="1346"/>
      <c r="J477" s="1069"/>
      <c r="K477" s="1339"/>
      <c r="L477" s="1235"/>
      <c r="M477" s="1081"/>
      <c r="N477" s="1038" t="s">
        <v>54</v>
      </c>
      <c r="O477" s="1293" t="s">
        <v>176</v>
      </c>
      <c r="P477" s="1347">
        <v>1</v>
      </c>
      <c r="Q477" s="1213">
        <v>71</v>
      </c>
      <c r="R477" s="1074"/>
      <c r="S477" s="1074"/>
      <c r="T477" s="1075"/>
      <c r="U477" s="1091"/>
      <c r="V477" s="1185"/>
      <c r="W477" s="1079"/>
      <c r="X477" s="1078"/>
      <c r="Y477" s="1039"/>
      <c r="Z477" s="1134"/>
      <c r="AA477" s="1074"/>
      <c r="AB477" s="1077"/>
      <c r="AC477" s="1073"/>
      <c r="AD477" s="1091"/>
      <c r="AE477" s="1076"/>
      <c r="AF477" s="1296"/>
      <c r="AG477" s="1297"/>
      <c r="AH477" s="1298">
        <v>300000</v>
      </c>
      <c r="AI477" s="1087">
        <f>AH477*Q477*0.5</f>
        <v>10650000</v>
      </c>
      <c r="AJ477" s="1299"/>
      <c r="AK477" s="1300"/>
      <c r="AL477" s="1090"/>
      <c r="AM477" s="1297"/>
      <c r="AN477" s="1297"/>
      <c r="AO477" s="1298"/>
      <c r="AP477" s="1301"/>
      <c r="AQ477" s="1298"/>
      <c r="AR477" s="1301"/>
      <c r="AS477" s="1301"/>
      <c r="AT477" s="1297"/>
      <c r="AU477" s="1299"/>
      <c r="AV477" s="1302"/>
    </row>
    <row r="478" spans="1:48" ht="16.5" customHeight="1">
      <c r="A478" s="1082"/>
      <c r="B478" s="1082"/>
      <c r="C478" s="1083"/>
      <c r="D478" s="1038"/>
      <c r="E478" s="1083"/>
      <c r="F478" s="1138"/>
      <c r="G478" s="1038"/>
      <c r="H478" s="1092"/>
      <c r="I478" s="1346"/>
      <c r="J478" s="1069"/>
      <c r="K478" s="1339"/>
      <c r="L478" s="1235"/>
      <c r="M478" s="1081"/>
      <c r="N478" s="1038" t="s">
        <v>53</v>
      </c>
      <c r="O478" s="1293" t="s">
        <v>175</v>
      </c>
      <c r="P478" s="1347">
        <v>1</v>
      </c>
      <c r="Q478" s="1213">
        <v>45.6</v>
      </c>
      <c r="R478" s="1074"/>
      <c r="S478" s="1074"/>
      <c r="T478" s="1075"/>
      <c r="U478" s="1091"/>
      <c r="V478" s="1076"/>
      <c r="W478" s="1079"/>
      <c r="X478" s="1078"/>
      <c r="Y478" s="1039"/>
      <c r="Z478" s="1134"/>
      <c r="AA478" s="1074"/>
      <c r="AB478" s="1077"/>
      <c r="AC478" s="1073"/>
      <c r="AD478" s="1091"/>
      <c r="AE478" s="1076"/>
      <c r="AF478" s="1296"/>
      <c r="AG478" s="1297"/>
      <c r="AH478" s="1298">
        <v>300000</v>
      </c>
      <c r="AI478" s="1087">
        <f>AH478*Q478*0.5</f>
        <v>6840000</v>
      </c>
      <c r="AJ478" s="1299"/>
      <c r="AK478" s="1300"/>
      <c r="AL478" s="1090"/>
      <c r="AM478" s="1297"/>
      <c r="AN478" s="1297"/>
      <c r="AO478" s="1298"/>
      <c r="AP478" s="1301"/>
      <c r="AQ478" s="1298"/>
      <c r="AR478" s="1301"/>
      <c r="AS478" s="1301"/>
      <c r="AT478" s="1297"/>
      <c r="AU478" s="1299"/>
      <c r="AV478" s="1302"/>
    </row>
    <row r="479" spans="1:48" ht="16.5" customHeight="1">
      <c r="A479" s="1082"/>
      <c r="B479" s="1082"/>
      <c r="C479" s="1083"/>
      <c r="D479" s="1038"/>
      <c r="E479" s="1083"/>
      <c r="F479" s="1138"/>
      <c r="G479" s="1038"/>
      <c r="H479" s="1092"/>
      <c r="I479" s="1346"/>
      <c r="J479" s="1069"/>
      <c r="K479" s="1339"/>
      <c r="L479" s="1235"/>
      <c r="M479" s="1081"/>
      <c r="N479" s="1038" t="s">
        <v>51</v>
      </c>
      <c r="O479" s="1293" t="s">
        <v>174</v>
      </c>
      <c r="P479" s="1347">
        <v>1</v>
      </c>
      <c r="Q479" s="1213">
        <v>10.6</v>
      </c>
      <c r="R479" s="1074"/>
      <c r="S479" s="1074"/>
      <c r="T479" s="1075"/>
      <c r="U479" s="1091"/>
      <c r="V479" s="1076"/>
      <c r="W479" s="1079"/>
      <c r="X479" s="1078"/>
      <c r="Y479" s="1039"/>
      <c r="Z479" s="1134"/>
      <c r="AA479" s="1074"/>
      <c r="AB479" s="1077"/>
      <c r="AC479" s="1073"/>
      <c r="AD479" s="1091"/>
      <c r="AE479" s="1076"/>
      <c r="AF479" s="1296"/>
      <c r="AG479" s="1297"/>
      <c r="AH479" s="1298">
        <v>350000</v>
      </c>
      <c r="AI479" s="1087">
        <f>AH479*Q479*0.5</f>
        <v>1855000</v>
      </c>
      <c r="AJ479" s="1299"/>
      <c r="AK479" s="1300"/>
      <c r="AL479" s="1090"/>
      <c r="AM479" s="1297"/>
      <c r="AN479" s="1297"/>
      <c r="AO479" s="1298"/>
      <c r="AP479" s="1301"/>
      <c r="AQ479" s="1298"/>
      <c r="AR479" s="1301"/>
      <c r="AS479" s="1301"/>
      <c r="AT479" s="1297"/>
      <c r="AU479" s="1299"/>
      <c r="AV479" s="1302"/>
    </row>
    <row r="480" spans="1:48" ht="16.5" customHeight="1">
      <c r="A480" s="1082"/>
      <c r="B480" s="1082"/>
      <c r="C480" s="1083"/>
      <c r="D480" s="1038"/>
      <c r="E480" s="1083"/>
      <c r="F480" s="1138"/>
      <c r="G480" s="1038"/>
      <c r="H480" s="1092"/>
      <c r="I480" s="1346"/>
      <c r="J480" s="1069"/>
      <c r="K480" s="1339"/>
      <c r="L480" s="1235"/>
      <c r="M480" s="1081"/>
      <c r="N480" s="1038" t="s">
        <v>154</v>
      </c>
      <c r="O480" s="1293" t="s">
        <v>173</v>
      </c>
      <c r="P480" s="1347">
        <v>1</v>
      </c>
      <c r="Q480" s="1213">
        <v>5.25</v>
      </c>
      <c r="R480" s="1074"/>
      <c r="S480" s="1074"/>
      <c r="T480" s="1075"/>
      <c r="U480" s="1091"/>
      <c r="V480" s="1076"/>
      <c r="W480" s="1079"/>
      <c r="X480" s="1078"/>
      <c r="Y480" s="1039"/>
      <c r="Z480" s="1134"/>
      <c r="AA480" s="1074"/>
      <c r="AB480" s="1077"/>
      <c r="AC480" s="1073"/>
      <c r="AD480" s="1091"/>
      <c r="AE480" s="1076"/>
      <c r="AF480" s="1296"/>
      <c r="AG480" s="1297"/>
      <c r="AH480" s="1298">
        <v>350000</v>
      </c>
      <c r="AI480" s="1087">
        <f>AH480*Q480*0.5</f>
        <v>918750</v>
      </c>
      <c r="AJ480" s="1299"/>
      <c r="AK480" s="1300"/>
      <c r="AL480" s="1090"/>
      <c r="AM480" s="1297"/>
      <c r="AN480" s="1297"/>
      <c r="AO480" s="1298"/>
      <c r="AP480" s="1301"/>
      <c r="AQ480" s="1298"/>
      <c r="AR480" s="1301"/>
      <c r="AS480" s="1301"/>
      <c r="AT480" s="1297"/>
      <c r="AU480" s="1299"/>
      <c r="AV480" s="1302"/>
    </row>
    <row r="481" spans="1:48" ht="16.5" customHeight="1">
      <c r="A481" s="1098"/>
      <c r="B481" s="1098"/>
      <c r="C481" s="1105"/>
      <c r="D481" s="1095"/>
      <c r="E481" s="1105"/>
      <c r="F481" s="1150"/>
      <c r="G481" s="1095"/>
      <c r="H481" s="1099"/>
      <c r="I481" s="1349"/>
      <c r="J481" s="1103"/>
      <c r="K481" s="1342"/>
      <c r="L481" s="1287"/>
      <c r="M481" s="1113"/>
      <c r="N481" s="1095" t="s">
        <v>172</v>
      </c>
      <c r="O481" s="1368" t="s">
        <v>120</v>
      </c>
      <c r="P481" s="1369">
        <v>1</v>
      </c>
      <c r="Q481" s="1370">
        <v>5.25</v>
      </c>
      <c r="R481" s="1094"/>
      <c r="S481" s="1094"/>
      <c r="T481" s="1168"/>
      <c r="U481" s="1109"/>
      <c r="V481" s="1108"/>
      <c r="W481" s="1111"/>
      <c r="X481" s="1110"/>
      <c r="Y481" s="1096"/>
      <c r="Z481" s="1286"/>
      <c r="AA481" s="1094"/>
      <c r="AB481" s="1151"/>
      <c r="AC481" s="1107"/>
      <c r="AD481" s="1109"/>
      <c r="AE481" s="1108"/>
      <c r="AF481" s="1305"/>
      <c r="AG481" s="1306"/>
      <c r="AH481" s="1307">
        <v>200000</v>
      </c>
      <c r="AI481" s="1117">
        <f>AH481*Q481*0.5</f>
        <v>525000</v>
      </c>
      <c r="AJ481" s="1308"/>
      <c r="AK481" s="1309"/>
      <c r="AL481" s="1120"/>
      <c r="AM481" s="1306"/>
      <c r="AN481" s="1306"/>
      <c r="AO481" s="1307"/>
      <c r="AP481" s="1310"/>
      <c r="AQ481" s="1307"/>
      <c r="AR481" s="1310"/>
      <c r="AS481" s="1310"/>
      <c r="AT481" s="1306"/>
      <c r="AU481" s="1308"/>
      <c r="AV481" s="1311"/>
    </row>
    <row r="482" spans="1:48" ht="16.5" customHeight="1">
      <c r="A482" s="1351">
        <v>35</v>
      </c>
      <c r="B482" s="1122" t="s">
        <v>25</v>
      </c>
      <c r="C482" s="1039" t="s">
        <v>171</v>
      </c>
      <c r="D482" s="1122"/>
      <c r="E482" s="1039"/>
      <c r="F482" s="1124" t="s">
        <v>170</v>
      </c>
      <c r="G482" s="1243" t="s">
        <v>25</v>
      </c>
      <c r="H482" s="1083" t="s">
        <v>29</v>
      </c>
      <c r="I482" s="1371">
        <v>649</v>
      </c>
      <c r="J482" s="1069" t="s">
        <v>28</v>
      </c>
      <c r="K482" s="1339" t="s">
        <v>169</v>
      </c>
      <c r="L482" s="1139" t="s">
        <v>46</v>
      </c>
      <c r="M482" s="1352"/>
      <c r="N482" s="1122"/>
      <c r="O482" s="1071"/>
      <c r="P482" s="1081"/>
      <c r="Q482" s="1075"/>
      <c r="R482" s="1074" t="s">
        <v>25</v>
      </c>
      <c r="S482" s="1074" t="s">
        <v>24</v>
      </c>
      <c r="T482" s="1075">
        <v>8</v>
      </c>
      <c r="U482" s="1091">
        <v>1</v>
      </c>
      <c r="V482" s="1073" t="s">
        <v>58</v>
      </c>
      <c r="W482" s="1241" t="s">
        <v>46</v>
      </c>
      <c r="X482" s="1241" t="s">
        <v>46</v>
      </c>
      <c r="Y482" s="1142">
        <v>1</v>
      </c>
      <c r="Z482" s="1143">
        <f t="shared" ref="Z482:Z489" si="38">SUM(Y482)</f>
        <v>1</v>
      </c>
      <c r="AA482" s="1123"/>
      <c r="AB482" s="1126"/>
      <c r="AC482" s="1073"/>
      <c r="AD482" s="1084"/>
      <c r="AE482" s="1062"/>
      <c r="AF482" s="1296">
        <f>Resum!F1*1.1</f>
        <v>391600.00000000006</v>
      </c>
      <c r="AG482" s="1086">
        <f>AF482*I482</f>
        <v>254148400.00000003</v>
      </c>
      <c r="AH482" s="1298"/>
      <c r="AI482" s="1298"/>
      <c r="AJ482" s="1299"/>
      <c r="AK482" s="1300">
        <v>50000</v>
      </c>
      <c r="AL482" s="1090">
        <f t="shared" ref="AL482:AL489" si="39">AK482*Y482</f>
        <v>50000</v>
      </c>
      <c r="AM482" s="1297">
        <f>SUM(AL482:AL497)</f>
        <v>1432100</v>
      </c>
      <c r="AN482" s="1086">
        <f>AM482+AJ482+AG482</f>
        <v>255580500.00000003</v>
      </c>
      <c r="AO482" s="1298"/>
      <c r="AP482" s="1136">
        <f>AI483*15%</f>
        <v>0</v>
      </c>
      <c r="AQ482" s="1087">
        <v>0</v>
      </c>
      <c r="AR482" s="1136">
        <f>(AG482+AI482)*5%</f>
        <v>12707420.000000002</v>
      </c>
      <c r="AS482" s="1087">
        <f>0.5%*(AG482+AI482)*(3)</f>
        <v>3812226.0000000009</v>
      </c>
      <c r="AT482" s="1086">
        <f>+AS482+AR482+AQ482+AP482+AO482</f>
        <v>16519646.000000004</v>
      </c>
      <c r="AU482" s="1137">
        <f>ROUND(AT482+AN482,-3)</f>
        <v>272100000</v>
      </c>
      <c r="AV482" s="1041"/>
    </row>
    <row r="483" spans="1:48" ht="16.5" customHeight="1">
      <c r="A483" s="1082"/>
      <c r="B483" s="1038" t="s">
        <v>16</v>
      </c>
      <c r="C483" s="1071" t="s">
        <v>168</v>
      </c>
      <c r="D483" s="1038"/>
      <c r="E483" s="1071"/>
      <c r="F483" s="1124"/>
      <c r="G483" s="1038" t="s">
        <v>16</v>
      </c>
      <c r="H483" s="1039" t="s">
        <v>22</v>
      </c>
      <c r="I483" s="1346"/>
      <c r="J483" s="1069"/>
      <c r="K483" s="1339"/>
      <c r="L483" s="1139"/>
      <c r="M483" s="1128"/>
      <c r="N483" s="1038"/>
      <c r="O483" s="1071"/>
      <c r="P483" s="1081"/>
      <c r="Q483" s="1075"/>
      <c r="R483" s="1074"/>
      <c r="S483" s="1074"/>
      <c r="T483" s="1075"/>
      <c r="U483" s="1091">
        <v>2</v>
      </c>
      <c r="V483" s="1073" t="s">
        <v>109</v>
      </c>
      <c r="W483" s="1141">
        <v>0</v>
      </c>
      <c r="X483" s="1141">
        <v>0</v>
      </c>
      <c r="Y483" s="1142">
        <v>7</v>
      </c>
      <c r="Z483" s="1143">
        <f t="shared" si="38"/>
        <v>7</v>
      </c>
      <c r="AA483" s="1074"/>
      <c r="AB483" s="1126"/>
      <c r="AC483" s="1073"/>
      <c r="AD483" s="1084"/>
      <c r="AE483" s="1062"/>
      <c r="AF483" s="1296"/>
      <c r="AG483" s="1297"/>
      <c r="AH483" s="1298"/>
      <c r="AI483" s="1298"/>
      <c r="AJ483" s="1299"/>
      <c r="AK483" s="1089">
        <v>10000</v>
      </c>
      <c r="AL483" s="1090">
        <f t="shared" si="39"/>
        <v>70000</v>
      </c>
      <c r="AM483" s="1297"/>
      <c r="AN483" s="1297"/>
      <c r="AO483" s="1298"/>
      <c r="AP483" s="1301"/>
      <c r="AQ483" s="1298"/>
      <c r="AR483" s="1301"/>
      <c r="AS483" s="1301"/>
      <c r="AT483" s="1297"/>
      <c r="AU483" s="1299"/>
      <c r="AV483" s="1067"/>
    </row>
    <row r="484" spans="1:48" ht="16.5" customHeight="1">
      <c r="A484" s="1082"/>
      <c r="B484" s="1038" t="s">
        <v>18</v>
      </c>
      <c r="C484" s="1039" t="s">
        <v>60</v>
      </c>
      <c r="D484" s="1038"/>
      <c r="E484" s="1039"/>
      <c r="F484" s="1124"/>
      <c r="G484" s="1038" t="s">
        <v>18</v>
      </c>
      <c r="H484" s="1039" t="s">
        <v>19</v>
      </c>
      <c r="I484" s="1346"/>
      <c r="J484" s="1069"/>
      <c r="K484" s="1339"/>
      <c r="L484" s="1139"/>
      <c r="M484" s="1128"/>
      <c r="N484" s="1038"/>
      <c r="O484" s="1083"/>
      <c r="P484" s="1077"/>
      <c r="Q484" s="1073"/>
      <c r="R484" s="1074"/>
      <c r="S484" s="1074"/>
      <c r="T484" s="1075"/>
      <c r="U484" s="1091">
        <v>3</v>
      </c>
      <c r="V484" s="1073" t="s">
        <v>87</v>
      </c>
      <c r="W484" s="1141">
        <v>0</v>
      </c>
      <c r="X484" s="1141">
        <v>0</v>
      </c>
      <c r="Y484" s="1142">
        <v>3</v>
      </c>
      <c r="Z484" s="1143">
        <f t="shared" si="38"/>
        <v>3</v>
      </c>
      <c r="AA484" s="1074"/>
      <c r="AB484" s="1126"/>
      <c r="AC484" s="1073"/>
      <c r="AD484" s="1084"/>
      <c r="AE484" s="1062"/>
      <c r="AF484" s="1296"/>
      <c r="AG484" s="1297"/>
      <c r="AH484" s="1298"/>
      <c r="AI484" s="1298"/>
      <c r="AJ484" s="1299"/>
      <c r="AK484" s="1300">
        <v>10000</v>
      </c>
      <c r="AL484" s="1090">
        <f t="shared" si="39"/>
        <v>30000</v>
      </c>
      <c r="AM484" s="1297"/>
      <c r="AN484" s="1297"/>
      <c r="AO484" s="1298"/>
      <c r="AP484" s="1301"/>
      <c r="AQ484" s="1298"/>
      <c r="AR484" s="1301"/>
      <c r="AS484" s="1301"/>
      <c r="AT484" s="1297"/>
      <c r="AU484" s="1299"/>
      <c r="AV484" s="1067"/>
    </row>
    <row r="485" spans="1:48" ht="52.5" customHeight="1">
      <c r="A485" s="1082"/>
      <c r="B485" s="1082" t="s">
        <v>12</v>
      </c>
      <c r="C485" s="1083" t="s">
        <v>13</v>
      </c>
      <c r="D485" s="1082"/>
      <c r="E485" s="1083"/>
      <c r="F485" s="1124"/>
      <c r="G485" s="1038"/>
      <c r="H485" s="1092"/>
      <c r="I485" s="1346"/>
      <c r="J485" s="1069"/>
      <c r="K485" s="1339"/>
      <c r="L485" s="1139"/>
      <c r="M485" s="1128"/>
      <c r="N485" s="1038"/>
      <c r="O485" s="1083"/>
      <c r="P485" s="1077"/>
      <c r="Q485" s="1073"/>
      <c r="R485" s="1074"/>
      <c r="S485" s="1074"/>
      <c r="T485" s="1075"/>
      <c r="U485" s="1091">
        <v>4</v>
      </c>
      <c r="V485" s="1073" t="s">
        <v>56</v>
      </c>
      <c r="W485" s="1141">
        <v>0</v>
      </c>
      <c r="X485" s="1141">
        <v>0</v>
      </c>
      <c r="Y485" s="1142">
        <v>30</v>
      </c>
      <c r="Z485" s="1143">
        <f t="shared" si="38"/>
        <v>30</v>
      </c>
      <c r="AA485" s="1074"/>
      <c r="AB485" s="1063"/>
      <c r="AC485" s="1075"/>
      <c r="AD485" s="1084"/>
      <c r="AE485" s="1062"/>
      <c r="AF485" s="1296"/>
      <c r="AG485" s="1297"/>
      <c r="AH485" s="1298"/>
      <c r="AI485" s="1298"/>
      <c r="AJ485" s="1299"/>
      <c r="AK485" s="1300">
        <v>10000</v>
      </c>
      <c r="AL485" s="1090">
        <f t="shared" si="39"/>
        <v>300000</v>
      </c>
      <c r="AM485" s="1297"/>
      <c r="AN485" s="1297"/>
      <c r="AO485" s="1298"/>
      <c r="AP485" s="1301"/>
      <c r="AQ485" s="1298"/>
      <c r="AR485" s="1301"/>
      <c r="AS485" s="1301"/>
      <c r="AT485" s="1297"/>
      <c r="AU485" s="1299"/>
      <c r="AV485" s="1067"/>
    </row>
    <row r="486" spans="1:48" ht="16.5" customHeight="1">
      <c r="A486" s="1082"/>
      <c r="B486" s="1038" t="s">
        <v>8</v>
      </c>
      <c r="C486" s="1327" t="s">
        <v>167</v>
      </c>
      <c r="D486" s="1038"/>
      <c r="E486" s="1244"/>
      <c r="F486" s="1124"/>
      <c r="G486" s="1038"/>
      <c r="H486" s="1092"/>
      <c r="I486" s="1346"/>
      <c r="J486" s="1069"/>
      <c r="K486" s="1339"/>
      <c r="L486" s="1139"/>
      <c r="M486" s="1128"/>
      <c r="N486" s="1038"/>
      <c r="O486" s="1083"/>
      <c r="P486" s="1077"/>
      <c r="Q486" s="1073"/>
      <c r="R486" s="1074"/>
      <c r="S486" s="1074"/>
      <c r="T486" s="1075"/>
      <c r="U486" s="1091">
        <v>5</v>
      </c>
      <c r="V486" s="1073" t="s">
        <v>61</v>
      </c>
      <c r="W486" s="1141">
        <v>0</v>
      </c>
      <c r="X486" s="1141">
        <v>0</v>
      </c>
      <c r="Y486" s="1142">
        <v>2</v>
      </c>
      <c r="Z486" s="1143">
        <f t="shared" si="38"/>
        <v>2</v>
      </c>
      <c r="AA486" s="1074"/>
      <c r="AB486" s="1077"/>
      <c r="AC486" s="1073"/>
      <c r="AD486" s="1084"/>
      <c r="AE486" s="1062"/>
      <c r="AF486" s="1296"/>
      <c r="AG486" s="1297"/>
      <c r="AH486" s="1298"/>
      <c r="AI486" s="1298"/>
      <c r="AJ486" s="1299"/>
      <c r="AK486" s="1300">
        <v>8250</v>
      </c>
      <c r="AL486" s="1090">
        <f t="shared" si="39"/>
        <v>16500</v>
      </c>
      <c r="AM486" s="1297"/>
      <c r="AN486" s="1297"/>
      <c r="AO486" s="1298"/>
      <c r="AP486" s="1301"/>
      <c r="AQ486" s="1298"/>
      <c r="AR486" s="1301"/>
      <c r="AS486" s="1301"/>
      <c r="AT486" s="1297"/>
      <c r="AU486" s="1299"/>
      <c r="AV486" s="1067"/>
    </row>
    <row r="487" spans="1:48" ht="16.5" customHeight="1">
      <c r="A487" s="1082"/>
      <c r="B487" s="1038"/>
      <c r="C487" s="1327"/>
      <c r="D487" s="1038"/>
      <c r="E487" s="1244"/>
      <c r="F487" s="1124"/>
      <c r="G487" s="1038"/>
      <c r="H487" s="1092"/>
      <c r="I487" s="1066"/>
      <c r="J487" s="1075"/>
      <c r="K487" s="1221"/>
      <c r="L487" s="1235"/>
      <c r="M487" s="1081"/>
      <c r="N487" s="1038"/>
      <c r="O487" s="1083"/>
      <c r="P487" s="1077"/>
      <c r="Q487" s="1073"/>
      <c r="R487" s="1074"/>
      <c r="S487" s="1074"/>
      <c r="T487" s="1075"/>
      <c r="U487" s="1091">
        <v>6</v>
      </c>
      <c r="V487" s="1073" t="s">
        <v>166</v>
      </c>
      <c r="W487" s="1141">
        <v>0</v>
      </c>
      <c r="X487" s="1141">
        <v>0</v>
      </c>
      <c r="Y487" s="1142">
        <v>1</v>
      </c>
      <c r="Z487" s="1143">
        <f t="shared" si="38"/>
        <v>1</v>
      </c>
      <c r="AA487" s="1074"/>
      <c r="AB487" s="1077"/>
      <c r="AC487" s="1073"/>
      <c r="AD487" s="1091"/>
      <c r="AE487" s="1076"/>
      <c r="AF487" s="1296"/>
      <c r="AG487" s="1297"/>
      <c r="AH487" s="1298"/>
      <c r="AI487" s="1298"/>
      <c r="AJ487" s="1299"/>
      <c r="AK487" s="1300">
        <v>9900</v>
      </c>
      <c r="AL487" s="1090">
        <f t="shared" si="39"/>
        <v>9900</v>
      </c>
      <c r="AM487" s="1297"/>
      <c r="AN487" s="1297"/>
      <c r="AO487" s="1298"/>
      <c r="AP487" s="1301"/>
      <c r="AQ487" s="1298"/>
      <c r="AR487" s="1301"/>
      <c r="AS487" s="1301"/>
      <c r="AT487" s="1297"/>
      <c r="AU487" s="1299"/>
      <c r="AV487" s="1302"/>
    </row>
    <row r="488" spans="1:48" ht="16.5" customHeight="1">
      <c r="A488" s="1082"/>
      <c r="B488" s="1038"/>
      <c r="C488" s="1327"/>
      <c r="D488" s="1038"/>
      <c r="E488" s="1244"/>
      <c r="F488" s="1124"/>
      <c r="G488" s="1038"/>
      <c r="H488" s="1092"/>
      <c r="I488" s="1066"/>
      <c r="J488" s="1075"/>
      <c r="K488" s="1221"/>
      <c r="L488" s="1235"/>
      <c r="M488" s="1081"/>
      <c r="N488" s="1038"/>
      <c r="O488" s="1083"/>
      <c r="P488" s="1077"/>
      <c r="Q488" s="1073"/>
      <c r="R488" s="1074"/>
      <c r="S488" s="1074"/>
      <c r="T488" s="1075"/>
      <c r="U488" s="1091">
        <v>7</v>
      </c>
      <c r="V488" s="1073" t="s">
        <v>91</v>
      </c>
      <c r="W488" s="1141">
        <v>0</v>
      </c>
      <c r="X488" s="1141">
        <v>0</v>
      </c>
      <c r="Y488" s="1142">
        <v>5</v>
      </c>
      <c r="Z488" s="1143">
        <f t="shared" si="38"/>
        <v>5</v>
      </c>
      <c r="AA488" s="1074"/>
      <c r="AB488" s="1077"/>
      <c r="AC488" s="1073"/>
      <c r="AD488" s="1091"/>
      <c r="AE488" s="1076"/>
      <c r="AF488" s="1296"/>
      <c r="AG488" s="1297"/>
      <c r="AH488" s="1298"/>
      <c r="AI488" s="1298"/>
      <c r="AJ488" s="1299"/>
      <c r="AK488" s="1300">
        <v>8000</v>
      </c>
      <c r="AL488" s="1090">
        <f t="shared" si="39"/>
        <v>40000</v>
      </c>
      <c r="AM488" s="1297"/>
      <c r="AN488" s="1297"/>
      <c r="AO488" s="1298"/>
      <c r="AP488" s="1301"/>
      <c r="AQ488" s="1298"/>
      <c r="AR488" s="1301"/>
      <c r="AS488" s="1301"/>
      <c r="AT488" s="1297"/>
      <c r="AU488" s="1299"/>
      <c r="AV488" s="1302"/>
    </row>
    <row r="489" spans="1:48" ht="16.5" customHeight="1">
      <c r="A489" s="1082"/>
      <c r="B489" s="1038"/>
      <c r="C489" s="1327"/>
      <c r="D489" s="1038"/>
      <c r="E489" s="1244"/>
      <c r="F489" s="1124"/>
      <c r="G489" s="1038"/>
      <c r="H489" s="1092"/>
      <c r="I489" s="1066"/>
      <c r="J489" s="1075"/>
      <c r="K489" s="1221"/>
      <c r="L489" s="1235"/>
      <c r="M489" s="1081"/>
      <c r="N489" s="1038"/>
      <c r="O489" s="1083"/>
      <c r="P489" s="1077"/>
      <c r="Q489" s="1073"/>
      <c r="R489" s="1074"/>
      <c r="S489" s="1074"/>
      <c r="T489" s="1075"/>
      <c r="U489" s="1091">
        <v>8</v>
      </c>
      <c r="V489" s="1073" t="s">
        <v>165</v>
      </c>
      <c r="W489" s="1141">
        <v>0</v>
      </c>
      <c r="X489" s="1141">
        <v>0</v>
      </c>
      <c r="Y489" s="1142">
        <v>2</v>
      </c>
      <c r="Z489" s="1143">
        <f t="shared" si="38"/>
        <v>2</v>
      </c>
      <c r="AA489" s="1074"/>
      <c r="AB489" s="1077"/>
      <c r="AC489" s="1073"/>
      <c r="AD489" s="1091"/>
      <c r="AE489" s="1076"/>
      <c r="AF489" s="1296"/>
      <c r="AG489" s="1297"/>
      <c r="AH489" s="1298"/>
      <c r="AI489" s="1298"/>
      <c r="AJ489" s="1299"/>
      <c r="AK489" s="1300">
        <v>5000</v>
      </c>
      <c r="AL489" s="1090">
        <f t="shared" si="39"/>
        <v>10000</v>
      </c>
      <c r="AM489" s="1297"/>
      <c r="AN489" s="1297"/>
      <c r="AO489" s="1298"/>
      <c r="AP489" s="1301"/>
      <c r="AQ489" s="1298"/>
      <c r="AR489" s="1301"/>
      <c r="AS489" s="1301"/>
      <c r="AT489" s="1297"/>
      <c r="AU489" s="1299"/>
      <c r="AV489" s="1302"/>
    </row>
    <row r="490" spans="1:48" ht="16.5" customHeight="1">
      <c r="A490" s="1082"/>
      <c r="B490" s="1038"/>
      <c r="C490" s="1327"/>
      <c r="D490" s="1038"/>
      <c r="E490" s="1244"/>
      <c r="F490" s="1124"/>
      <c r="G490" s="1038"/>
      <c r="H490" s="1092"/>
      <c r="I490" s="1066"/>
      <c r="J490" s="1075"/>
      <c r="K490" s="1221"/>
      <c r="L490" s="1235"/>
      <c r="M490" s="1081"/>
      <c r="N490" s="1038"/>
      <c r="O490" s="1083"/>
      <c r="P490" s="1077"/>
      <c r="Q490" s="1073"/>
      <c r="T490" s="1075"/>
      <c r="U490" s="1253"/>
      <c r="V490" s="1073"/>
      <c r="W490" s="1141"/>
      <c r="X490" s="1141"/>
      <c r="Y490" s="1142"/>
      <c r="Z490" s="1143"/>
      <c r="AA490" s="1074"/>
      <c r="AB490" s="1077"/>
      <c r="AC490" s="1073"/>
      <c r="AD490" s="1091"/>
      <c r="AE490" s="1076"/>
      <c r="AF490" s="1296"/>
      <c r="AG490" s="1297"/>
      <c r="AH490" s="1298"/>
      <c r="AI490" s="1298"/>
      <c r="AJ490" s="1299"/>
      <c r="AK490" s="1300"/>
      <c r="AL490" s="1090"/>
      <c r="AM490" s="1297"/>
      <c r="AN490" s="1297"/>
      <c r="AO490" s="1298"/>
      <c r="AP490" s="1301"/>
      <c r="AQ490" s="1298"/>
      <c r="AR490" s="1301"/>
      <c r="AS490" s="1301"/>
      <c r="AT490" s="1297"/>
      <c r="AU490" s="1299"/>
      <c r="AV490" s="1302"/>
    </row>
    <row r="491" spans="1:48" ht="16.5" customHeight="1">
      <c r="A491" s="1082"/>
      <c r="B491" s="1038"/>
      <c r="C491" s="1327"/>
      <c r="D491" s="1038"/>
      <c r="E491" s="1244"/>
      <c r="F491" s="1124"/>
      <c r="G491" s="1038"/>
      <c r="H491" s="1092"/>
      <c r="I491" s="1066"/>
      <c r="J491" s="1075"/>
      <c r="K491" s="1221"/>
      <c r="L491" s="1235"/>
      <c r="M491" s="1081"/>
      <c r="N491" s="1038"/>
      <c r="O491" s="1083"/>
      <c r="P491" s="1077"/>
      <c r="Q491" s="1073"/>
      <c r="R491" s="1074" t="s">
        <v>16</v>
      </c>
      <c r="S491" s="1074" t="s">
        <v>15</v>
      </c>
      <c r="T491" s="1075">
        <v>5</v>
      </c>
      <c r="U491" s="1254">
        <v>1</v>
      </c>
      <c r="V491" s="1255" t="s">
        <v>133</v>
      </c>
      <c r="W491" s="1241">
        <v>20</v>
      </c>
      <c r="X491" s="1241" t="s">
        <v>46</v>
      </c>
      <c r="Y491" s="1262" t="s">
        <v>46</v>
      </c>
      <c r="Z491" s="1143">
        <f>SUM(W491:Y491)</f>
        <v>20</v>
      </c>
      <c r="AA491" s="1074"/>
      <c r="AB491" s="1077"/>
      <c r="AC491" s="1073"/>
      <c r="AD491" s="1091"/>
      <c r="AE491" s="1076"/>
      <c r="AF491" s="1296"/>
      <c r="AG491" s="1297"/>
      <c r="AH491" s="1298"/>
      <c r="AI491" s="1298"/>
      <c r="AJ491" s="1299"/>
      <c r="AK491" s="1089">
        <v>2645</v>
      </c>
      <c r="AL491" s="1090">
        <f t="shared" ref="AL491:AL543" si="40">AK491*W491</f>
        <v>52900</v>
      </c>
      <c r="AM491" s="1297"/>
      <c r="AN491" s="1297"/>
      <c r="AO491" s="1298"/>
      <c r="AP491" s="1301"/>
      <c r="AQ491" s="1298"/>
      <c r="AR491" s="1301"/>
      <c r="AS491" s="1301"/>
      <c r="AT491" s="1297"/>
      <c r="AU491" s="1299"/>
      <c r="AV491" s="1302"/>
    </row>
    <row r="492" spans="1:48" ht="16.5" customHeight="1">
      <c r="A492" s="1082"/>
      <c r="B492" s="1038"/>
      <c r="C492" s="1327"/>
      <c r="D492" s="1038"/>
      <c r="E492" s="1244"/>
      <c r="F492" s="1124"/>
      <c r="G492" s="1038"/>
      <c r="H492" s="1092"/>
      <c r="I492" s="1066"/>
      <c r="J492" s="1075"/>
      <c r="K492" s="1221"/>
      <c r="L492" s="1235"/>
      <c r="M492" s="1081"/>
      <c r="N492" s="1038"/>
      <c r="O492" s="1083"/>
      <c r="P492" s="1077"/>
      <c r="Q492" s="1073"/>
      <c r="R492" s="1074"/>
      <c r="S492" s="1074"/>
      <c r="T492" s="1075"/>
      <c r="U492" s="1254">
        <v>2</v>
      </c>
      <c r="V492" s="1255" t="s">
        <v>130</v>
      </c>
      <c r="W492" s="1241" t="s">
        <v>46</v>
      </c>
      <c r="X492" s="1241">
        <v>0</v>
      </c>
      <c r="Y492" s="1262">
        <v>1</v>
      </c>
      <c r="Z492" s="1143">
        <f>SUM(W492:Y492)</f>
        <v>1</v>
      </c>
      <c r="AA492" s="1074"/>
      <c r="AB492" s="1077"/>
      <c r="AC492" s="1073"/>
      <c r="AD492" s="1091"/>
      <c r="AE492" s="1076"/>
      <c r="AF492" s="1296"/>
      <c r="AG492" s="1297"/>
      <c r="AH492" s="1298"/>
      <c r="AI492" s="1298"/>
      <c r="AJ492" s="1299"/>
      <c r="AK492" s="1089">
        <v>41200</v>
      </c>
      <c r="AL492" s="1090">
        <f>AK492*Y492</f>
        <v>41200</v>
      </c>
      <c r="AM492" s="1297"/>
      <c r="AN492" s="1297"/>
      <c r="AO492" s="1298"/>
      <c r="AP492" s="1301"/>
      <c r="AQ492" s="1298"/>
      <c r="AR492" s="1301"/>
      <c r="AS492" s="1301"/>
      <c r="AT492" s="1297"/>
      <c r="AU492" s="1299"/>
      <c r="AV492" s="1302"/>
    </row>
    <row r="493" spans="1:48" ht="16.5" customHeight="1">
      <c r="A493" s="1082"/>
      <c r="B493" s="1038"/>
      <c r="C493" s="1327"/>
      <c r="D493" s="1038"/>
      <c r="E493" s="1244"/>
      <c r="F493" s="1124"/>
      <c r="G493" s="1038"/>
      <c r="H493" s="1092"/>
      <c r="I493" s="1066"/>
      <c r="J493" s="1075"/>
      <c r="K493" s="1221"/>
      <c r="L493" s="1235"/>
      <c r="M493" s="1081"/>
      <c r="N493" s="1038"/>
      <c r="O493" s="1083"/>
      <c r="P493" s="1077"/>
      <c r="Q493" s="1073"/>
      <c r="R493" s="1074"/>
      <c r="S493" s="1074"/>
      <c r="T493" s="1075"/>
      <c r="U493" s="1254">
        <v>3</v>
      </c>
      <c r="V493" s="1355" t="s">
        <v>135</v>
      </c>
      <c r="W493" s="1241">
        <v>5</v>
      </c>
      <c r="X493" s="1241" t="s">
        <v>46</v>
      </c>
      <c r="Y493" s="1262" t="s">
        <v>46</v>
      </c>
      <c r="Z493" s="1143">
        <f>SUM(W493:Y493)</f>
        <v>5</v>
      </c>
      <c r="AA493" s="1074"/>
      <c r="AB493" s="1077"/>
      <c r="AC493" s="1073"/>
      <c r="AD493" s="1091"/>
      <c r="AE493" s="1076"/>
      <c r="AF493" s="1296"/>
      <c r="AG493" s="1297"/>
      <c r="AH493" s="1298"/>
      <c r="AI493" s="1298"/>
      <c r="AJ493" s="1299"/>
      <c r="AK493" s="1300">
        <v>1000</v>
      </c>
      <c r="AL493" s="1090">
        <f t="shared" si="40"/>
        <v>5000</v>
      </c>
      <c r="AM493" s="1297"/>
      <c r="AN493" s="1297"/>
      <c r="AO493" s="1298"/>
      <c r="AP493" s="1301"/>
      <c r="AQ493" s="1298"/>
      <c r="AR493" s="1301"/>
      <c r="AS493" s="1301"/>
      <c r="AT493" s="1297"/>
      <c r="AU493" s="1299"/>
      <c r="AV493" s="1302"/>
    </row>
    <row r="494" spans="1:48" ht="16.5" customHeight="1">
      <c r="A494" s="1082"/>
      <c r="B494" s="1038"/>
      <c r="C494" s="1327"/>
      <c r="D494" s="1038"/>
      <c r="E494" s="1244"/>
      <c r="F494" s="1124"/>
      <c r="G494" s="1038"/>
      <c r="H494" s="1092"/>
      <c r="I494" s="1066"/>
      <c r="J494" s="1075"/>
      <c r="K494" s="1221"/>
      <c r="L494" s="1235"/>
      <c r="M494" s="1081"/>
      <c r="N494" s="1038"/>
      <c r="O494" s="1083"/>
      <c r="P494" s="1077"/>
      <c r="Q494" s="1073"/>
      <c r="R494" s="1074"/>
      <c r="S494" s="1074"/>
      <c r="T494" s="1075"/>
      <c r="U494" s="1254">
        <v>4</v>
      </c>
      <c r="V494" s="1255" t="s">
        <v>48</v>
      </c>
      <c r="W494" s="1241">
        <v>20</v>
      </c>
      <c r="X494" s="1241" t="s">
        <v>46</v>
      </c>
      <c r="Y494" s="1262"/>
      <c r="Z494" s="1143">
        <f>SUM(W494:Y494)</f>
        <v>20</v>
      </c>
      <c r="AA494" s="1074"/>
      <c r="AB494" s="1077"/>
      <c r="AC494" s="1073"/>
      <c r="AD494" s="1091"/>
      <c r="AE494" s="1076"/>
      <c r="AF494" s="1296"/>
      <c r="AG494" s="1297"/>
      <c r="AH494" s="1298"/>
      <c r="AI494" s="1298"/>
      <c r="AJ494" s="1299"/>
      <c r="AK494" s="1300">
        <v>15000</v>
      </c>
      <c r="AL494" s="1090">
        <f>AK494*W494</f>
        <v>300000</v>
      </c>
      <c r="AM494" s="1297"/>
      <c r="AN494" s="1297"/>
      <c r="AO494" s="1298"/>
      <c r="AP494" s="1301"/>
      <c r="AQ494" s="1298"/>
      <c r="AR494" s="1301"/>
      <c r="AS494" s="1301"/>
      <c r="AT494" s="1297"/>
      <c r="AU494" s="1299"/>
      <c r="AV494" s="1302"/>
    </row>
    <row r="495" spans="1:48" ht="16.5" customHeight="1">
      <c r="A495" s="1082"/>
      <c r="B495" s="1038"/>
      <c r="C495" s="1327"/>
      <c r="D495" s="1038"/>
      <c r="E495" s="1244"/>
      <c r="F495" s="1124"/>
      <c r="G495" s="1038"/>
      <c r="H495" s="1092"/>
      <c r="I495" s="1066"/>
      <c r="J495" s="1075"/>
      <c r="K495" s="1221"/>
      <c r="L495" s="1235"/>
      <c r="M495" s="1081"/>
      <c r="N495" s="1038"/>
      <c r="O495" s="1083"/>
      <c r="P495" s="1077"/>
      <c r="Q495" s="1073"/>
      <c r="R495" s="1074"/>
      <c r="S495" s="1074"/>
      <c r="T495" s="1075"/>
      <c r="U495" s="1254"/>
      <c r="V495" s="1255" t="s">
        <v>48</v>
      </c>
      <c r="W495" s="1241"/>
      <c r="X495" s="1241" t="s">
        <v>46</v>
      </c>
      <c r="Y495" s="1262">
        <v>100</v>
      </c>
      <c r="Z495" s="1143"/>
      <c r="AA495" s="1074"/>
      <c r="AB495" s="1077"/>
      <c r="AC495" s="1073"/>
      <c r="AD495" s="1091"/>
      <c r="AE495" s="1076"/>
      <c r="AF495" s="1296"/>
      <c r="AG495" s="1297"/>
      <c r="AH495" s="1298"/>
      <c r="AI495" s="1298"/>
      <c r="AJ495" s="1299"/>
      <c r="AK495" s="1300">
        <v>5000</v>
      </c>
      <c r="AL495" s="1090">
        <f>AK495*Y495</f>
        <v>500000</v>
      </c>
      <c r="AM495" s="1297"/>
      <c r="AN495" s="1297"/>
      <c r="AO495" s="1298"/>
      <c r="AP495" s="1301"/>
      <c r="AQ495" s="1298"/>
      <c r="AR495" s="1301"/>
      <c r="AS495" s="1301"/>
      <c r="AT495" s="1297"/>
      <c r="AU495" s="1299"/>
      <c r="AV495" s="1302"/>
    </row>
    <row r="496" spans="1:48" ht="16.5" customHeight="1">
      <c r="A496" s="1082"/>
      <c r="B496" s="1038"/>
      <c r="C496" s="1327"/>
      <c r="D496" s="1038"/>
      <c r="E496" s="1244"/>
      <c r="F496" s="1124"/>
      <c r="G496" s="1038"/>
      <c r="H496" s="1092"/>
      <c r="I496" s="1066"/>
      <c r="J496" s="1075"/>
      <c r="K496" s="1221"/>
      <c r="L496" s="1235"/>
      <c r="M496" s="1081"/>
      <c r="N496" s="1038"/>
      <c r="O496" s="1083"/>
      <c r="P496" s="1077"/>
      <c r="Q496" s="1073"/>
      <c r="R496" s="1074"/>
      <c r="S496" s="1074"/>
      <c r="T496" s="1075"/>
      <c r="U496" s="1254">
        <v>5</v>
      </c>
      <c r="V496" s="1255" t="s">
        <v>144</v>
      </c>
      <c r="W496" s="1241" t="s">
        <v>46</v>
      </c>
      <c r="X496" s="1241" t="s">
        <v>46</v>
      </c>
      <c r="Y496" s="1262">
        <v>1</v>
      </c>
      <c r="Z496" s="1143">
        <f>SUM(W496:Y496)</f>
        <v>1</v>
      </c>
      <c r="AA496" s="1074"/>
      <c r="AB496" s="1077"/>
      <c r="AC496" s="1073"/>
      <c r="AD496" s="1091"/>
      <c r="AE496" s="1076"/>
      <c r="AF496" s="1296"/>
      <c r="AG496" s="1297"/>
      <c r="AH496" s="1298"/>
      <c r="AI496" s="1298"/>
      <c r="AJ496" s="1299"/>
      <c r="AK496" s="1300">
        <v>6600</v>
      </c>
      <c r="AL496" s="1090">
        <f>AK496*Y496</f>
        <v>6600</v>
      </c>
      <c r="AM496" s="1297"/>
      <c r="AN496" s="1297"/>
      <c r="AO496" s="1298"/>
      <c r="AP496" s="1301"/>
      <c r="AQ496" s="1298"/>
      <c r="AR496" s="1301"/>
      <c r="AS496" s="1301"/>
      <c r="AT496" s="1297"/>
      <c r="AU496" s="1299"/>
      <c r="AV496" s="1302"/>
    </row>
    <row r="497" spans="1:48" ht="16.5" customHeight="1">
      <c r="A497" s="1082"/>
      <c r="B497" s="1038"/>
      <c r="C497" s="1327"/>
      <c r="D497" s="1038"/>
      <c r="E497" s="1244"/>
      <c r="F497" s="1289"/>
      <c r="G497" s="1038"/>
      <c r="H497" s="1092"/>
      <c r="I497" s="1066"/>
      <c r="J497" s="1075"/>
      <c r="K497" s="1221"/>
      <c r="L497" s="1235"/>
      <c r="M497" s="1081"/>
      <c r="N497" s="1095"/>
      <c r="O497" s="1105"/>
      <c r="P497" s="1151"/>
      <c r="Q497" s="1107"/>
      <c r="R497" s="1094"/>
      <c r="S497" s="1094"/>
      <c r="T497" s="1168"/>
      <c r="U497" s="1268"/>
      <c r="V497" s="1107"/>
      <c r="W497" s="1110"/>
      <c r="X497" s="1110"/>
      <c r="Y497" s="1096"/>
      <c r="Z497" s="1166"/>
      <c r="AA497" s="1094"/>
      <c r="AB497" s="1151"/>
      <c r="AC497" s="1107"/>
      <c r="AD497" s="1109"/>
      <c r="AE497" s="1108"/>
      <c r="AF497" s="1305"/>
      <c r="AG497" s="1306"/>
      <c r="AH497" s="1307"/>
      <c r="AI497" s="1307"/>
      <c r="AJ497" s="1299"/>
      <c r="AK497" s="1300"/>
      <c r="AL497" s="1120"/>
      <c r="AM497" s="1306"/>
      <c r="AN497" s="1306"/>
      <c r="AO497" s="1307"/>
      <c r="AP497" s="1310"/>
      <c r="AQ497" s="1307"/>
      <c r="AR497" s="1310"/>
      <c r="AS497" s="1310"/>
      <c r="AT497" s="1306"/>
      <c r="AU497" s="1308"/>
      <c r="AV497" s="1302"/>
    </row>
    <row r="498" spans="1:48" ht="16.5" customHeight="1">
      <c r="A498" s="1269">
        <v>36</v>
      </c>
      <c r="B498" s="1033" t="s">
        <v>25</v>
      </c>
      <c r="C498" s="1036" t="s">
        <v>164</v>
      </c>
      <c r="D498" s="1033"/>
      <c r="E498" s="1036"/>
      <c r="F498" s="1171" t="s">
        <v>163</v>
      </c>
      <c r="G498" s="1272" t="s">
        <v>25</v>
      </c>
      <c r="H498" s="1273" t="s">
        <v>29</v>
      </c>
      <c r="I498" s="1372">
        <v>613</v>
      </c>
      <c r="J498" s="1043" t="s">
        <v>41</v>
      </c>
      <c r="K498" s="1330" t="s">
        <v>162</v>
      </c>
      <c r="L498" s="1129" t="s">
        <v>46</v>
      </c>
      <c r="M498" s="1331"/>
      <c r="N498" s="1038" t="s">
        <v>150</v>
      </c>
      <c r="O498" s="1293" t="s">
        <v>26</v>
      </c>
      <c r="P498" s="1347">
        <v>1</v>
      </c>
      <c r="Q498" s="1213">
        <v>67.64</v>
      </c>
      <c r="R498" s="1074" t="s">
        <v>25</v>
      </c>
      <c r="S498" s="1074" t="s">
        <v>24</v>
      </c>
      <c r="T498" s="1075"/>
      <c r="U498" s="1091"/>
      <c r="V498" s="1073"/>
      <c r="W498" s="1079"/>
      <c r="X498" s="1078"/>
      <c r="Y498" s="1039"/>
      <c r="Z498" s="1134"/>
      <c r="AA498" s="1123"/>
      <c r="AB498" s="1126"/>
      <c r="AC498" s="1073"/>
      <c r="AD498" s="1084"/>
      <c r="AE498" s="1062"/>
      <c r="AF498" s="1296">
        <f>Resum!F1</f>
        <v>356000</v>
      </c>
      <c r="AG498" s="1086">
        <f>AF498*I498</f>
        <v>218228000</v>
      </c>
      <c r="AH498" s="1087">
        <v>2530000</v>
      </c>
      <c r="AI498" s="1087">
        <f>AH498*Q498*0.75</f>
        <v>128346900</v>
      </c>
      <c r="AJ498" s="1335">
        <f>SUM(AI498:AI507)</f>
        <v>143045775</v>
      </c>
      <c r="AK498" s="1336"/>
      <c r="AL498" s="1090"/>
      <c r="AM498" s="1297">
        <f>SUM(AL500:AL504)</f>
        <v>1803500</v>
      </c>
      <c r="AN498" s="1086">
        <f>AM498+AJ498+AG498</f>
        <v>363077275</v>
      </c>
      <c r="AO498" s="1298"/>
      <c r="AP498" s="1136">
        <f>(AG498+72624000)*15%</f>
        <v>43627800</v>
      </c>
      <c r="AQ498" s="1087">
        <f>(AG498+AI498)*1%</f>
        <v>3465749</v>
      </c>
      <c r="AR498" s="1136">
        <f>(AG498+AI498)*5%</f>
        <v>17328745</v>
      </c>
      <c r="AS498" s="1087">
        <f>0.5%*(AG498+AI498)*(3)</f>
        <v>5198623.5</v>
      </c>
      <c r="AT498" s="1086">
        <f>+AS498+AR498+AQ498+AP498+AO498</f>
        <v>69620917.5</v>
      </c>
      <c r="AU498" s="1137">
        <f>ROUND(AT498+AN498,-3)</f>
        <v>432698000</v>
      </c>
      <c r="AV498" s="1041"/>
    </row>
    <row r="499" spans="1:48" ht="16.5" customHeight="1">
      <c r="A499" s="1082"/>
      <c r="B499" s="1038" t="s">
        <v>16</v>
      </c>
      <c r="C499" s="1071" t="s">
        <v>161</v>
      </c>
      <c r="D499" s="1038"/>
      <c r="E499" s="1071"/>
      <c r="F499" s="1138"/>
      <c r="G499" s="1038" t="s">
        <v>16</v>
      </c>
      <c r="H499" s="1039" t="s">
        <v>22</v>
      </c>
      <c r="I499" s="1346"/>
      <c r="J499" s="1069"/>
      <c r="K499" s="1339"/>
      <c r="L499" s="1139"/>
      <c r="M499" s="1128"/>
      <c r="N499" s="1038" t="s">
        <v>16</v>
      </c>
      <c r="O499" s="1293" t="s">
        <v>21</v>
      </c>
      <c r="P499" s="1347">
        <v>1</v>
      </c>
      <c r="Q499" s="1213">
        <v>10.199999999999999</v>
      </c>
      <c r="R499" s="1074"/>
      <c r="S499" s="1074"/>
      <c r="T499" s="1075"/>
      <c r="U499" s="1091"/>
      <c r="V499" s="1073"/>
      <c r="W499" s="1079"/>
      <c r="X499" s="1078"/>
      <c r="Y499" s="1039"/>
      <c r="Z499" s="1134"/>
      <c r="AA499" s="1074"/>
      <c r="AB499" s="1126"/>
      <c r="AC499" s="1073"/>
      <c r="AD499" s="1084"/>
      <c r="AE499" s="1062"/>
      <c r="AF499" s="1296"/>
      <c r="AG499" s="1297"/>
      <c r="AH499" s="1298">
        <v>350000</v>
      </c>
      <c r="AI499" s="1087">
        <f>AH499*Q499*0.7</f>
        <v>2498999.9999999995</v>
      </c>
      <c r="AJ499" s="1299"/>
      <c r="AK499" s="1300"/>
      <c r="AL499" s="1090"/>
      <c r="AM499" s="1297"/>
      <c r="AN499" s="1297"/>
      <c r="AO499" s="1298"/>
      <c r="AP499" s="1301"/>
      <c r="AQ499" s="1298"/>
      <c r="AR499" s="1301"/>
      <c r="AS499" s="1301"/>
      <c r="AT499" s="1297"/>
      <c r="AU499" s="1299"/>
      <c r="AV499" s="1067"/>
    </row>
    <row r="500" spans="1:48" ht="16.5" customHeight="1">
      <c r="A500" s="1082"/>
      <c r="B500" s="1038" t="s">
        <v>18</v>
      </c>
      <c r="C500" s="1039" t="s">
        <v>38</v>
      </c>
      <c r="D500" s="1038"/>
      <c r="E500" s="1039"/>
      <c r="F500" s="1138"/>
      <c r="G500" s="1038" t="s">
        <v>18</v>
      </c>
      <c r="H500" s="1039" t="s">
        <v>19</v>
      </c>
      <c r="I500" s="1346"/>
      <c r="J500" s="1069"/>
      <c r="K500" s="1339"/>
      <c r="L500" s="1139"/>
      <c r="M500" s="1128"/>
      <c r="N500" s="1038" t="s">
        <v>18</v>
      </c>
      <c r="O500" s="1293" t="s">
        <v>17</v>
      </c>
      <c r="P500" s="1347">
        <v>1</v>
      </c>
      <c r="Q500" s="1213"/>
      <c r="R500" s="1074" t="s">
        <v>16</v>
      </c>
      <c r="S500" s="1074" t="s">
        <v>15</v>
      </c>
      <c r="T500" s="1075">
        <v>4</v>
      </c>
      <c r="U500" s="1091">
        <v>1</v>
      </c>
      <c r="V500" s="1073" t="s">
        <v>14</v>
      </c>
      <c r="W500" s="1140">
        <v>0</v>
      </c>
      <c r="X500" s="1141">
        <v>6</v>
      </c>
      <c r="Y500" s="1142">
        <v>0</v>
      </c>
      <c r="Z500" s="1143">
        <f>SUM(W500:Y500)</f>
        <v>6</v>
      </c>
      <c r="AA500" s="1074"/>
      <c r="AB500" s="1126"/>
      <c r="AC500" s="1073"/>
      <c r="AD500" s="1084"/>
      <c r="AE500" s="1062"/>
      <c r="AF500" s="1296"/>
      <c r="AG500" s="1297"/>
      <c r="AH500" s="1298">
        <v>2500000</v>
      </c>
      <c r="AI500" s="1087">
        <f>AH500*P500*0.5</f>
        <v>1250000</v>
      </c>
      <c r="AJ500" s="1299"/>
      <c r="AK500" s="1089">
        <v>231000</v>
      </c>
      <c r="AL500" s="1087">
        <f>AK500*X500</f>
        <v>1386000</v>
      </c>
      <c r="AM500" s="1297"/>
      <c r="AN500" s="1297"/>
      <c r="AO500" s="1298"/>
      <c r="AP500" s="1301"/>
      <c r="AQ500" s="1298"/>
      <c r="AR500" s="1301"/>
      <c r="AS500" s="1301"/>
      <c r="AT500" s="1297"/>
      <c r="AU500" s="1299"/>
      <c r="AV500" s="1067"/>
    </row>
    <row r="501" spans="1:48" ht="49.5" customHeight="1">
      <c r="A501" s="1082"/>
      <c r="B501" s="1082" t="s">
        <v>12</v>
      </c>
      <c r="C501" s="1083" t="s">
        <v>123</v>
      </c>
      <c r="D501" s="1038"/>
      <c r="E501" s="1083"/>
      <c r="F501" s="1138"/>
      <c r="G501" s="1038"/>
      <c r="H501" s="1092"/>
      <c r="I501" s="1346"/>
      <c r="J501" s="1069"/>
      <c r="K501" s="1339"/>
      <c r="L501" s="1139"/>
      <c r="M501" s="1128"/>
      <c r="N501" s="1038" t="s">
        <v>12</v>
      </c>
      <c r="O501" s="1293" t="s">
        <v>11</v>
      </c>
      <c r="P501" s="1347">
        <v>1</v>
      </c>
      <c r="Q501" s="1213"/>
      <c r="R501" s="1074"/>
      <c r="S501" s="1074"/>
      <c r="T501" s="1075"/>
      <c r="U501" s="1091">
        <v>2</v>
      </c>
      <c r="V501" s="1073" t="s">
        <v>36</v>
      </c>
      <c r="W501" s="1140">
        <v>1</v>
      </c>
      <c r="X501" s="1141">
        <v>0</v>
      </c>
      <c r="Y501" s="1142">
        <v>0</v>
      </c>
      <c r="Z501" s="1143">
        <f>SUM(W501:Y501)</f>
        <v>1</v>
      </c>
      <c r="AA501" s="1074"/>
      <c r="AB501" s="1126"/>
      <c r="AC501" s="1073"/>
      <c r="AD501" s="1084"/>
      <c r="AE501" s="1062"/>
      <c r="AF501" s="1296"/>
      <c r="AG501" s="1297"/>
      <c r="AH501" s="1298">
        <v>2500000</v>
      </c>
      <c r="AI501" s="1087">
        <f>AH501*P501*0.75</f>
        <v>1875000</v>
      </c>
      <c r="AJ501" s="1299"/>
      <c r="AK501" s="1300">
        <v>150000</v>
      </c>
      <c r="AL501" s="1090">
        <f t="shared" si="40"/>
        <v>150000</v>
      </c>
      <c r="AM501" s="1297"/>
      <c r="AN501" s="1297"/>
      <c r="AO501" s="1298"/>
      <c r="AP501" s="1301"/>
      <c r="AQ501" s="1298"/>
      <c r="AR501" s="1301"/>
      <c r="AS501" s="1301"/>
      <c r="AT501" s="1297"/>
      <c r="AU501" s="1299"/>
      <c r="AV501" s="1067"/>
    </row>
    <row r="502" spans="1:48" ht="33" customHeight="1">
      <c r="A502" s="1082"/>
      <c r="B502" s="1082" t="s">
        <v>8</v>
      </c>
      <c r="C502" s="1147" t="s">
        <v>158</v>
      </c>
      <c r="D502" s="1038"/>
      <c r="E502" s="1083"/>
      <c r="F502" s="1138"/>
      <c r="G502" s="1038"/>
      <c r="H502" s="1092"/>
      <c r="I502" s="1346"/>
      <c r="J502" s="1069"/>
      <c r="K502" s="1339"/>
      <c r="L502" s="1139"/>
      <c r="M502" s="1128"/>
      <c r="N502" s="1038" t="s">
        <v>8</v>
      </c>
      <c r="O502" s="1293" t="s">
        <v>156</v>
      </c>
      <c r="P502" s="1347">
        <v>1</v>
      </c>
      <c r="Q502" s="1213">
        <v>37.51</v>
      </c>
      <c r="R502" s="1074"/>
      <c r="S502" s="1074"/>
      <c r="T502" s="1075"/>
      <c r="U502" s="1091">
        <v>3</v>
      </c>
      <c r="V502" s="1073" t="s">
        <v>157</v>
      </c>
      <c r="W502" s="1140">
        <v>0</v>
      </c>
      <c r="X502" s="1141">
        <v>3</v>
      </c>
      <c r="Y502" s="1142">
        <v>0</v>
      </c>
      <c r="Z502" s="1143">
        <f>SUM(W502:Y502)</f>
        <v>3</v>
      </c>
      <c r="AA502" s="1074"/>
      <c r="AB502" s="1126"/>
      <c r="AC502" s="1073"/>
      <c r="AD502" s="1084"/>
      <c r="AE502" s="1062"/>
      <c r="AF502" s="1296"/>
      <c r="AG502" s="1297"/>
      <c r="AH502" s="1298">
        <v>350000</v>
      </c>
      <c r="AI502" s="1087">
        <f>AH502*Q502*0.5</f>
        <v>6564250</v>
      </c>
      <c r="AJ502" s="1299"/>
      <c r="AK502" s="1089">
        <v>82500</v>
      </c>
      <c r="AL502" s="1090">
        <f>AK502*X502</f>
        <v>247500</v>
      </c>
      <c r="AM502" s="1297"/>
      <c r="AN502" s="1297"/>
      <c r="AO502" s="1298"/>
      <c r="AP502" s="1301"/>
      <c r="AQ502" s="1298"/>
      <c r="AR502" s="1301"/>
      <c r="AS502" s="1301"/>
      <c r="AT502" s="1297"/>
      <c r="AU502" s="1299"/>
      <c r="AV502" s="1067"/>
    </row>
    <row r="503" spans="1:48" ht="16.5" customHeight="1">
      <c r="A503" s="1082"/>
      <c r="B503" s="1082"/>
      <c r="C503" s="1083"/>
      <c r="D503" s="1038"/>
      <c r="E503" s="1083"/>
      <c r="F503" s="1138"/>
      <c r="G503" s="1038"/>
      <c r="H503" s="1092"/>
      <c r="I503" s="1346"/>
      <c r="J503" s="1069"/>
      <c r="K503" s="1339"/>
      <c r="L503" s="1139"/>
      <c r="M503" s="1128"/>
      <c r="N503" s="1038" t="s">
        <v>54</v>
      </c>
      <c r="O503" s="1293" t="s">
        <v>155</v>
      </c>
      <c r="P503" s="1347">
        <v>1</v>
      </c>
      <c r="Q503" s="1213">
        <v>29.45</v>
      </c>
      <c r="R503" s="1074"/>
      <c r="S503" s="1074"/>
      <c r="T503" s="1075"/>
      <c r="U503" s="1091">
        <v>4</v>
      </c>
      <c r="V503" s="1073" t="s">
        <v>6</v>
      </c>
      <c r="W503" s="1140">
        <v>2</v>
      </c>
      <c r="X503" s="1141">
        <v>0</v>
      </c>
      <c r="Y503" s="1194">
        <v>0</v>
      </c>
      <c r="Z503" s="1143">
        <f>SUM(W503:Y503)</f>
        <v>2</v>
      </c>
      <c r="AA503" s="1074"/>
      <c r="AB503" s="1126"/>
      <c r="AC503" s="1073"/>
      <c r="AD503" s="1084"/>
      <c r="AE503" s="1062"/>
      <c r="AF503" s="1296"/>
      <c r="AG503" s="1297"/>
      <c r="AH503" s="1298">
        <v>125000</v>
      </c>
      <c r="AI503" s="1087">
        <f>AH503*Q503*0.5</f>
        <v>1840625</v>
      </c>
      <c r="AJ503" s="1299"/>
      <c r="AK503" s="1300">
        <v>10000</v>
      </c>
      <c r="AL503" s="1090">
        <f t="shared" si="40"/>
        <v>20000</v>
      </c>
      <c r="AM503" s="1297"/>
      <c r="AN503" s="1297"/>
      <c r="AO503" s="1298"/>
      <c r="AP503" s="1301"/>
      <c r="AQ503" s="1298"/>
      <c r="AR503" s="1301"/>
      <c r="AS503" s="1301"/>
      <c r="AT503" s="1297"/>
      <c r="AU503" s="1299"/>
      <c r="AV503" s="1067"/>
    </row>
    <row r="504" spans="1:48" ht="16.5" customHeight="1">
      <c r="A504" s="1082"/>
      <c r="B504" s="1082"/>
      <c r="C504" s="1083"/>
      <c r="D504" s="1038"/>
      <c r="E504" s="1083"/>
      <c r="F504" s="1138"/>
      <c r="G504" s="1038"/>
      <c r="H504" s="1092"/>
      <c r="I504" s="1346"/>
      <c r="J504" s="1069"/>
      <c r="K504" s="1339"/>
      <c r="L504" s="1139"/>
      <c r="M504" s="1128"/>
      <c r="N504" s="1038" t="s">
        <v>53</v>
      </c>
      <c r="O504" s="1293" t="s">
        <v>1981</v>
      </c>
      <c r="P504" s="1347">
        <v>1</v>
      </c>
      <c r="Q504" s="1213">
        <v>13.4</v>
      </c>
      <c r="R504" s="1074"/>
      <c r="S504" s="1074"/>
      <c r="T504" s="1075"/>
      <c r="U504" s="1091"/>
      <c r="V504" s="1073"/>
      <c r="W504" s="1079"/>
      <c r="X504" s="1078"/>
      <c r="Y504" s="1039"/>
      <c r="Z504" s="1134"/>
      <c r="AA504" s="1074"/>
      <c r="AB504" s="1126"/>
      <c r="AC504" s="1073"/>
      <c r="AD504" s="1084"/>
      <c r="AE504" s="1062"/>
      <c r="AF504" s="1296"/>
      <c r="AG504" s="1297"/>
      <c r="AH504" s="1298">
        <v>100000</v>
      </c>
      <c r="AI504" s="1087">
        <f>AH504*Q504*0.5</f>
        <v>670000</v>
      </c>
      <c r="AJ504" s="1299"/>
      <c r="AK504" s="1300"/>
      <c r="AL504" s="1090"/>
      <c r="AM504" s="1297"/>
      <c r="AN504" s="1297"/>
      <c r="AO504" s="1298"/>
      <c r="AP504" s="1301"/>
      <c r="AQ504" s="1298"/>
      <c r="AR504" s="1301"/>
      <c r="AS504" s="1301"/>
      <c r="AT504" s="1297"/>
      <c r="AU504" s="1299"/>
      <c r="AV504" s="1067"/>
    </row>
    <row r="505" spans="1:48" ht="16.5" customHeight="1">
      <c r="A505" s="1082"/>
      <c r="B505" s="1082"/>
      <c r="C505" s="1083"/>
      <c r="D505" s="1038"/>
      <c r="E505" s="1083"/>
      <c r="F505" s="1138"/>
      <c r="G505" s="1038"/>
      <c r="H505" s="1092"/>
      <c r="I505" s="1346"/>
      <c r="J505" s="1069"/>
      <c r="K505" s="1339"/>
      <c r="L505" s="1139"/>
      <c r="M505" s="1128"/>
      <c r="N505" s="1038"/>
      <c r="O505" s="1071"/>
      <c r="P505" s="1347"/>
      <c r="Q505" s="1213"/>
      <c r="R505" s="1074"/>
      <c r="S505" s="1074"/>
      <c r="T505" s="1075"/>
      <c r="U505" s="1091"/>
      <c r="V505" s="1073"/>
      <c r="W505" s="1079"/>
      <c r="X505" s="1078"/>
      <c r="Y505" s="1039"/>
      <c r="Z505" s="1134"/>
      <c r="AA505" s="1074"/>
      <c r="AB505" s="1126"/>
      <c r="AC505" s="1073"/>
      <c r="AD505" s="1084"/>
      <c r="AE505" s="1062"/>
      <c r="AF505" s="1296"/>
      <c r="AG505" s="1297"/>
      <c r="AH505" s="1298"/>
      <c r="AI505" s="1298"/>
      <c r="AJ505" s="1299"/>
      <c r="AK505" s="1300"/>
      <c r="AL505" s="1090"/>
      <c r="AM505" s="1297"/>
      <c r="AN505" s="1297"/>
      <c r="AO505" s="1298"/>
      <c r="AP505" s="1301"/>
      <c r="AQ505" s="1298"/>
      <c r="AR505" s="1301"/>
      <c r="AS505" s="1301"/>
      <c r="AT505" s="1297"/>
      <c r="AU505" s="1299"/>
      <c r="AV505" s="1067"/>
    </row>
    <row r="506" spans="1:48" ht="16.5" customHeight="1">
      <c r="A506" s="1082"/>
      <c r="B506" s="1082"/>
      <c r="C506" s="1083"/>
      <c r="D506" s="1038"/>
      <c r="E506" s="1083"/>
      <c r="F506" s="1138"/>
      <c r="G506" s="1038"/>
      <c r="H506" s="1092"/>
      <c r="I506" s="1346"/>
      <c r="J506" s="1069"/>
      <c r="K506" s="1339"/>
      <c r="L506" s="1139"/>
      <c r="M506" s="1128"/>
      <c r="N506" s="1038"/>
      <c r="O506" s="1071"/>
      <c r="P506" s="1347"/>
      <c r="Q506" s="1213"/>
      <c r="R506" s="1074"/>
      <c r="S506" s="1074"/>
      <c r="T506" s="1075"/>
      <c r="U506" s="1091"/>
      <c r="V506" s="1073"/>
      <c r="W506" s="1079"/>
      <c r="X506" s="1078"/>
      <c r="Y506" s="1039"/>
      <c r="Z506" s="1134"/>
      <c r="AA506" s="1074"/>
      <c r="AB506" s="1126"/>
      <c r="AC506" s="1073"/>
      <c r="AD506" s="1084"/>
      <c r="AE506" s="1062"/>
      <c r="AF506" s="1296"/>
      <c r="AG506" s="1297"/>
      <c r="AH506" s="1298"/>
      <c r="AI506" s="1298"/>
      <c r="AJ506" s="1299"/>
      <c r="AK506" s="1300"/>
      <c r="AL506" s="1090"/>
      <c r="AM506" s="1297"/>
      <c r="AN506" s="1297"/>
      <c r="AO506" s="1298"/>
      <c r="AP506" s="1301"/>
      <c r="AQ506" s="1298"/>
      <c r="AR506" s="1301"/>
      <c r="AS506" s="1301"/>
      <c r="AT506" s="1297"/>
      <c r="AU506" s="1299"/>
      <c r="AV506" s="1067"/>
    </row>
    <row r="507" spans="1:48" ht="16.5" customHeight="1">
      <c r="A507" s="1098"/>
      <c r="B507" s="1098"/>
      <c r="C507" s="1105"/>
      <c r="D507" s="1095"/>
      <c r="E507" s="1105"/>
      <c r="F507" s="1150"/>
      <c r="G507" s="1095"/>
      <c r="H507" s="1099"/>
      <c r="I507" s="1349"/>
      <c r="J507" s="1103"/>
      <c r="K507" s="1342"/>
      <c r="L507" s="1154"/>
      <c r="M507" s="1153"/>
      <c r="N507" s="1095"/>
      <c r="O507" s="1105"/>
      <c r="P507" s="1109"/>
      <c r="Q507" s="1108"/>
      <c r="R507" s="1094"/>
      <c r="S507" s="1094"/>
      <c r="T507" s="1168"/>
      <c r="U507" s="1109"/>
      <c r="V507" s="1107"/>
      <c r="W507" s="1111"/>
      <c r="X507" s="1110"/>
      <c r="Y507" s="1096"/>
      <c r="Z507" s="1286"/>
      <c r="AA507" s="1094"/>
      <c r="AB507" s="1156"/>
      <c r="AC507" s="1107"/>
      <c r="AD507" s="1114"/>
      <c r="AE507" s="1093"/>
      <c r="AF507" s="1305"/>
      <c r="AG507" s="1306"/>
      <c r="AH507" s="1307"/>
      <c r="AI507" s="1307"/>
      <c r="AJ507" s="1308"/>
      <c r="AK507" s="1309"/>
      <c r="AL507" s="1120"/>
      <c r="AM507" s="1306"/>
      <c r="AN507" s="1306"/>
      <c r="AO507" s="1307"/>
      <c r="AP507" s="1310"/>
      <c r="AQ507" s="1307"/>
      <c r="AR507" s="1310"/>
      <c r="AS507" s="1310"/>
      <c r="AT507" s="1306"/>
      <c r="AU507" s="1308"/>
      <c r="AV507" s="1101"/>
    </row>
    <row r="508" spans="1:48" ht="33" customHeight="1">
      <c r="A508" s="1351">
        <v>37</v>
      </c>
      <c r="B508" s="1122" t="s">
        <v>25</v>
      </c>
      <c r="C508" s="1039" t="s">
        <v>153</v>
      </c>
      <c r="D508" s="1245"/>
      <c r="E508" s="1247"/>
      <c r="F508" s="1171" t="s">
        <v>152</v>
      </c>
      <c r="G508" s="1243" t="s">
        <v>25</v>
      </c>
      <c r="H508" s="1083" t="s">
        <v>29</v>
      </c>
      <c r="I508" s="1346">
        <v>476</v>
      </c>
      <c r="J508" s="1069" t="s">
        <v>41</v>
      </c>
      <c r="K508" s="1339" t="s">
        <v>151</v>
      </c>
      <c r="L508" s="1129" t="s">
        <v>46</v>
      </c>
      <c r="M508" s="1352"/>
      <c r="N508" s="1035"/>
      <c r="O508" s="1045"/>
      <c r="P508" s="1344"/>
      <c r="Q508" s="1212"/>
      <c r="R508" s="1123" t="s">
        <v>25</v>
      </c>
      <c r="S508" s="1074" t="s">
        <v>24</v>
      </c>
      <c r="T508" s="1075"/>
      <c r="U508" s="1091"/>
      <c r="V508" s="1073"/>
      <c r="W508" s="1079"/>
      <c r="X508" s="1078"/>
      <c r="Y508" s="1039"/>
      <c r="Z508" s="1134"/>
      <c r="AA508" s="1123"/>
      <c r="AB508" s="1126"/>
      <c r="AC508" s="1073"/>
      <c r="AD508" s="1084"/>
      <c r="AE508" s="1062"/>
      <c r="AF508" s="1296">
        <f>Resum!F1</f>
        <v>356000</v>
      </c>
      <c r="AG508" s="1086">
        <f>AF508*I508</f>
        <v>169456000</v>
      </c>
      <c r="AH508" s="1298"/>
      <c r="AI508" s="1298"/>
      <c r="AJ508" s="1299"/>
      <c r="AK508" s="1300"/>
      <c r="AL508" s="1090"/>
      <c r="AM508" s="1297">
        <f>SUM(AL510:AL533)</f>
        <v>2327750</v>
      </c>
      <c r="AN508" s="1086">
        <f>AM508+AJ508+AG508</f>
        <v>171783750</v>
      </c>
      <c r="AO508" s="1298"/>
      <c r="AP508" s="1136">
        <f>AI508*15%</f>
        <v>0</v>
      </c>
      <c r="AQ508" s="1087">
        <v>0</v>
      </c>
      <c r="AR508" s="1136">
        <f>(AG508+AI508)*5%</f>
        <v>8472800</v>
      </c>
      <c r="AS508" s="1087">
        <f>0.5%*(AG508+AI508)*(3)</f>
        <v>2541840</v>
      </c>
      <c r="AT508" s="1086">
        <f>+AS508+AR508+AQ508+AP508+AO508</f>
        <v>11014640</v>
      </c>
      <c r="AU508" s="1137">
        <f>ROUND(AT508+AN508,-3)</f>
        <v>182798000</v>
      </c>
      <c r="AV508" s="1041"/>
    </row>
    <row r="509" spans="1:48" ht="16.5" customHeight="1">
      <c r="A509" s="1082"/>
      <c r="B509" s="1038" t="s">
        <v>16</v>
      </c>
      <c r="C509" s="1071" t="s">
        <v>149</v>
      </c>
      <c r="D509" s="1245"/>
      <c r="E509" s="1247"/>
      <c r="F509" s="1138"/>
      <c r="G509" s="1038" t="s">
        <v>16</v>
      </c>
      <c r="H509" s="1039" t="s">
        <v>22</v>
      </c>
      <c r="I509" s="1346"/>
      <c r="J509" s="1069"/>
      <c r="K509" s="1339"/>
      <c r="L509" s="1139"/>
      <c r="M509" s="1128"/>
      <c r="N509" s="1038"/>
      <c r="O509" s="1071"/>
      <c r="P509" s="1347"/>
      <c r="Q509" s="1213"/>
      <c r="R509" s="1074"/>
      <c r="S509" s="1074"/>
      <c r="T509" s="1075"/>
      <c r="U509" s="1091"/>
      <c r="V509" s="1073"/>
      <c r="W509" s="1079"/>
      <c r="X509" s="1078"/>
      <c r="Y509" s="1039"/>
      <c r="Z509" s="1134"/>
      <c r="AA509" s="1074"/>
      <c r="AB509" s="1126"/>
      <c r="AC509" s="1073"/>
      <c r="AD509" s="1084"/>
      <c r="AE509" s="1062"/>
      <c r="AF509" s="1296"/>
      <c r="AG509" s="1297"/>
      <c r="AH509" s="1298"/>
      <c r="AI509" s="1298"/>
      <c r="AJ509" s="1299"/>
      <c r="AK509" s="1300"/>
      <c r="AL509" s="1090"/>
      <c r="AM509" s="1297"/>
      <c r="AN509" s="1297"/>
      <c r="AO509" s="1298"/>
      <c r="AP509" s="1301"/>
      <c r="AQ509" s="1298"/>
      <c r="AR509" s="1301"/>
      <c r="AS509" s="1301"/>
      <c r="AT509" s="1297"/>
      <c r="AU509" s="1299"/>
      <c r="AV509" s="1067"/>
    </row>
    <row r="510" spans="1:48" ht="16.5" customHeight="1">
      <c r="A510" s="1082"/>
      <c r="B510" s="1038" t="s">
        <v>18</v>
      </c>
      <c r="C510" s="1039" t="s">
        <v>60</v>
      </c>
      <c r="D510" s="1245"/>
      <c r="E510" s="1247"/>
      <c r="F510" s="1138"/>
      <c r="G510" s="1038" t="s">
        <v>18</v>
      </c>
      <c r="H510" s="1039" t="s">
        <v>19</v>
      </c>
      <c r="I510" s="1346"/>
      <c r="J510" s="1069"/>
      <c r="K510" s="1339"/>
      <c r="L510" s="1139"/>
      <c r="M510" s="1128"/>
      <c r="N510" s="1038"/>
      <c r="O510" s="1071"/>
      <c r="P510" s="1347"/>
      <c r="Q510" s="1213"/>
      <c r="R510" s="1074" t="s">
        <v>16</v>
      </c>
      <c r="S510" s="1074" t="s">
        <v>15</v>
      </c>
      <c r="T510" s="1075">
        <v>22</v>
      </c>
      <c r="U510" s="1091">
        <v>1</v>
      </c>
      <c r="V510" s="1255" t="s">
        <v>148</v>
      </c>
      <c r="W510" s="1241">
        <v>2</v>
      </c>
      <c r="X510" s="1241" t="s">
        <v>46</v>
      </c>
      <c r="Y510" s="1242" t="s">
        <v>46</v>
      </c>
      <c r="Z510" s="1143">
        <f t="shared" ref="Z510:Z533" si="41">SUM(W510:Y510)</f>
        <v>2</v>
      </c>
      <c r="AA510" s="1074"/>
      <c r="AB510" s="1126"/>
      <c r="AC510" s="1073"/>
      <c r="AD510" s="1084"/>
      <c r="AE510" s="1062"/>
      <c r="AF510" s="1296"/>
      <c r="AG510" s="1297"/>
      <c r="AH510" s="1298"/>
      <c r="AI510" s="1298"/>
      <c r="AJ510" s="1299"/>
      <c r="AK510" s="1300">
        <v>55900</v>
      </c>
      <c r="AL510" s="1090">
        <f t="shared" si="40"/>
        <v>111800</v>
      </c>
      <c r="AM510" s="1297"/>
      <c r="AN510" s="1297"/>
      <c r="AO510" s="1298"/>
      <c r="AP510" s="1301"/>
      <c r="AQ510" s="1298"/>
      <c r="AR510" s="1301"/>
      <c r="AS510" s="1301"/>
      <c r="AT510" s="1297"/>
      <c r="AU510" s="1299"/>
      <c r="AV510" s="1067"/>
    </row>
    <row r="511" spans="1:48" ht="49.5" customHeight="1">
      <c r="A511" s="1082"/>
      <c r="B511" s="1082" t="s">
        <v>12</v>
      </c>
      <c r="C511" s="1083" t="s">
        <v>147</v>
      </c>
      <c r="D511" s="1245"/>
      <c r="E511" s="1247"/>
      <c r="F511" s="1138"/>
      <c r="G511" s="1038"/>
      <c r="H511" s="1039"/>
      <c r="I511" s="1346"/>
      <c r="J511" s="1069"/>
      <c r="K511" s="1339"/>
      <c r="L511" s="1139"/>
      <c r="M511" s="1128"/>
      <c r="N511" s="1038"/>
      <c r="O511" s="1071"/>
      <c r="P511" s="1347"/>
      <c r="Q511" s="1213"/>
      <c r="R511" s="1074"/>
      <c r="S511" s="1074"/>
      <c r="T511" s="1075"/>
      <c r="U511" s="1091">
        <v>2</v>
      </c>
      <c r="V511" s="1255" t="s">
        <v>146</v>
      </c>
      <c r="W511" s="1241">
        <v>3</v>
      </c>
      <c r="X511" s="1241" t="s">
        <v>46</v>
      </c>
      <c r="Y511" s="1242" t="s">
        <v>46</v>
      </c>
      <c r="Z511" s="1143">
        <f t="shared" si="41"/>
        <v>3</v>
      </c>
      <c r="AA511" s="1074"/>
      <c r="AB511" s="1126"/>
      <c r="AC511" s="1073"/>
      <c r="AD511" s="1084"/>
      <c r="AE511" s="1062"/>
      <c r="AF511" s="1296"/>
      <c r="AG511" s="1297"/>
      <c r="AH511" s="1298"/>
      <c r="AI511" s="1298"/>
      <c r="AJ511" s="1299"/>
      <c r="AK511" s="1300"/>
      <c r="AL511" s="1090">
        <f t="shared" si="40"/>
        <v>0</v>
      </c>
      <c r="AM511" s="1297"/>
      <c r="AN511" s="1297"/>
      <c r="AO511" s="1298"/>
      <c r="AP511" s="1301"/>
      <c r="AQ511" s="1298"/>
      <c r="AR511" s="1301"/>
      <c r="AS511" s="1301"/>
      <c r="AT511" s="1297"/>
      <c r="AU511" s="1299"/>
      <c r="AV511" s="1067"/>
    </row>
    <row r="512" spans="1:48" ht="16.5" customHeight="1">
      <c r="A512" s="1082"/>
      <c r="B512" s="1082" t="s">
        <v>8</v>
      </c>
      <c r="C512" s="1147" t="s">
        <v>145</v>
      </c>
      <c r="D512" s="1245"/>
      <c r="E512" s="1247"/>
      <c r="F512" s="1138"/>
      <c r="G512" s="1038"/>
      <c r="H512" s="1039"/>
      <c r="I512" s="1346"/>
      <c r="J512" s="1069"/>
      <c r="K512" s="1339"/>
      <c r="L512" s="1139"/>
      <c r="M512" s="1128"/>
      <c r="N512" s="1038"/>
      <c r="O512" s="1071"/>
      <c r="P512" s="1347"/>
      <c r="Q512" s="1213"/>
      <c r="R512" s="1074"/>
      <c r="S512" s="1074"/>
      <c r="T512" s="1075"/>
      <c r="U512" s="1091">
        <v>3</v>
      </c>
      <c r="V512" s="1355" t="s">
        <v>144</v>
      </c>
      <c r="W512" s="1241">
        <v>3</v>
      </c>
      <c r="X512" s="1241" t="s">
        <v>46</v>
      </c>
      <c r="Y512" s="1242"/>
      <c r="Z512" s="1143">
        <f t="shared" si="41"/>
        <v>3</v>
      </c>
      <c r="AA512" s="1074"/>
      <c r="AB512" s="1126"/>
      <c r="AC512" s="1073"/>
      <c r="AD512" s="1084"/>
      <c r="AE512" s="1062"/>
      <c r="AF512" s="1296"/>
      <c r="AG512" s="1297"/>
      <c r="AH512" s="1298"/>
      <c r="AI512" s="1298"/>
      <c r="AJ512" s="1299"/>
      <c r="AK512" s="1300">
        <v>20100</v>
      </c>
      <c r="AL512" s="1090">
        <f t="shared" si="40"/>
        <v>60300</v>
      </c>
      <c r="AM512" s="1297"/>
      <c r="AN512" s="1297"/>
      <c r="AO512" s="1298"/>
      <c r="AP512" s="1301"/>
      <c r="AQ512" s="1298"/>
      <c r="AR512" s="1301"/>
      <c r="AS512" s="1301"/>
      <c r="AT512" s="1297"/>
      <c r="AU512" s="1299"/>
      <c r="AV512" s="1067"/>
    </row>
    <row r="513" spans="1:48" ht="16.5" customHeight="1">
      <c r="A513" s="1082"/>
      <c r="B513" s="1082"/>
      <c r="C513" s="1147"/>
      <c r="D513" s="1245"/>
      <c r="E513" s="1247"/>
      <c r="F513" s="1138"/>
      <c r="G513" s="1038"/>
      <c r="H513" s="1039"/>
      <c r="I513" s="1346"/>
      <c r="J513" s="1069"/>
      <c r="K513" s="1339"/>
      <c r="L513" s="1139"/>
      <c r="M513" s="1128"/>
      <c r="N513" s="1038"/>
      <c r="O513" s="1071"/>
      <c r="P513" s="1347"/>
      <c r="Q513" s="1213"/>
      <c r="R513" s="1074"/>
      <c r="S513" s="1074"/>
      <c r="T513" s="1075"/>
      <c r="U513" s="1091"/>
      <c r="V513" s="1355" t="s">
        <v>144</v>
      </c>
      <c r="W513" s="1241"/>
      <c r="X513" s="1241" t="s">
        <v>46</v>
      </c>
      <c r="Y513" s="1242">
        <v>9</v>
      </c>
      <c r="Z513" s="1143"/>
      <c r="AA513" s="1074"/>
      <c r="AB513" s="1126"/>
      <c r="AC513" s="1073"/>
      <c r="AD513" s="1084"/>
      <c r="AE513" s="1062"/>
      <c r="AF513" s="1296"/>
      <c r="AG513" s="1297"/>
      <c r="AH513" s="1298"/>
      <c r="AI513" s="1298"/>
      <c r="AJ513" s="1299"/>
      <c r="AK513" s="1300">
        <v>6600</v>
      </c>
      <c r="AL513" s="1090">
        <f>AK513*Y513</f>
        <v>59400</v>
      </c>
      <c r="AM513" s="1297"/>
      <c r="AN513" s="1297"/>
      <c r="AO513" s="1298"/>
      <c r="AP513" s="1301"/>
      <c r="AQ513" s="1298"/>
      <c r="AR513" s="1301"/>
      <c r="AS513" s="1301"/>
      <c r="AT513" s="1297"/>
      <c r="AU513" s="1299"/>
      <c r="AV513" s="1067"/>
    </row>
    <row r="514" spans="1:48" ht="16.5" customHeight="1">
      <c r="A514" s="1082"/>
      <c r="B514" s="1038"/>
      <c r="C514" s="1039"/>
      <c r="D514" s="1245"/>
      <c r="E514" s="1247"/>
      <c r="F514" s="1138"/>
      <c r="G514" s="1038"/>
      <c r="H514" s="1039"/>
      <c r="I514" s="1346"/>
      <c r="J514" s="1069"/>
      <c r="K514" s="1339"/>
      <c r="L514" s="1139"/>
      <c r="M514" s="1128"/>
      <c r="N514" s="1038"/>
      <c r="O514" s="1071"/>
      <c r="P514" s="1347"/>
      <c r="Q514" s="1213"/>
      <c r="R514" s="1074"/>
      <c r="S514" s="1074"/>
      <c r="T514" s="1075"/>
      <c r="U514" s="1091">
        <v>4</v>
      </c>
      <c r="V514" s="1255" t="s">
        <v>143</v>
      </c>
      <c r="W514" s="1241">
        <v>3</v>
      </c>
      <c r="X514" s="1241" t="s">
        <v>46</v>
      </c>
      <c r="Y514" s="1242" t="s">
        <v>46</v>
      </c>
      <c r="Z514" s="1143">
        <f t="shared" si="41"/>
        <v>3</v>
      </c>
      <c r="AA514" s="1074"/>
      <c r="AB514" s="1126"/>
      <c r="AC514" s="1073"/>
      <c r="AD514" s="1084"/>
      <c r="AE514" s="1062"/>
      <c r="AF514" s="1296"/>
      <c r="AG514" s="1297"/>
      <c r="AH514" s="1298"/>
      <c r="AI514" s="1298"/>
      <c r="AJ514" s="1299"/>
      <c r="AK514" s="1300">
        <v>10000</v>
      </c>
      <c r="AL514" s="1090">
        <f t="shared" si="40"/>
        <v>30000</v>
      </c>
      <c r="AM514" s="1297"/>
      <c r="AN514" s="1297"/>
      <c r="AO514" s="1298"/>
      <c r="AP514" s="1301"/>
      <c r="AQ514" s="1298"/>
      <c r="AR514" s="1301"/>
      <c r="AS514" s="1301"/>
      <c r="AT514" s="1297"/>
      <c r="AU514" s="1299"/>
      <c r="AV514" s="1067"/>
    </row>
    <row r="515" spans="1:48" ht="16.5" customHeight="1">
      <c r="A515" s="1082"/>
      <c r="B515" s="1038"/>
      <c r="C515" s="1039"/>
      <c r="D515" s="1245"/>
      <c r="E515" s="1247"/>
      <c r="F515" s="1138"/>
      <c r="G515" s="1038"/>
      <c r="H515" s="1039"/>
      <c r="I515" s="1346"/>
      <c r="J515" s="1069"/>
      <c r="K515" s="1339"/>
      <c r="L515" s="1139"/>
      <c r="M515" s="1128"/>
      <c r="N515" s="1038"/>
      <c r="O515" s="1071"/>
      <c r="P515" s="1347"/>
      <c r="Q515" s="1213"/>
      <c r="R515" s="1074"/>
      <c r="S515" s="1074"/>
      <c r="T515" s="1075"/>
      <c r="U515" s="1091">
        <v>5</v>
      </c>
      <c r="V515" s="1255" t="s">
        <v>142</v>
      </c>
      <c r="W515" s="1241" t="s">
        <v>46</v>
      </c>
      <c r="X515" s="1241">
        <v>1</v>
      </c>
      <c r="Y515" s="1242" t="s">
        <v>46</v>
      </c>
      <c r="Z515" s="1143">
        <f t="shared" si="41"/>
        <v>1</v>
      </c>
      <c r="AA515" s="1074"/>
      <c r="AB515" s="1126"/>
      <c r="AC515" s="1073"/>
      <c r="AD515" s="1084"/>
      <c r="AE515" s="1062"/>
      <c r="AF515" s="1296"/>
      <c r="AG515" s="1297"/>
      <c r="AH515" s="1298"/>
      <c r="AI515" s="1298"/>
      <c r="AJ515" s="1299"/>
      <c r="AK515" s="1300">
        <v>165000</v>
      </c>
      <c r="AL515" s="1090">
        <f>AK515*X515</f>
        <v>165000</v>
      </c>
      <c r="AM515" s="1297"/>
      <c r="AN515" s="1297"/>
      <c r="AO515" s="1298"/>
      <c r="AP515" s="1301"/>
      <c r="AQ515" s="1298"/>
      <c r="AR515" s="1301"/>
      <c r="AS515" s="1301"/>
      <c r="AT515" s="1297"/>
      <c r="AU515" s="1299"/>
      <c r="AV515" s="1067"/>
    </row>
    <row r="516" spans="1:48" ht="16.5" customHeight="1">
      <c r="A516" s="1082"/>
      <c r="B516" s="1038"/>
      <c r="C516" s="1039"/>
      <c r="D516" s="1245"/>
      <c r="E516" s="1247"/>
      <c r="F516" s="1138"/>
      <c r="G516" s="1038"/>
      <c r="H516" s="1039"/>
      <c r="I516" s="1346"/>
      <c r="J516" s="1069"/>
      <c r="K516" s="1339"/>
      <c r="L516" s="1139"/>
      <c r="M516" s="1128"/>
      <c r="N516" s="1038"/>
      <c r="O516" s="1071"/>
      <c r="P516" s="1347"/>
      <c r="Q516" s="1213"/>
      <c r="R516" s="1074"/>
      <c r="S516" s="1074"/>
      <c r="T516" s="1075"/>
      <c r="U516" s="1091">
        <v>6</v>
      </c>
      <c r="V516" s="1255" t="s">
        <v>141</v>
      </c>
      <c r="W516" s="1241">
        <v>50</v>
      </c>
      <c r="X516" s="1241" t="s">
        <v>46</v>
      </c>
      <c r="Y516" s="1242" t="s">
        <v>46</v>
      </c>
      <c r="Z516" s="1143">
        <f t="shared" si="41"/>
        <v>50</v>
      </c>
      <c r="AA516" s="1074"/>
      <c r="AB516" s="1126"/>
      <c r="AC516" s="1073"/>
      <c r="AD516" s="1084"/>
      <c r="AE516" s="1062"/>
      <c r="AF516" s="1296"/>
      <c r="AG516" s="1297"/>
      <c r="AH516" s="1298"/>
      <c r="AI516" s="1298"/>
      <c r="AJ516" s="1299"/>
      <c r="AK516" s="1300">
        <v>10000</v>
      </c>
      <c r="AL516" s="1090">
        <f>AK516*W516</f>
        <v>500000</v>
      </c>
      <c r="AM516" s="1297"/>
      <c r="AN516" s="1297"/>
      <c r="AO516" s="1298"/>
      <c r="AP516" s="1301"/>
      <c r="AQ516" s="1298"/>
      <c r="AR516" s="1301"/>
      <c r="AS516" s="1301"/>
      <c r="AT516" s="1297"/>
      <c r="AU516" s="1299"/>
      <c r="AV516" s="1067"/>
    </row>
    <row r="517" spans="1:48" ht="16.5" customHeight="1">
      <c r="A517" s="1082"/>
      <c r="B517" s="1038"/>
      <c r="C517" s="1039"/>
      <c r="D517" s="1245"/>
      <c r="E517" s="1247"/>
      <c r="F517" s="1138"/>
      <c r="G517" s="1038"/>
      <c r="H517" s="1039"/>
      <c r="I517" s="1346"/>
      <c r="J517" s="1069"/>
      <c r="K517" s="1339"/>
      <c r="L517" s="1139"/>
      <c r="M517" s="1128"/>
      <c r="N517" s="1038"/>
      <c r="O517" s="1071"/>
      <c r="P517" s="1347"/>
      <c r="Q517" s="1213"/>
      <c r="R517" s="1074"/>
      <c r="S517" s="1074"/>
      <c r="T517" s="1075"/>
      <c r="U517" s="1091">
        <v>7</v>
      </c>
      <c r="V517" s="1255" t="s">
        <v>140</v>
      </c>
      <c r="W517" s="1241">
        <v>2</v>
      </c>
      <c r="X517" s="1241" t="s">
        <v>46</v>
      </c>
      <c r="Y517" s="1242" t="s">
        <v>46</v>
      </c>
      <c r="Z517" s="1143">
        <f t="shared" si="41"/>
        <v>2</v>
      </c>
      <c r="AA517" s="1074"/>
      <c r="AB517" s="1126"/>
      <c r="AC517" s="1073"/>
      <c r="AD517" s="1084"/>
      <c r="AE517" s="1062"/>
      <c r="AF517" s="1296"/>
      <c r="AG517" s="1297"/>
      <c r="AH517" s="1298"/>
      <c r="AI517" s="1298"/>
      <c r="AJ517" s="1299"/>
      <c r="AK517" s="1300">
        <v>2300</v>
      </c>
      <c r="AL517" s="1090">
        <f>AK517*W517</f>
        <v>4600</v>
      </c>
      <c r="AM517" s="1297"/>
      <c r="AN517" s="1297"/>
      <c r="AO517" s="1298"/>
      <c r="AP517" s="1301"/>
      <c r="AQ517" s="1298"/>
      <c r="AR517" s="1301"/>
      <c r="AS517" s="1301"/>
      <c r="AT517" s="1297"/>
      <c r="AU517" s="1299"/>
      <c r="AV517" s="1067"/>
    </row>
    <row r="518" spans="1:48" ht="16.5" customHeight="1">
      <c r="A518" s="1082"/>
      <c r="B518" s="1245"/>
      <c r="C518" s="1247"/>
      <c r="D518" s="1245"/>
      <c r="E518" s="1247"/>
      <c r="F518" s="1138"/>
      <c r="G518" s="1038"/>
      <c r="H518" s="1039"/>
      <c r="I518" s="1346"/>
      <c r="J518" s="1069"/>
      <c r="K518" s="1339"/>
      <c r="L518" s="1139"/>
      <c r="M518" s="1128"/>
      <c r="N518" s="1038"/>
      <c r="O518" s="1083"/>
      <c r="P518" s="1091"/>
      <c r="Q518" s="1076"/>
      <c r="R518" s="1074"/>
      <c r="S518" s="1074"/>
      <c r="T518" s="1075"/>
      <c r="U518" s="1091">
        <v>8</v>
      </c>
      <c r="V518" s="1255" t="s">
        <v>48</v>
      </c>
      <c r="W518" s="1241" t="s">
        <v>46</v>
      </c>
      <c r="X518" s="1241" t="s">
        <v>46</v>
      </c>
      <c r="Y518" s="1242">
        <v>3</v>
      </c>
      <c r="Z518" s="1143">
        <f t="shared" si="41"/>
        <v>3</v>
      </c>
      <c r="AA518" s="1074"/>
      <c r="AB518" s="1126"/>
      <c r="AC518" s="1073"/>
      <c r="AD518" s="1084"/>
      <c r="AE518" s="1062"/>
      <c r="AF518" s="1296"/>
      <c r="AG518" s="1297"/>
      <c r="AH518" s="1298"/>
      <c r="AI518" s="1298"/>
      <c r="AJ518" s="1299"/>
      <c r="AK518" s="1300">
        <v>5000</v>
      </c>
      <c r="AL518" s="1090">
        <f>AK518*Y518</f>
        <v>15000</v>
      </c>
      <c r="AM518" s="1297"/>
      <c r="AN518" s="1297"/>
      <c r="AO518" s="1298"/>
      <c r="AP518" s="1301"/>
      <c r="AQ518" s="1298"/>
      <c r="AR518" s="1301"/>
      <c r="AS518" s="1301"/>
      <c r="AT518" s="1297"/>
      <c r="AU518" s="1299"/>
      <c r="AV518" s="1067"/>
    </row>
    <row r="519" spans="1:48" ht="16.5" customHeight="1">
      <c r="A519" s="1082"/>
      <c r="B519" s="1245"/>
      <c r="C519" s="1247"/>
      <c r="D519" s="1245"/>
      <c r="E519" s="1247"/>
      <c r="F519" s="1138"/>
      <c r="G519" s="1038"/>
      <c r="H519" s="1039"/>
      <c r="I519" s="1346"/>
      <c r="J519" s="1069"/>
      <c r="K519" s="1339"/>
      <c r="L519" s="1139"/>
      <c r="M519" s="1128"/>
      <c r="N519" s="1038"/>
      <c r="O519" s="1083"/>
      <c r="P519" s="1091"/>
      <c r="Q519" s="1076"/>
      <c r="R519" s="1074"/>
      <c r="S519" s="1074"/>
      <c r="T519" s="1075"/>
      <c r="U519" s="1091">
        <v>9</v>
      </c>
      <c r="V519" s="1255" t="s">
        <v>139</v>
      </c>
      <c r="W519" s="1241">
        <v>2</v>
      </c>
      <c r="X519" s="1241" t="s">
        <v>46</v>
      </c>
      <c r="Y519" s="1242" t="s">
        <v>46</v>
      </c>
      <c r="Z519" s="1143">
        <f t="shared" si="41"/>
        <v>2</v>
      </c>
      <c r="AA519" s="1074"/>
      <c r="AB519" s="1126"/>
      <c r="AC519" s="1073"/>
      <c r="AD519" s="1084"/>
      <c r="AE519" s="1062"/>
      <c r="AF519" s="1296"/>
      <c r="AG519" s="1297"/>
      <c r="AH519" s="1298"/>
      <c r="AI519" s="1298"/>
      <c r="AJ519" s="1299"/>
      <c r="AK519" s="1300">
        <v>75000</v>
      </c>
      <c r="AL519" s="1090">
        <f>AK519*W519</f>
        <v>150000</v>
      </c>
      <c r="AM519" s="1297"/>
      <c r="AN519" s="1297"/>
      <c r="AO519" s="1298"/>
      <c r="AP519" s="1301"/>
      <c r="AQ519" s="1298"/>
      <c r="AR519" s="1301"/>
      <c r="AS519" s="1301"/>
      <c r="AT519" s="1297"/>
      <c r="AU519" s="1299"/>
      <c r="AV519" s="1067"/>
    </row>
    <row r="520" spans="1:48" ht="16.5" customHeight="1">
      <c r="A520" s="1082"/>
      <c r="B520" s="1038"/>
      <c r="C520" s="1039"/>
      <c r="D520" s="1245"/>
      <c r="E520" s="1247"/>
      <c r="F520" s="1138"/>
      <c r="G520" s="1038"/>
      <c r="H520" s="1039"/>
      <c r="I520" s="1346"/>
      <c r="J520" s="1069"/>
      <c r="K520" s="1339"/>
      <c r="L520" s="1139"/>
      <c r="M520" s="1128"/>
      <c r="N520" s="1038"/>
      <c r="O520" s="1083"/>
      <c r="P520" s="1091"/>
      <c r="Q520" s="1076"/>
      <c r="R520" s="1074"/>
      <c r="S520" s="1074"/>
      <c r="T520" s="1075"/>
      <c r="U520" s="1091">
        <v>10</v>
      </c>
      <c r="V520" s="1255" t="s">
        <v>138</v>
      </c>
      <c r="W520" s="1241">
        <v>3</v>
      </c>
      <c r="X520" s="1241" t="s">
        <v>46</v>
      </c>
      <c r="Y520" s="1242" t="s">
        <v>46</v>
      </c>
      <c r="Z520" s="1143">
        <f t="shared" si="41"/>
        <v>3</v>
      </c>
      <c r="AA520" s="1074"/>
      <c r="AB520" s="1126"/>
      <c r="AC520" s="1073"/>
      <c r="AD520" s="1084"/>
      <c r="AE520" s="1062"/>
      <c r="AF520" s="1296"/>
      <c r="AG520" s="1297"/>
      <c r="AH520" s="1298"/>
      <c r="AI520" s="1298"/>
      <c r="AJ520" s="1299"/>
      <c r="AK520" s="1089">
        <v>15000</v>
      </c>
      <c r="AL520" s="1090">
        <f t="shared" si="40"/>
        <v>45000</v>
      </c>
      <c r="AM520" s="1297"/>
      <c r="AN520" s="1297"/>
      <c r="AO520" s="1298"/>
      <c r="AP520" s="1301"/>
      <c r="AQ520" s="1298"/>
      <c r="AR520" s="1301"/>
      <c r="AS520" s="1301"/>
      <c r="AT520" s="1297"/>
      <c r="AU520" s="1299"/>
      <c r="AV520" s="1067"/>
    </row>
    <row r="521" spans="1:48" ht="16.5" customHeight="1">
      <c r="A521" s="1082"/>
      <c r="B521" s="1038"/>
      <c r="C521" s="1039"/>
      <c r="D521" s="1245"/>
      <c r="E521" s="1247"/>
      <c r="F521" s="1138"/>
      <c r="G521" s="1038"/>
      <c r="H521" s="1039"/>
      <c r="I521" s="1346"/>
      <c r="J521" s="1069"/>
      <c r="K521" s="1339"/>
      <c r="L521" s="1139"/>
      <c r="M521" s="1128"/>
      <c r="N521" s="1038"/>
      <c r="O521" s="1083"/>
      <c r="P521" s="1091"/>
      <c r="Q521" s="1076"/>
      <c r="R521" s="1074"/>
      <c r="S521" s="1074"/>
      <c r="T521" s="1075"/>
      <c r="U521" s="1091">
        <v>11</v>
      </c>
      <c r="V521" s="1255" t="s">
        <v>137</v>
      </c>
      <c r="W521" s="1241" t="s">
        <v>46</v>
      </c>
      <c r="X521" s="1241" t="s">
        <v>46</v>
      </c>
      <c r="Y521" s="1242">
        <v>1</v>
      </c>
      <c r="Z521" s="1143">
        <f t="shared" si="41"/>
        <v>1</v>
      </c>
      <c r="AA521" s="1074"/>
      <c r="AB521" s="1126"/>
      <c r="AC521" s="1073"/>
      <c r="AD521" s="1084"/>
      <c r="AE521" s="1062"/>
      <c r="AF521" s="1296"/>
      <c r="AG521" s="1297"/>
      <c r="AH521" s="1298"/>
      <c r="AI521" s="1298"/>
      <c r="AJ521" s="1299"/>
      <c r="AK521" s="1300">
        <v>41250</v>
      </c>
      <c r="AL521" s="1090">
        <f>AK521*Y521</f>
        <v>41250</v>
      </c>
      <c r="AM521" s="1297"/>
      <c r="AN521" s="1297"/>
      <c r="AO521" s="1298"/>
      <c r="AP521" s="1301"/>
      <c r="AQ521" s="1298"/>
      <c r="AR521" s="1301"/>
      <c r="AS521" s="1301"/>
      <c r="AT521" s="1297"/>
      <c r="AU521" s="1299"/>
      <c r="AV521" s="1067"/>
    </row>
    <row r="522" spans="1:48" ht="16.5" customHeight="1">
      <c r="A522" s="1082"/>
      <c r="B522" s="1038"/>
      <c r="C522" s="1039"/>
      <c r="D522" s="1245"/>
      <c r="E522" s="1247"/>
      <c r="F522" s="1138"/>
      <c r="G522" s="1038"/>
      <c r="H522" s="1039"/>
      <c r="I522" s="1346"/>
      <c r="J522" s="1069"/>
      <c r="K522" s="1339"/>
      <c r="L522" s="1139"/>
      <c r="M522" s="1128"/>
      <c r="N522" s="1038"/>
      <c r="O522" s="1083"/>
      <c r="P522" s="1091"/>
      <c r="Q522" s="1076"/>
      <c r="R522" s="1074"/>
      <c r="S522" s="1074"/>
      <c r="T522" s="1075"/>
      <c r="U522" s="1091">
        <v>12</v>
      </c>
      <c r="V522" s="1255" t="s">
        <v>136</v>
      </c>
      <c r="W522" s="1241" t="s">
        <v>46</v>
      </c>
      <c r="X522" s="1241" t="s">
        <v>46</v>
      </c>
      <c r="Y522" s="1242">
        <v>1</v>
      </c>
      <c r="Z522" s="1143">
        <f t="shared" si="41"/>
        <v>1</v>
      </c>
      <c r="AA522" s="1074"/>
      <c r="AB522" s="1126"/>
      <c r="AC522" s="1073"/>
      <c r="AD522" s="1084"/>
      <c r="AE522" s="1062"/>
      <c r="AF522" s="1296"/>
      <c r="AG522" s="1297"/>
      <c r="AH522" s="1298"/>
      <c r="AI522" s="1298"/>
      <c r="AJ522" s="1299"/>
      <c r="AK522" s="1300">
        <v>13750</v>
      </c>
      <c r="AL522" s="1090">
        <f>AK522*Y522</f>
        <v>13750</v>
      </c>
      <c r="AM522" s="1297"/>
      <c r="AN522" s="1297"/>
      <c r="AO522" s="1298"/>
      <c r="AP522" s="1301"/>
      <c r="AQ522" s="1298"/>
      <c r="AR522" s="1301"/>
      <c r="AS522" s="1301"/>
      <c r="AT522" s="1297"/>
      <c r="AU522" s="1299"/>
      <c r="AV522" s="1067"/>
    </row>
    <row r="523" spans="1:48" ht="16.5" customHeight="1">
      <c r="A523" s="1082"/>
      <c r="B523" s="1038"/>
      <c r="C523" s="1039"/>
      <c r="D523" s="1245"/>
      <c r="E523" s="1247"/>
      <c r="F523" s="1138"/>
      <c r="G523" s="1038"/>
      <c r="H523" s="1039"/>
      <c r="I523" s="1346"/>
      <c r="J523" s="1069"/>
      <c r="K523" s="1339"/>
      <c r="L523" s="1139"/>
      <c r="M523" s="1128"/>
      <c r="N523" s="1038"/>
      <c r="O523" s="1083"/>
      <c r="P523" s="1091"/>
      <c r="Q523" s="1076"/>
      <c r="R523" s="1074"/>
      <c r="S523" s="1074"/>
      <c r="T523" s="1075"/>
      <c r="U523" s="1091">
        <v>13</v>
      </c>
      <c r="V523" s="1255" t="s">
        <v>135</v>
      </c>
      <c r="W523" s="1241">
        <v>4</v>
      </c>
      <c r="X523" s="1241" t="s">
        <v>46</v>
      </c>
      <c r="Y523" s="1242" t="s">
        <v>46</v>
      </c>
      <c r="Z523" s="1143">
        <f t="shared" si="41"/>
        <v>4</v>
      </c>
      <c r="AA523" s="1074"/>
      <c r="AB523" s="1126"/>
      <c r="AC523" s="1073"/>
      <c r="AD523" s="1084"/>
      <c r="AE523" s="1062"/>
      <c r="AF523" s="1296"/>
      <c r="AG523" s="1297"/>
      <c r="AH523" s="1298"/>
      <c r="AI523" s="1298"/>
      <c r="AJ523" s="1299"/>
      <c r="AK523" s="1300">
        <v>1000</v>
      </c>
      <c r="AL523" s="1090">
        <f t="shared" si="40"/>
        <v>4000</v>
      </c>
      <c r="AM523" s="1297"/>
      <c r="AN523" s="1297"/>
      <c r="AO523" s="1298"/>
      <c r="AP523" s="1301"/>
      <c r="AQ523" s="1298"/>
      <c r="AR523" s="1301"/>
      <c r="AS523" s="1301"/>
      <c r="AT523" s="1297"/>
      <c r="AU523" s="1299"/>
      <c r="AV523" s="1067"/>
    </row>
    <row r="524" spans="1:48" ht="16.5" customHeight="1">
      <c r="A524" s="1082"/>
      <c r="B524" s="1038"/>
      <c r="C524" s="1039"/>
      <c r="D524" s="1245"/>
      <c r="E524" s="1247"/>
      <c r="F524" s="1138"/>
      <c r="G524" s="1038"/>
      <c r="H524" s="1039"/>
      <c r="I524" s="1346"/>
      <c r="J524" s="1069"/>
      <c r="K524" s="1339"/>
      <c r="L524" s="1139"/>
      <c r="M524" s="1128"/>
      <c r="N524" s="1038"/>
      <c r="O524" s="1083"/>
      <c r="P524" s="1091"/>
      <c r="Q524" s="1076"/>
      <c r="R524" s="1074"/>
      <c r="S524" s="1074"/>
      <c r="T524" s="1075"/>
      <c r="U524" s="1091">
        <v>14</v>
      </c>
      <c r="V524" s="1255" t="s">
        <v>134</v>
      </c>
      <c r="W524" s="1241" t="s">
        <v>46</v>
      </c>
      <c r="X524" s="1241">
        <v>1</v>
      </c>
      <c r="Y524" s="1242" t="s">
        <v>46</v>
      </c>
      <c r="Z524" s="1143">
        <f t="shared" si="41"/>
        <v>1</v>
      </c>
      <c r="AA524" s="1074"/>
      <c r="AB524" s="1126"/>
      <c r="AC524" s="1073"/>
      <c r="AD524" s="1084"/>
      <c r="AE524" s="1062"/>
      <c r="AF524" s="1296"/>
      <c r="AG524" s="1297"/>
      <c r="AH524" s="1298"/>
      <c r="AI524" s="1298"/>
      <c r="AJ524" s="1299"/>
      <c r="AK524" s="1300">
        <v>13250</v>
      </c>
      <c r="AL524" s="1090">
        <f>AK524*X524</f>
        <v>13250</v>
      </c>
      <c r="AM524" s="1297"/>
      <c r="AN524" s="1297"/>
      <c r="AO524" s="1298"/>
      <c r="AP524" s="1301"/>
      <c r="AQ524" s="1298"/>
      <c r="AR524" s="1301"/>
      <c r="AS524" s="1301"/>
      <c r="AT524" s="1297"/>
      <c r="AU524" s="1299"/>
      <c r="AV524" s="1067"/>
    </row>
    <row r="525" spans="1:48" ht="16.5" customHeight="1">
      <c r="A525" s="1082"/>
      <c r="B525" s="1038"/>
      <c r="C525" s="1039"/>
      <c r="D525" s="1245"/>
      <c r="E525" s="1247"/>
      <c r="F525" s="1138"/>
      <c r="G525" s="1038"/>
      <c r="H525" s="1039"/>
      <c r="I525" s="1346"/>
      <c r="J525" s="1069"/>
      <c r="K525" s="1339"/>
      <c r="L525" s="1139"/>
      <c r="M525" s="1128"/>
      <c r="N525" s="1038"/>
      <c r="O525" s="1083"/>
      <c r="P525" s="1091"/>
      <c r="Q525" s="1076"/>
      <c r="R525" s="1074"/>
      <c r="S525" s="1074"/>
      <c r="T525" s="1075"/>
      <c r="U525" s="1091">
        <v>15</v>
      </c>
      <c r="V525" s="1255" t="s">
        <v>133</v>
      </c>
      <c r="W525" s="1241">
        <v>20</v>
      </c>
      <c r="X525" s="1241" t="s">
        <v>46</v>
      </c>
      <c r="Y525" s="1242" t="s">
        <v>46</v>
      </c>
      <c r="Z525" s="1143">
        <f t="shared" si="41"/>
        <v>20</v>
      </c>
      <c r="AA525" s="1074"/>
      <c r="AB525" s="1126"/>
      <c r="AC525" s="1073"/>
      <c r="AD525" s="1084"/>
      <c r="AE525" s="1062"/>
      <c r="AF525" s="1296"/>
      <c r="AG525" s="1297"/>
      <c r="AH525" s="1298"/>
      <c r="AI525" s="1298"/>
      <c r="AJ525" s="1299"/>
      <c r="AK525" s="1089">
        <v>2645</v>
      </c>
      <c r="AL525" s="1090">
        <f t="shared" si="40"/>
        <v>52900</v>
      </c>
      <c r="AM525" s="1297"/>
      <c r="AN525" s="1297"/>
      <c r="AO525" s="1298"/>
      <c r="AP525" s="1301"/>
      <c r="AQ525" s="1298"/>
      <c r="AR525" s="1301"/>
      <c r="AS525" s="1301"/>
      <c r="AT525" s="1297"/>
      <c r="AU525" s="1299"/>
      <c r="AV525" s="1067"/>
    </row>
    <row r="526" spans="1:48" ht="16.5" customHeight="1">
      <c r="A526" s="1082"/>
      <c r="B526" s="1038"/>
      <c r="C526" s="1039"/>
      <c r="D526" s="1245"/>
      <c r="E526" s="1247"/>
      <c r="F526" s="1138"/>
      <c r="G526" s="1038"/>
      <c r="H526" s="1039"/>
      <c r="I526" s="1346"/>
      <c r="J526" s="1069"/>
      <c r="K526" s="1339"/>
      <c r="L526" s="1139"/>
      <c r="M526" s="1128"/>
      <c r="N526" s="1038"/>
      <c r="O526" s="1083"/>
      <c r="P526" s="1091"/>
      <c r="Q526" s="1076"/>
      <c r="R526" s="1074"/>
      <c r="S526" s="1074"/>
      <c r="T526" s="1075"/>
      <c r="U526" s="1091">
        <v>16</v>
      </c>
      <c r="V526" s="1255" t="s">
        <v>4</v>
      </c>
      <c r="W526" s="1241">
        <v>10</v>
      </c>
      <c r="X526" s="1241" t="s">
        <v>46</v>
      </c>
      <c r="Y526" s="1242" t="s">
        <v>46</v>
      </c>
      <c r="Z526" s="1143">
        <f t="shared" si="41"/>
        <v>10</v>
      </c>
      <c r="AA526" s="1074"/>
      <c r="AB526" s="1126"/>
      <c r="AC526" s="1073"/>
      <c r="AD526" s="1084"/>
      <c r="AE526" s="1062"/>
      <c r="AF526" s="1296"/>
      <c r="AG526" s="1297"/>
      <c r="AH526" s="1298"/>
      <c r="AI526" s="1298"/>
      <c r="AJ526" s="1299"/>
      <c r="AK526" s="1300">
        <v>250</v>
      </c>
      <c r="AL526" s="1090">
        <f t="shared" si="40"/>
        <v>2500</v>
      </c>
      <c r="AM526" s="1297"/>
      <c r="AN526" s="1297"/>
      <c r="AO526" s="1298"/>
      <c r="AP526" s="1301"/>
      <c r="AQ526" s="1298"/>
      <c r="AR526" s="1301"/>
      <c r="AS526" s="1301"/>
      <c r="AT526" s="1297"/>
      <c r="AU526" s="1299"/>
      <c r="AV526" s="1067"/>
    </row>
    <row r="527" spans="1:48" ht="16.5" customHeight="1">
      <c r="A527" s="1082"/>
      <c r="B527" s="1038"/>
      <c r="C527" s="1039"/>
      <c r="D527" s="1245"/>
      <c r="E527" s="1247"/>
      <c r="F527" s="1138"/>
      <c r="G527" s="1038"/>
      <c r="H527" s="1039"/>
      <c r="I527" s="1346"/>
      <c r="J527" s="1069"/>
      <c r="K527" s="1339"/>
      <c r="L527" s="1139"/>
      <c r="M527" s="1128"/>
      <c r="N527" s="1038"/>
      <c r="O527" s="1083"/>
      <c r="P527" s="1091"/>
      <c r="Q527" s="1076"/>
      <c r="R527" s="1074"/>
      <c r="S527" s="1074"/>
      <c r="T527" s="1075"/>
      <c r="U527" s="1091">
        <v>17</v>
      </c>
      <c r="V527" s="1255" t="s">
        <v>132</v>
      </c>
      <c r="W527" s="1241">
        <v>70</v>
      </c>
      <c r="X527" s="1241" t="s">
        <v>46</v>
      </c>
      <c r="Y527" s="1242" t="s">
        <v>46</v>
      </c>
      <c r="Z527" s="1143">
        <f t="shared" si="41"/>
        <v>70</v>
      </c>
      <c r="AA527" s="1074"/>
      <c r="AB527" s="1126"/>
      <c r="AC527" s="1073"/>
      <c r="AD527" s="1084"/>
      <c r="AE527" s="1062"/>
      <c r="AF527" s="1296"/>
      <c r="AG527" s="1297"/>
      <c r="AH527" s="1298"/>
      <c r="AI527" s="1298"/>
      <c r="AJ527" s="1299"/>
      <c r="AK527" s="1300">
        <v>10000</v>
      </c>
      <c r="AL527" s="1090">
        <f t="shared" si="40"/>
        <v>700000</v>
      </c>
      <c r="AM527" s="1297"/>
      <c r="AN527" s="1297"/>
      <c r="AO527" s="1298"/>
      <c r="AP527" s="1301"/>
      <c r="AQ527" s="1298"/>
      <c r="AR527" s="1301"/>
      <c r="AS527" s="1301"/>
      <c r="AT527" s="1297"/>
      <c r="AU527" s="1299"/>
      <c r="AV527" s="1067"/>
    </row>
    <row r="528" spans="1:48" ht="16.5" customHeight="1">
      <c r="A528" s="1082"/>
      <c r="B528" s="1038"/>
      <c r="C528" s="1039"/>
      <c r="D528" s="1245"/>
      <c r="E528" s="1247"/>
      <c r="F528" s="1138"/>
      <c r="G528" s="1038"/>
      <c r="H528" s="1039"/>
      <c r="I528" s="1346"/>
      <c r="J528" s="1069"/>
      <c r="K528" s="1339"/>
      <c r="L528" s="1139"/>
      <c r="M528" s="1128"/>
      <c r="N528" s="1038"/>
      <c r="O528" s="1083"/>
      <c r="P528" s="1091"/>
      <c r="Q528" s="1076"/>
      <c r="R528" s="1074"/>
      <c r="S528" s="1074"/>
      <c r="T528" s="1075"/>
      <c r="U528" s="1091">
        <v>18</v>
      </c>
      <c r="V528" s="1255" t="s">
        <v>5</v>
      </c>
      <c r="W528" s="1241">
        <v>1</v>
      </c>
      <c r="X528" s="1241" t="s">
        <v>46</v>
      </c>
      <c r="Y528" s="1242"/>
      <c r="Z528" s="1143">
        <f t="shared" si="41"/>
        <v>1</v>
      </c>
      <c r="AA528" s="1074"/>
      <c r="AB528" s="1126"/>
      <c r="AC528" s="1073"/>
      <c r="AD528" s="1084"/>
      <c r="AE528" s="1062"/>
      <c r="AF528" s="1296"/>
      <c r="AG528" s="1297"/>
      <c r="AH528" s="1298"/>
      <c r="AI528" s="1298"/>
      <c r="AJ528" s="1299"/>
      <c r="AK528" s="1300"/>
      <c r="AL528" s="1090">
        <f t="shared" si="40"/>
        <v>0</v>
      </c>
      <c r="AM528" s="1297"/>
      <c r="AN528" s="1297"/>
      <c r="AO528" s="1298"/>
      <c r="AP528" s="1301"/>
      <c r="AQ528" s="1298"/>
      <c r="AR528" s="1301"/>
      <c r="AS528" s="1301"/>
      <c r="AT528" s="1297"/>
      <c r="AU528" s="1299"/>
      <c r="AV528" s="1067"/>
    </row>
    <row r="529" spans="1:48" ht="16.5" customHeight="1">
      <c r="A529" s="1082"/>
      <c r="B529" s="1038"/>
      <c r="C529" s="1039"/>
      <c r="D529" s="1245"/>
      <c r="E529" s="1247"/>
      <c r="F529" s="1138"/>
      <c r="G529" s="1038"/>
      <c r="H529" s="1039"/>
      <c r="I529" s="1346"/>
      <c r="J529" s="1069"/>
      <c r="K529" s="1339"/>
      <c r="L529" s="1139"/>
      <c r="M529" s="1128"/>
      <c r="N529" s="1038"/>
      <c r="O529" s="1083"/>
      <c r="P529" s="1091"/>
      <c r="Q529" s="1076"/>
      <c r="R529" s="1074"/>
      <c r="S529" s="1074"/>
      <c r="T529" s="1075"/>
      <c r="U529" s="1091"/>
      <c r="V529" s="1255" t="s">
        <v>5</v>
      </c>
      <c r="W529" s="1241"/>
      <c r="X529" s="1241" t="s">
        <v>46</v>
      </c>
      <c r="Y529" s="1242">
        <v>1</v>
      </c>
      <c r="Z529" s="1143"/>
      <c r="AA529" s="1074"/>
      <c r="AB529" s="1126"/>
      <c r="AC529" s="1073"/>
      <c r="AD529" s="1084"/>
      <c r="AE529" s="1062"/>
      <c r="AF529" s="1296"/>
      <c r="AG529" s="1297"/>
      <c r="AH529" s="1298"/>
      <c r="AI529" s="1298"/>
      <c r="AJ529" s="1299"/>
      <c r="AK529" s="1300"/>
      <c r="AL529" s="1090">
        <f>AK529*Y529</f>
        <v>0</v>
      </c>
      <c r="AM529" s="1297"/>
      <c r="AN529" s="1297"/>
      <c r="AO529" s="1298"/>
      <c r="AP529" s="1301"/>
      <c r="AQ529" s="1298"/>
      <c r="AR529" s="1301"/>
      <c r="AS529" s="1301"/>
      <c r="AT529" s="1297"/>
      <c r="AU529" s="1299"/>
      <c r="AV529" s="1067"/>
    </row>
    <row r="530" spans="1:48" ht="16.5" customHeight="1">
      <c r="A530" s="1082"/>
      <c r="B530" s="1038"/>
      <c r="C530" s="1039"/>
      <c r="D530" s="1245"/>
      <c r="E530" s="1247"/>
      <c r="F530" s="1138"/>
      <c r="G530" s="1038"/>
      <c r="H530" s="1039"/>
      <c r="I530" s="1346"/>
      <c r="J530" s="1069"/>
      <c r="K530" s="1339"/>
      <c r="L530" s="1139"/>
      <c r="M530" s="1128"/>
      <c r="N530" s="1038"/>
      <c r="O530" s="1083"/>
      <c r="P530" s="1091"/>
      <c r="Q530" s="1076"/>
      <c r="R530" s="1074"/>
      <c r="S530" s="1074"/>
      <c r="T530" s="1075"/>
      <c r="U530" s="1091">
        <v>19</v>
      </c>
      <c r="V530" s="1255" t="s">
        <v>131</v>
      </c>
      <c r="W530" s="1241">
        <v>0</v>
      </c>
      <c r="X530" s="1241" t="s">
        <v>46</v>
      </c>
      <c r="Y530" s="1242">
        <v>2</v>
      </c>
      <c r="Z530" s="1143">
        <f t="shared" si="41"/>
        <v>2</v>
      </c>
      <c r="AA530" s="1074"/>
      <c r="AB530" s="1126"/>
      <c r="AC530" s="1073"/>
      <c r="AD530" s="1084"/>
      <c r="AE530" s="1062"/>
      <c r="AF530" s="1296"/>
      <c r="AG530" s="1297"/>
      <c r="AH530" s="1298"/>
      <c r="AI530" s="1298"/>
      <c r="AJ530" s="1299"/>
      <c r="AK530" s="1300"/>
      <c r="AL530" s="1090">
        <f>AK530*Y530</f>
        <v>0</v>
      </c>
      <c r="AM530" s="1297"/>
      <c r="AN530" s="1297"/>
      <c r="AO530" s="1298"/>
      <c r="AP530" s="1301"/>
      <c r="AQ530" s="1298"/>
      <c r="AR530" s="1301"/>
      <c r="AS530" s="1301"/>
      <c r="AT530" s="1297"/>
      <c r="AU530" s="1299"/>
      <c r="AV530" s="1067"/>
    </row>
    <row r="531" spans="1:48" ht="16.5" customHeight="1">
      <c r="A531" s="1082"/>
      <c r="B531" s="1245"/>
      <c r="C531" s="1247"/>
      <c r="D531" s="1245"/>
      <c r="E531" s="1247"/>
      <c r="F531" s="1138"/>
      <c r="G531" s="1038"/>
      <c r="H531" s="1092"/>
      <c r="I531" s="1346"/>
      <c r="J531" s="1069"/>
      <c r="K531" s="1339"/>
      <c r="L531" s="1139"/>
      <c r="M531" s="1128"/>
      <c r="N531" s="1038"/>
      <c r="O531" s="1083"/>
      <c r="P531" s="1091"/>
      <c r="Q531" s="1076"/>
      <c r="R531" s="1074"/>
      <c r="S531" s="1074"/>
      <c r="T531" s="1075"/>
      <c r="U531" s="1091">
        <v>20</v>
      </c>
      <c r="V531" s="1255" t="s">
        <v>14</v>
      </c>
      <c r="W531" s="1241" t="s">
        <v>46</v>
      </c>
      <c r="X531" s="1241" t="s">
        <v>46</v>
      </c>
      <c r="Y531" s="1242">
        <v>2</v>
      </c>
      <c r="Z531" s="1143">
        <f t="shared" si="41"/>
        <v>2</v>
      </c>
      <c r="AA531" s="1074"/>
      <c r="AB531" s="1126"/>
      <c r="AC531" s="1073"/>
      <c r="AD531" s="1084"/>
      <c r="AE531" s="1062"/>
      <c r="AF531" s="1296"/>
      <c r="AG531" s="1297"/>
      <c r="AH531" s="1298"/>
      <c r="AI531" s="1298"/>
      <c r="AJ531" s="1299"/>
      <c r="AK531" s="1089">
        <v>115500</v>
      </c>
      <c r="AL531" s="1087">
        <f>AK531*Y531</f>
        <v>231000</v>
      </c>
      <c r="AM531" s="1297"/>
      <c r="AN531" s="1297"/>
      <c r="AO531" s="1298"/>
      <c r="AP531" s="1301"/>
      <c r="AQ531" s="1298"/>
      <c r="AR531" s="1301"/>
      <c r="AS531" s="1301"/>
      <c r="AT531" s="1297"/>
      <c r="AU531" s="1299"/>
      <c r="AV531" s="1067"/>
    </row>
    <row r="532" spans="1:48" ht="16.5" customHeight="1">
      <c r="A532" s="1082"/>
      <c r="B532" s="1245"/>
      <c r="C532" s="1247"/>
      <c r="D532" s="1245"/>
      <c r="E532" s="1247"/>
      <c r="F532" s="1138"/>
      <c r="G532" s="1038"/>
      <c r="H532" s="1092"/>
      <c r="I532" s="1346"/>
      <c r="J532" s="1069"/>
      <c r="K532" s="1339"/>
      <c r="L532" s="1139"/>
      <c r="M532" s="1128"/>
      <c r="N532" s="1038"/>
      <c r="O532" s="1083"/>
      <c r="P532" s="1091"/>
      <c r="Q532" s="1076"/>
      <c r="R532" s="1074"/>
      <c r="S532" s="1074"/>
      <c r="T532" s="1075"/>
      <c r="U532" s="1091">
        <v>21</v>
      </c>
      <c r="V532" s="1255" t="s">
        <v>130</v>
      </c>
      <c r="W532" s="1241">
        <v>1</v>
      </c>
      <c r="X532" s="1241" t="s">
        <v>46</v>
      </c>
      <c r="Y532" s="1242" t="s">
        <v>46</v>
      </c>
      <c r="Z532" s="1143">
        <f t="shared" si="41"/>
        <v>1</v>
      </c>
      <c r="AA532" s="1074"/>
      <c r="AB532" s="1126"/>
      <c r="AC532" s="1073"/>
      <c r="AD532" s="1084"/>
      <c r="AE532" s="1062"/>
      <c r="AF532" s="1296"/>
      <c r="AG532" s="1297"/>
      <c r="AH532" s="1298"/>
      <c r="AI532" s="1298"/>
      <c r="AJ532" s="1299"/>
      <c r="AK532" s="1300">
        <v>125000</v>
      </c>
      <c r="AL532" s="1090">
        <f>AK532*W532</f>
        <v>125000</v>
      </c>
      <c r="AM532" s="1297"/>
      <c r="AN532" s="1297"/>
      <c r="AO532" s="1298"/>
      <c r="AP532" s="1076"/>
      <c r="AQ532" s="1298"/>
      <c r="AR532" s="1301"/>
      <c r="AS532" s="1301"/>
      <c r="AT532" s="1297"/>
      <c r="AU532" s="1299"/>
      <c r="AV532" s="1067"/>
    </row>
    <row r="533" spans="1:48" ht="16.5" customHeight="1">
      <c r="A533" s="1082"/>
      <c r="B533" s="1082"/>
      <c r="C533" s="1083"/>
      <c r="D533" s="1245"/>
      <c r="E533" s="1247"/>
      <c r="F533" s="1138"/>
      <c r="G533" s="1038"/>
      <c r="H533" s="1092"/>
      <c r="I533" s="1346"/>
      <c r="J533" s="1069"/>
      <c r="K533" s="1339"/>
      <c r="L533" s="1139"/>
      <c r="M533" s="1128"/>
      <c r="N533" s="1038"/>
      <c r="O533" s="1083"/>
      <c r="P533" s="1091"/>
      <c r="Q533" s="1076"/>
      <c r="R533" s="1074"/>
      <c r="S533" s="1074"/>
      <c r="T533" s="1075"/>
      <c r="U533" s="1091">
        <v>22</v>
      </c>
      <c r="V533" s="1255" t="s">
        <v>83</v>
      </c>
      <c r="W533" s="1241">
        <v>1</v>
      </c>
      <c r="X533" s="1241" t="s">
        <v>46</v>
      </c>
      <c r="Y533" s="1242" t="s">
        <v>46</v>
      </c>
      <c r="Z533" s="1143">
        <f t="shared" si="41"/>
        <v>1</v>
      </c>
      <c r="AA533" s="1074"/>
      <c r="AB533" s="1126"/>
      <c r="AC533" s="1073"/>
      <c r="AD533" s="1084"/>
      <c r="AE533" s="1062"/>
      <c r="AF533" s="1296"/>
      <c r="AG533" s="1297"/>
      <c r="AH533" s="1298"/>
      <c r="AI533" s="1298"/>
      <c r="AJ533" s="1299"/>
      <c r="AK533" s="1300">
        <v>3000</v>
      </c>
      <c r="AL533" s="1090">
        <f t="shared" si="40"/>
        <v>3000</v>
      </c>
      <c r="AM533" s="1297"/>
      <c r="AN533" s="1297"/>
      <c r="AO533" s="1298"/>
      <c r="AP533" s="1076"/>
      <c r="AQ533" s="1298"/>
      <c r="AR533" s="1301"/>
      <c r="AS533" s="1301"/>
      <c r="AT533" s="1297"/>
      <c r="AU533" s="1299"/>
      <c r="AV533" s="1067"/>
    </row>
    <row r="534" spans="1:48" ht="16.5" customHeight="1">
      <c r="A534" s="1082"/>
      <c r="B534" s="1038"/>
      <c r="C534" s="1244"/>
      <c r="D534" s="1245"/>
      <c r="E534" s="1247"/>
      <c r="F534" s="1150"/>
      <c r="G534" s="1038"/>
      <c r="H534" s="1092"/>
      <c r="I534" s="1346"/>
      <c r="J534" s="1103"/>
      <c r="K534" s="1339"/>
      <c r="L534" s="1154"/>
      <c r="M534" s="1128"/>
      <c r="N534" s="1038"/>
      <c r="O534" s="1083"/>
      <c r="P534" s="1091"/>
      <c r="Q534" s="1076"/>
      <c r="R534" s="1074"/>
      <c r="S534" s="1074"/>
      <c r="T534" s="1075"/>
      <c r="U534" s="1091"/>
      <c r="V534" s="1107"/>
      <c r="W534" s="1111"/>
      <c r="X534" s="1110"/>
      <c r="Y534" s="1096"/>
      <c r="Z534" s="1134"/>
      <c r="AA534" s="1074"/>
      <c r="AB534" s="1126"/>
      <c r="AC534" s="1073"/>
      <c r="AD534" s="1084"/>
      <c r="AE534" s="1062"/>
      <c r="AF534" s="1296"/>
      <c r="AG534" s="1297"/>
      <c r="AH534" s="1298"/>
      <c r="AI534" s="1117"/>
      <c r="AJ534" s="1299"/>
      <c r="AK534" s="1300"/>
      <c r="AL534" s="1120"/>
      <c r="AM534" s="1297"/>
      <c r="AN534" s="1116"/>
      <c r="AO534" s="1298"/>
      <c r="AP534" s="1108"/>
      <c r="AQ534" s="1307"/>
      <c r="AR534" s="1310"/>
      <c r="AS534" s="1310"/>
      <c r="AT534" s="1116"/>
      <c r="AU534" s="1308"/>
      <c r="AV534" s="1101"/>
    </row>
    <row r="535" spans="1:48" ht="16.5" customHeight="1">
      <c r="A535" s="1269">
        <v>38</v>
      </c>
      <c r="B535" s="1033" t="s">
        <v>25</v>
      </c>
      <c r="C535" s="1036" t="s">
        <v>129</v>
      </c>
      <c r="D535" s="1373"/>
      <c r="E535" s="1374"/>
      <c r="F535" s="1171" t="s">
        <v>128</v>
      </c>
      <c r="G535" s="1272" t="s">
        <v>25</v>
      </c>
      <c r="H535" s="1273" t="s">
        <v>127</v>
      </c>
      <c r="I535" s="1372">
        <v>203</v>
      </c>
      <c r="J535" s="1043" t="s">
        <v>28</v>
      </c>
      <c r="K535" s="1330" t="s">
        <v>126</v>
      </c>
      <c r="L535" s="1279"/>
      <c r="M535" s="1043"/>
      <c r="N535" s="1035" t="s">
        <v>25</v>
      </c>
      <c r="O535" s="1190" t="s">
        <v>26</v>
      </c>
      <c r="P535" s="1344">
        <v>1</v>
      </c>
      <c r="Q535" s="1212">
        <v>99.5</v>
      </c>
      <c r="R535" s="1034"/>
      <c r="S535" s="1034"/>
      <c r="T535" s="1048"/>
      <c r="U535" s="1353"/>
      <c r="V535" s="1319"/>
      <c r="W535" s="1052"/>
      <c r="X535" s="1051"/>
      <c r="Y535" s="1036"/>
      <c r="Z535" s="1312"/>
      <c r="AA535" s="1034"/>
      <c r="AB535" s="1173"/>
      <c r="AC535" s="1047"/>
      <c r="AD535" s="1180"/>
      <c r="AE535" s="1049"/>
      <c r="AF535" s="1333">
        <f>Resum!F1*1.1</f>
        <v>391600.00000000006</v>
      </c>
      <c r="AG535" s="1057">
        <f>AF535*I535</f>
        <v>79494800.000000015</v>
      </c>
      <c r="AH535" s="1334">
        <v>2200000</v>
      </c>
      <c r="AI535" s="1087">
        <f>AH535*Q535*0.75</f>
        <v>164175000</v>
      </c>
      <c r="AJ535" s="1335">
        <f>SUM(AI535:AI541)</f>
        <v>178421250</v>
      </c>
      <c r="AK535" s="1336"/>
      <c r="AL535" s="1090"/>
      <c r="AM535" s="1337"/>
      <c r="AN535" s="1086">
        <f>AM535+AJ535+AG535</f>
        <v>257916050</v>
      </c>
      <c r="AO535" s="1334"/>
      <c r="AP535" s="1136">
        <f>(AG535+AI535)*15%</f>
        <v>36550470</v>
      </c>
      <c r="AQ535" s="1087">
        <f>(AG535+AI535)*1%</f>
        <v>2436698</v>
      </c>
      <c r="AR535" s="1136">
        <f>(AG535+AI535)*5%</f>
        <v>12183490</v>
      </c>
      <c r="AS535" s="1087">
        <f>0.5%*(AG535+AI535)*(3)</f>
        <v>3655047</v>
      </c>
      <c r="AT535" s="1086">
        <f>+AS535+AR535+AQ535+AP535+AO535</f>
        <v>54825705</v>
      </c>
      <c r="AU535" s="1137">
        <f>ROUND(AT535+AN535,-3)</f>
        <v>312742000</v>
      </c>
      <c r="AV535" s="1365"/>
    </row>
    <row r="536" spans="1:48" ht="16.5" customHeight="1">
      <c r="A536" s="1082"/>
      <c r="B536" s="1038" t="s">
        <v>16</v>
      </c>
      <c r="C536" s="1071" t="s">
        <v>125</v>
      </c>
      <c r="D536" s="1245"/>
      <c r="E536" s="1247"/>
      <c r="F536" s="1138"/>
      <c r="G536" s="1038" t="s">
        <v>16</v>
      </c>
      <c r="H536" s="1039" t="s">
        <v>22</v>
      </c>
      <c r="I536" s="1346"/>
      <c r="J536" s="1069"/>
      <c r="K536" s="1339"/>
      <c r="L536" s="1235"/>
      <c r="M536" s="1069"/>
      <c r="N536" s="1038" t="s">
        <v>16</v>
      </c>
      <c r="O536" s="1293" t="s">
        <v>21</v>
      </c>
      <c r="P536" s="1347">
        <v>1</v>
      </c>
      <c r="Q536" s="1213">
        <v>16.5</v>
      </c>
      <c r="R536" s="1074"/>
      <c r="S536" s="1074"/>
      <c r="T536" s="1075"/>
      <c r="U536" s="1184"/>
      <c r="V536" s="1185"/>
      <c r="W536" s="1079"/>
      <c r="X536" s="1078"/>
      <c r="Y536" s="1039"/>
      <c r="Z536" s="1183"/>
      <c r="AA536" s="1074"/>
      <c r="AB536" s="1126"/>
      <c r="AC536" s="1073"/>
      <c r="AD536" s="1091"/>
      <c r="AE536" s="1076"/>
      <c r="AF536" s="1296"/>
      <c r="AG536" s="1297"/>
      <c r="AH536" s="1298">
        <v>250000</v>
      </c>
      <c r="AI536" s="1087">
        <f>AH536*Q536*0.65</f>
        <v>2681250</v>
      </c>
      <c r="AJ536" s="1299"/>
      <c r="AK536" s="1300"/>
      <c r="AL536" s="1090"/>
      <c r="AM536" s="1297"/>
      <c r="AN536" s="1297"/>
      <c r="AO536" s="1298"/>
      <c r="AP536" s="1301"/>
      <c r="AQ536" s="1298"/>
      <c r="AR536" s="1301"/>
      <c r="AS536" s="1301"/>
      <c r="AT536" s="1297"/>
      <c r="AU536" s="1299"/>
      <c r="AV536" s="1302"/>
    </row>
    <row r="537" spans="1:48" ht="16.5" customHeight="1">
      <c r="A537" s="1082"/>
      <c r="B537" s="1038" t="s">
        <v>18</v>
      </c>
      <c r="C537" s="1039" t="s">
        <v>124</v>
      </c>
      <c r="D537" s="1245"/>
      <c r="E537" s="1247"/>
      <c r="F537" s="1138"/>
      <c r="G537" s="1038" t="s">
        <v>18</v>
      </c>
      <c r="H537" s="1039" t="s">
        <v>19</v>
      </c>
      <c r="I537" s="1346"/>
      <c r="J537" s="1069"/>
      <c r="K537" s="1339"/>
      <c r="L537" s="1235"/>
      <c r="M537" s="1069"/>
      <c r="N537" s="1038" t="s">
        <v>18</v>
      </c>
      <c r="O537" s="1293" t="s">
        <v>17</v>
      </c>
      <c r="P537" s="1347">
        <v>1</v>
      </c>
      <c r="Q537" s="1213"/>
      <c r="R537" s="1074"/>
      <c r="S537" s="1074"/>
      <c r="T537" s="1075"/>
      <c r="U537" s="1184"/>
      <c r="V537" s="1185"/>
      <c r="W537" s="1079"/>
      <c r="X537" s="1078"/>
      <c r="Y537" s="1039"/>
      <c r="Z537" s="1183"/>
      <c r="AA537" s="1074"/>
      <c r="AB537" s="1126"/>
      <c r="AC537" s="1073"/>
      <c r="AD537" s="1091"/>
      <c r="AE537" s="1076"/>
      <c r="AF537" s="1296"/>
      <c r="AG537" s="1297"/>
      <c r="AH537" s="1298">
        <v>2500000</v>
      </c>
      <c r="AI537" s="1087">
        <f>AH537*P537*0.5</f>
        <v>1250000</v>
      </c>
      <c r="AJ537" s="1299"/>
      <c r="AK537" s="1300"/>
      <c r="AL537" s="1090"/>
      <c r="AM537" s="1297"/>
      <c r="AN537" s="1297"/>
      <c r="AO537" s="1298"/>
      <c r="AP537" s="1301"/>
      <c r="AQ537" s="1298"/>
      <c r="AR537" s="1301"/>
      <c r="AS537" s="1301"/>
      <c r="AT537" s="1297"/>
      <c r="AU537" s="1299"/>
      <c r="AV537" s="1302"/>
    </row>
    <row r="538" spans="1:48" ht="49.5" customHeight="1">
      <c r="A538" s="1082"/>
      <c r="B538" s="1082" t="s">
        <v>12</v>
      </c>
      <c r="C538" s="1083" t="s">
        <v>123</v>
      </c>
      <c r="D538" s="1245"/>
      <c r="E538" s="1247"/>
      <c r="F538" s="1138"/>
      <c r="G538" s="1038"/>
      <c r="H538" s="1092"/>
      <c r="I538" s="1346"/>
      <c r="J538" s="1069"/>
      <c r="K538" s="1339"/>
      <c r="L538" s="1235"/>
      <c r="M538" s="1069"/>
      <c r="N538" s="1038" t="s">
        <v>12</v>
      </c>
      <c r="O538" s="1293" t="s">
        <v>11</v>
      </c>
      <c r="P538" s="1347">
        <v>1</v>
      </c>
      <c r="Q538" s="1213"/>
      <c r="R538" s="1074"/>
      <c r="S538" s="1074"/>
      <c r="T538" s="1075"/>
      <c r="U538" s="1184"/>
      <c r="V538" s="1185"/>
      <c r="W538" s="1079"/>
      <c r="X538" s="1078"/>
      <c r="Y538" s="1039"/>
      <c r="Z538" s="1183"/>
      <c r="AA538" s="1074"/>
      <c r="AB538" s="1126"/>
      <c r="AC538" s="1073"/>
      <c r="AD538" s="1091"/>
      <c r="AE538" s="1076"/>
      <c r="AF538" s="1296"/>
      <c r="AG538" s="1297"/>
      <c r="AH538" s="1298">
        <v>2500000</v>
      </c>
      <c r="AI538" s="1087">
        <f>AH538*P538*0.75</f>
        <v>1875000</v>
      </c>
      <c r="AJ538" s="1299"/>
      <c r="AK538" s="1300"/>
      <c r="AL538" s="1090"/>
      <c r="AM538" s="1297"/>
      <c r="AN538" s="1297"/>
      <c r="AO538" s="1298"/>
      <c r="AP538" s="1301"/>
      <c r="AQ538" s="1298"/>
      <c r="AR538" s="1301"/>
      <c r="AS538" s="1301"/>
      <c r="AT538" s="1297"/>
      <c r="AU538" s="1299"/>
      <c r="AV538" s="1302"/>
    </row>
    <row r="539" spans="1:48" ht="16.5" customHeight="1">
      <c r="A539" s="1082"/>
      <c r="B539" s="1082" t="s">
        <v>8</v>
      </c>
      <c r="C539" s="1083" t="s">
        <v>122</v>
      </c>
      <c r="D539" s="1245"/>
      <c r="E539" s="1247"/>
      <c r="F539" s="1138"/>
      <c r="G539" s="1038"/>
      <c r="H539" s="1092"/>
      <c r="I539" s="1346"/>
      <c r="J539" s="1069"/>
      <c r="K539" s="1339"/>
      <c r="L539" s="1235"/>
      <c r="M539" s="1069"/>
      <c r="N539" s="1038" t="s">
        <v>8</v>
      </c>
      <c r="O539" s="1293" t="s">
        <v>121</v>
      </c>
      <c r="P539" s="1347">
        <v>1</v>
      </c>
      <c r="Q539" s="1213">
        <v>56</v>
      </c>
      <c r="R539" s="1074"/>
      <c r="S539" s="1074"/>
      <c r="T539" s="1075"/>
      <c r="U539" s="1184"/>
      <c r="V539" s="1185"/>
      <c r="W539" s="1079"/>
      <c r="X539" s="1078"/>
      <c r="Y539" s="1039"/>
      <c r="Z539" s="1183"/>
      <c r="AA539" s="1074"/>
      <c r="AB539" s="1126"/>
      <c r="AC539" s="1073"/>
      <c r="AD539" s="1091"/>
      <c r="AE539" s="1076"/>
      <c r="AF539" s="1296"/>
      <c r="AG539" s="1297"/>
      <c r="AH539" s="1298">
        <v>300000</v>
      </c>
      <c r="AI539" s="1087">
        <f>AH539*Q539*0.5</f>
        <v>8400000</v>
      </c>
      <c r="AJ539" s="1299"/>
      <c r="AK539" s="1300"/>
      <c r="AL539" s="1090"/>
      <c r="AM539" s="1297"/>
      <c r="AN539" s="1297"/>
      <c r="AO539" s="1298"/>
      <c r="AP539" s="1301"/>
      <c r="AQ539" s="1298"/>
      <c r="AR539" s="1301"/>
      <c r="AS539" s="1301"/>
      <c r="AT539" s="1297"/>
      <c r="AU539" s="1299"/>
      <c r="AV539" s="1302"/>
    </row>
    <row r="540" spans="1:48" ht="16.5" customHeight="1">
      <c r="A540" s="1082"/>
      <c r="B540" s="1082"/>
      <c r="C540" s="1083"/>
      <c r="D540" s="1245"/>
      <c r="E540" s="1247"/>
      <c r="F540" s="1138"/>
      <c r="G540" s="1038"/>
      <c r="H540" s="1092"/>
      <c r="I540" s="1346"/>
      <c r="J540" s="1069"/>
      <c r="K540" s="1339"/>
      <c r="L540" s="1235"/>
      <c r="M540" s="1069"/>
      <c r="N540" s="1038" t="s">
        <v>54</v>
      </c>
      <c r="O540" s="1293" t="s">
        <v>120</v>
      </c>
      <c r="P540" s="1347">
        <v>1</v>
      </c>
      <c r="Q540" s="1213">
        <v>0.4</v>
      </c>
      <c r="R540" s="1074"/>
      <c r="S540" s="1074"/>
      <c r="T540" s="1075"/>
      <c r="U540" s="1184"/>
      <c r="V540" s="1185"/>
      <c r="W540" s="1079"/>
      <c r="X540" s="1078"/>
      <c r="Y540" s="1039"/>
      <c r="Z540" s="1183"/>
      <c r="AA540" s="1074"/>
      <c r="AB540" s="1126"/>
      <c r="AC540" s="1073"/>
      <c r="AD540" s="1091"/>
      <c r="AE540" s="1076"/>
      <c r="AF540" s="1296"/>
      <c r="AG540" s="1297"/>
      <c r="AH540" s="1298">
        <v>200000</v>
      </c>
      <c r="AI540" s="1087">
        <f>AH540*Q540*0.5</f>
        <v>40000</v>
      </c>
      <c r="AJ540" s="1299"/>
      <c r="AK540" s="1300"/>
      <c r="AL540" s="1090"/>
      <c r="AM540" s="1297"/>
      <c r="AN540" s="1297"/>
      <c r="AO540" s="1298"/>
      <c r="AP540" s="1301"/>
      <c r="AQ540" s="1298"/>
      <c r="AR540" s="1301"/>
      <c r="AS540" s="1301"/>
      <c r="AT540" s="1297"/>
      <c r="AU540" s="1299"/>
      <c r="AV540" s="1302"/>
    </row>
    <row r="541" spans="1:48" ht="16.5" customHeight="1">
      <c r="A541" s="1098"/>
      <c r="B541" s="1095"/>
      <c r="C541" s="1186"/>
      <c r="D541" s="1270"/>
      <c r="E541" s="1264"/>
      <c r="F541" s="1150"/>
      <c r="G541" s="1095"/>
      <c r="H541" s="1099"/>
      <c r="I541" s="1349"/>
      <c r="J541" s="1103"/>
      <c r="K541" s="1342"/>
      <c r="L541" s="1287"/>
      <c r="M541" s="1103"/>
      <c r="N541" s="1095"/>
      <c r="O541" s="1105"/>
      <c r="P541" s="1109"/>
      <c r="Q541" s="1108"/>
      <c r="R541" s="1094"/>
      <c r="S541" s="1094"/>
      <c r="T541" s="1168"/>
      <c r="U541" s="1188"/>
      <c r="V541" s="1189"/>
      <c r="W541" s="1111"/>
      <c r="X541" s="1110"/>
      <c r="Y541" s="1096"/>
      <c r="Z541" s="1166"/>
      <c r="AA541" s="1094"/>
      <c r="AB541" s="1156"/>
      <c r="AC541" s="1107"/>
      <c r="AD541" s="1109"/>
      <c r="AE541" s="1108"/>
      <c r="AF541" s="1305"/>
      <c r="AG541" s="1306"/>
      <c r="AH541" s="1307"/>
      <c r="AI541" s="1307"/>
      <c r="AJ541" s="1308"/>
      <c r="AK541" s="1309"/>
      <c r="AL541" s="1120"/>
      <c r="AM541" s="1306"/>
      <c r="AN541" s="1306"/>
      <c r="AO541" s="1307"/>
      <c r="AP541" s="1310"/>
      <c r="AQ541" s="1307"/>
      <c r="AR541" s="1310"/>
      <c r="AS541" s="1310"/>
      <c r="AT541" s="1306"/>
      <c r="AU541" s="1308"/>
      <c r="AV541" s="1311"/>
    </row>
    <row r="542" spans="1:48" ht="33" customHeight="1">
      <c r="A542" s="1169">
        <v>39</v>
      </c>
      <c r="B542" s="1033" t="s">
        <v>25</v>
      </c>
      <c r="C542" s="1036" t="s">
        <v>119</v>
      </c>
      <c r="D542" s="1033"/>
      <c r="E542" s="1036"/>
      <c r="F542" s="1375" t="s">
        <v>1533</v>
      </c>
      <c r="G542" s="1272" t="s">
        <v>25</v>
      </c>
      <c r="H542" s="1273" t="s">
        <v>94</v>
      </c>
      <c r="I542" s="1372">
        <v>1834</v>
      </c>
      <c r="J542" s="1043" t="s">
        <v>41</v>
      </c>
      <c r="K542" s="1330" t="s">
        <v>118</v>
      </c>
      <c r="L542" s="1129" t="s">
        <v>46</v>
      </c>
      <c r="M542" s="1331"/>
      <c r="N542" s="1033" t="s">
        <v>25</v>
      </c>
      <c r="O542" s="1045" t="s">
        <v>17</v>
      </c>
      <c r="P542" s="1344">
        <v>1</v>
      </c>
      <c r="Q542" s="1048"/>
      <c r="R542" s="1034" t="s">
        <v>25</v>
      </c>
      <c r="S542" s="1034" t="s">
        <v>24</v>
      </c>
      <c r="T542" s="1376">
        <v>2</v>
      </c>
      <c r="U542" s="1353">
        <v>1</v>
      </c>
      <c r="V542" s="1047" t="s">
        <v>64</v>
      </c>
      <c r="W542" s="1200">
        <v>4</v>
      </c>
      <c r="X542" s="1241" t="s">
        <v>46</v>
      </c>
      <c r="Y542" s="1242" t="s">
        <v>46</v>
      </c>
      <c r="Z542" s="1229">
        <f>SUM(W542:Y542)</f>
        <v>4</v>
      </c>
      <c r="AA542" s="1170"/>
      <c r="AB542" s="1173"/>
      <c r="AC542" s="1047"/>
      <c r="AD542" s="1055"/>
      <c r="AE542" s="1032"/>
      <c r="AF542" s="1333">
        <f>Resum!F1</f>
        <v>356000</v>
      </c>
      <c r="AG542" s="1086">
        <f>AF542*I542</f>
        <v>652904000</v>
      </c>
      <c r="AH542" s="1334">
        <v>2500000</v>
      </c>
      <c r="AI542" s="1087">
        <f>AH542*P542*0.5</f>
        <v>1250000</v>
      </c>
      <c r="AJ542" s="1335">
        <f>SUM(AI542)</f>
        <v>1250000</v>
      </c>
      <c r="AK542" s="1336">
        <v>45120</v>
      </c>
      <c r="AL542" s="1090">
        <f t="shared" si="40"/>
        <v>180480</v>
      </c>
      <c r="AM542" s="1337">
        <f>SUM(AL542:AL548)</f>
        <v>5799880</v>
      </c>
      <c r="AN542" s="1086">
        <f>AM542+AJ542+AG542</f>
        <v>659953880</v>
      </c>
      <c r="AO542" s="1334"/>
      <c r="AP542" s="1136">
        <v>0</v>
      </c>
      <c r="AQ542" s="1087">
        <v>0</v>
      </c>
      <c r="AR542" s="1136">
        <f>AG542*5%</f>
        <v>32645200</v>
      </c>
      <c r="AS542" s="1087">
        <f>0.5%*(AG542)*(3)</f>
        <v>9793560</v>
      </c>
      <c r="AT542" s="1086">
        <f>+AS542+AR542+AQ542+AP542+AO542</f>
        <v>42438760</v>
      </c>
      <c r="AU542" s="1137">
        <f>ROUND(AT542+AN542,-3)</f>
        <v>702393000</v>
      </c>
      <c r="AV542" s="1041"/>
    </row>
    <row r="543" spans="1:48" ht="16.5" customHeight="1">
      <c r="A543" s="1121"/>
      <c r="B543" s="1038" t="s">
        <v>16</v>
      </c>
      <c r="C543" s="1071" t="s">
        <v>117</v>
      </c>
      <c r="D543" s="1038"/>
      <c r="E543" s="1071"/>
      <c r="F543" s="1138"/>
      <c r="G543" s="1038" t="s">
        <v>16</v>
      </c>
      <c r="H543" s="1039" t="s">
        <v>22</v>
      </c>
      <c r="I543" s="1346"/>
      <c r="J543" s="1069"/>
      <c r="K543" s="1339"/>
      <c r="L543" s="1139"/>
      <c r="M543" s="1128"/>
      <c r="N543" s="1038"/>
      <c r="O543" s="1071"/>
      <c r="P543" s="1081"/>
      <c r="Q543" s="1075"/>
      <c r="R543" s="1074"/>
      <c r="S543" s="1074"/>
      <c r="T543" s="1144"/>
      <c r="U543" s="1184">
        <v>2</v>
      </c>
      <c r="V543" s="1313" t="s">
        <v>58</v>
      </c>
      <c r="W543" s="1140">
        <v>1</v>
      </c>
      <c r="X543" s="1141"/>
      <c r="Y543" s="1142"/>
      <c r="Z543" s="1143">
        <f>SUM(W543:Y543)</f>
        <v>1</v>
      </c>
      <c r="AA543" s="1074"/>
      <c r="AB543" s="1126"/>
      <c r="AC543" s="1073"/>
      <c r="AD543" s="1084"/>
      <c r="AE543" s="1062"/>
      <c r="AF543" s="1296"/>
      <c r="AG543" s="1297"/>
      <c r="AH543" s="1298"/>
      <c r="AI543" s="1298"/>
      <c r="AJ543" s="1299"/>
      <c r="AK543" s="1300">
        <v>225000</v>
      </c>
      <c r="AL543" s="1090">
        <f t="shared" si="40"/>
        <v>225000</v>
      </c>
      <c r="AM543" s="1297"/>
      <c r="AN543" s="1297"/>
      <c r="AO543" s="1298"/>
      <c r="AP543" s="1301"/>
      <c r="AQ543" s="1298"/>
      <c r="AR543" s="1301"/>
      <c r="AS543" s="1301"/>
      <c r="AT543" s="1297"/>
      <c r="AU543" s="1299"/>
      <c r="AV543" s="1067"/>
    </row>
    <row r="544" spans="1:48" ht="16.5" customHeight="1">
      <c r="A544" s="1121"/>
      <c r="B544" s="1038" t="s">
        <v>18</v>
      </c>
      <c r="C544" s="1039" t="s">
        <v>107</v>
      </c>
      <c r="D544" s="1038"/>
      <c r="E544" s="1039"/>
      <c r="F544" s="1138"/>
      <c r="G544" s="1038" t="s">
        <v>18</v>
      </c>
      <c r="H544" s="1039" t="s">
        <v>19</v>
      </c>
      <c r="I544" s="1346"/>
      <c r="J544" s="1069"/>
      <c r="K544" s="1339"/>
      <c r="L544" s="1139"/>
      <c r="M544" s="1128"/>
      <c r="N544" s="1038"/>
      <c r="O544" s="1083"/>
      <c r="P544" s="1091"/>
      <c r="Q544" s="1076"/>
      <c r="R544" s="1074"/>
      <c r="S544" s="1074"/>
      <c r="T544" s="1075"/>
      <c r="U544" s="1184"/>
      <c r="V544" s="1313" t="s">
        <v>58</v>
      </c>
      <c r="W544" s="1140"/>
      <c r="X544" s="1141"/>
      <c r="Y544" s="1142">
        <v>2</v>
      </c>
      <c r="Z544" s="1360"/>
      <c r="AA544" s="1074"/>
      <c r="AB544" s="1126"/>
      <c r="AC544" s="1073"/>
      <c r="AD544" s="1084"/>
      <c r="AE544" s="1062"/>
      <c r="AF544" s="1296"/>
      <c r="AG544" s="1297"/>
      <c r="AH544" s="1298"/>
      <c r="AI544" s="1298"/>
      <c r="AJ544" s="1299"/>
      <c r="AK544" s="1300">
        <v>50000</v>
      </c>
      <c r="AL544" s="1090">
        <f>AK544*Y544</f>
        <v>100000</v>
      </c>
      <c r="AM544" s="1297"/>
      <c r="AN544" s="1297"/>
      <c r="AO544" s="1298"/>
      <c r="AP544" s="1301"/>
      <c r="AQ544" s="1298"/>
      <c r="AR544" s="1301"/>
      <c r="AS544" s="1301"/>
      <c r="AT544" s="1297"/>
      <c r="AU544" s="1299"/>
      <c r="AV544" s="1067"/>
    </row>
    <row r="545" spans="1:48" ht="54.75" customHeight="1">
      <c r="A545" s="1121"/>
      <c r="B545" s="1082" t="s">
        <v>12</v>
      </c>
      <c r="C545" s="1083" t="s">
        <v>116</v>
      </c>
      <c r="D545" s="1082"/>
      <c r="E545" s="1083"/>
      <c r="F545" s="1138"/>
      <c r="G545" s="1038"/>
      <c r="H545" s="1092"/>
      <c r="I545" s="1346"/>
      <c r="J545" s="1069"/>
      <c r="K545" s="1339"/>
      <c r="L545" s="1139"/>
      <c r="M545" s="1128"/>
      <c r="N545" s="1038"/>
      <c r="O545" s="1083"/>
      <c r="P545" s="1091"/>
      <c r="Q545" s="1076"/>
      <c r="R545" s="1074" t="s">
        <v>16</v>
      </c>
      <c r="S545" s="1074" t="s">
        <v>15</v>
      </c>
      <c r="T545" s="1075">
        <v>3</v>
      </c>
      <c r="U545" s="1254">
        <v>1</v>
      </c>
      <c r="V545" s="1255" t="s">
        <v>115</v>
      </c>
      <c r="W545" s="1241" t="s">
        <v>46</v>
      </c>
      <c r="X545" s="1241" t="s">
        <v>46</v>
      </c>
      <c r="Y545" s="1242">
        <v>1120</v>
      </c>
      <c r="Z545" s="1360" t="s">
        <v>114</v>
      </c>
      <c r="AA545" s="1074"/>
      <c r="AB545" s="1126"/>
      <c r="AC545" s="1073"/>
      <c r="AD545" s="1084"/>
      <c r="AE545" s="1062"/>
      <c r="AF545" s="1296"/>
      <c r="AG545" s="1297"/>
      <c r="AH545" s="1298"/>
      <c r="AI545" s="1298"/>
      <c r="AJ545" s="1299"/>
      <c r="AK545" s="1300">
        <v>600</v>
      </c>
      <c r="AL545" s="1090">
        <f>AK545*Y545</f>
        <v>672000</v>
      </c>
      <c r="AM545" s="1297"/>
      <c r="AN545" s="1297"/>
      <c r="AO545" s="1298"/>
      <c r="AP545" s="1301"/>
      <c r="AQ545" s="1298"/>
      <c r="AR545" s="1301"/>
      <c r="AS545" s="1301"/>
      <c r="AT545" s="1297"/>
      <c r="AU545" s="1299"/>
      <c r="AV545" s="1067"/>
    </row>
    <row r="546" spans="1:48" ht="16.5" customHeight="1">
      <c r="A546" s="1121"/>
      <c r="B546" s="1082" t="s">
        <v>8</v>
      </c>
      <c r="C546" s="1147" t="s">
        <v>113</v>
      </c>
      <c r="D546" s="1082"/>
      <c r="E546" s="1083"/>
      <c r="F546" s="1138"/>
      <c r="G546" s="1038"/>
      <c r="H546" s="1092"/>
      <c r="I546" s="1346"/>
      <c r="J546" s="1069"/>
      <c r="K546" s="1339"/>
      <c r="L546" s="1139"/>
      <c r="M546" s="1128"/>
      <c r="N546" s="1038"/>
      <c r="O546" s="1083"/>
      <c r="P546" s="1091"/>
      <c r="Q546" s="1076"/>
      <c r="R546" s="1074"/>
      <c r="S546" s="1074"/>
      <c r="T546" s="1075"/>
      <c r="U546" s="1254">
        <v>2</v>
      </c>
      <c r="V546" s="1355" t="s">
        <v>14</v>
      </c>
      <c r="W546" s="1241" t="s">
        <v>46</v>
      </c>
      <c r="X546" s="1241" t="s">
        <v>46</v>
      </c>
      <c r="Y546" s="1242">
        <v>40</v>
      </c>
      <c r="Z546" s="1360">
        <v>40</v>
      </c>
      <c r="AA546" s="1074"/>
      <c r="AB546" s="1126"/>
      <c r="AC546" s="1073"/>
      <c r="AD546" s="1084"/>
      <c r="AE546" s="1062"/>
      <c r="AF546" s="1296"/>
      <c r="AG546" s="1297"/>
      <c r="AH546" s="1298"/>
      <c r="AI546" s="1298"/>
      <c r="AJ546" s="1299"/>
      <c r="AK546" s="1089">
        <v>115500</v>
      </c>
      <c r="AL546" s="1087">
        <f>AK546*Y546</f>
        <v>4620000</v>
      </c>
      <c r="AM546" s="1297"/>
      <c r="AN546" s="1297"/>
      <c r="AO546" s="1298"/>
      <c r="AP546" s="1301"/>
      <c r="AQ546" s="1298"/>
      <c r="AR546" s="1301"/>
      <c r="AS546" s="1301"/>
      <c r="AT546" s="1297"/>
      <c r="AU546" s="1299"/>
      <c r="AV546" s="1067"/>
    </row>
    <row r="547" spans="1:48" ht="16.5" customHeight="1">
      <c r="A547" s="1121"/>
      <c r="B547" s="1082"/>
      <c r="C547" s="1083"/>
      <c r="D547" s="1082"/>
      <c r="E547" s="1083"/>
      <c r="F547" s="1138"/>
      <c r="G547" s="1038"/>
      <c r="H547" s="1092"/>
      <c r="I547" s="1346"/>
      <c r="J547" s="1069"/>
      <c r="K547" s="1339"/>
      <c r="L547" s="1139"/>
      <c r="M547" s="1128"/>
      <c r="N547" s="1038"/>
      <c r="O547" s="1083"/>
      <c r="P547" s="1091"/>
      <c r="Q547" s="1076"/>
      <c r="R547" s="1074"/>
      <c r="S547" s="1074"/>
      <c r="T547" s="1075"/>
      <c r="U547" s="1254">
        <v>3</v>
      </c>
      <c r="V547" s="1355" t="s">
        <v>81</v>
      </c>
      <c r="W547" s="1241">
        <v>3</v>
      </c>
      <c r="X547" s="1241" t="s">
        <v>46</v>
      </c>
      <c r="Y547" s="1242" t="s">
        <v>46</v>
      </c>
      <c r="Z547" s="1143">
        <v>3</v>
      </c>
      <c r="AA547" s="1074"/>
      <c r="AB547" s="1126"/>
      <c r="AC547" s="1073"/>
      <c r="AD547" s="1084"/>
      <c r="AE547" s="1062"/>
      <c r="AF547" s="1296"/>
      <c r="AG547" s="1297"/>
      <c r="AH547" s="1298"/>
      <c r="AI547" s="1298"/>
      <c r="AJ547" s="1299"/>
      <c r="AK547" s="1300">
        <v>800</v>
      </c>
      <c r="AL547" s="1090">
        <f t="shared" ref="AL547:AL612" si="42">AK547*W547</f>
        <v>2400</v>
      </c>
      <c r="AM547" s="1297"/>
      <c r="AN547" s="1297"/>
      <c r="AO547" s="1298"/>
      <c r="AP547" s="1301"/>
      <c r="AQ547" s="1298"/>
      <c r="AR547" s="1301"/>
      <c r="AS547" s="1301"/>
      <c r="AT547" s="1297"/>
      <c r="AU547" s="1299"/>
      <c r="AV547" s="1067"/>
    </row>
    <row r="548" spans="1:48" ht="16.5" customHeight="1">
      <c r="A548" s="1377"/>
      <c r="B548" s="1095"/>
      <c r="C548" s="1186"/>
      <c r="D548" s="1095"/>
      <c r="E548" s="1186"/>
      <c r="F548" s="1150"/>
      <c r="G548" s="1095"/>
      <c r="H548" s="1099"/>
      <c r="I548" s="1349"/>
      <c r="J548" s="1103"/>
      <c r="K548" s="1342"/>
      <c r="L548" s="1154"/>
      <c r="M548" s="1153"/>
      <c r="N548" s="1095"/>
      <c r="O548" s="1105"/>
      <c r="P548" s="1109"/>
      <c r="Q548" s="1108"/>
      <c r="R548" s="1094"/>
      <c r="S548" s="1094"/>
      <c r="T548" s="1168"/>
      <c r="U548" s="1378"/>
      <c r="V548" s="1107"/>
      <c r="W548" s="1249"/>
      <c r="X548" s="1250"/>
      <c r="Y548" s="1379"/>
      <c r="Z548" s="1208"/>
      <c r="AA548" s="1094"/>
      <c r="AB548" s="1156"/>
      <c r="AC548" s="1107"/>
      <c r="AD548" s="1114"/>
      <c r="AE548" s="1093"/>
      <c r="AF548" s="1305"/>
      <c r="AG548" s="1306"/>
      <c r="AH548" s="1307"/>
      <c r="AI548" s="1307"/>
      <c r="AJ548" s="1308"/>
      <c r="AK548" s="1309"/>
      <c r="AL548" s="1120"/>
      <c r="AM548" s="1306"/>
      <c r="AN548" s="1306"/>
      <c r="AO548" s="1307"/>
      <c r="AP548" s="1310"/>
      <c r="AQ548" s="1307"/>
      <c r="AR548" s="1310"/>
      <c r="AS548" s="1310"/>
      <c r="AT548" s="1306"/>
      <c r="AU548" s="1308"/>
      <c r="AV548" s="1101"/>
    </row>
    <row r="549" spans="1:48" ht="33" customHeight="1">
      <c r="A549" s="1380">
        <v>40</v>
      </c>
      <c r="B549" s="1381" t="s">
        <v>25</v>
      </c>
      <c r="C549" s="1382" t="s">
        <v>112</v>
      </c>
      <c r="D549" s="1381"/>
      <c r="E549" s="1382"/>
      <c r="F549" s="1383" t="s">
        <v>111</v>
      </c>
      <c r="G549" s="1384" t="s">
        <v>25</v>
      </c>
      <c r="H549" s="1385" t="s">
        <v>66</v>
      </c>
      <c r="I549" s="1386">
        <v>210</v>
      </c>
      <c r="J549" s="1387" t="s">
        <v>41</v>
      </c>
      <c r="K549" s="1388" t="s">
        <v>110</v>
      </c>
      <c r="L549" s="1389" t="s">
        <v>46</v>
      </c>
      <c r="M549" s="1390"/>
      <c r="N549" s="1391" t="s">
        <v>25</v>
      </c>
      <c r="O549" s="1392" t="s">
        <v>17</v>
      </c>
      <c r="P549" s="1393">
        <v>3</v>
      </c>
      <c r="Q549" s="1394"/>
      <c r="R549" s="1395" t="s">
        <v>25</v>
      </c>
      <c r="S549" s="1395" t="s">
        <v>24</v>
      </c>
      <c r="T549" s="1396">
        <v>2</v>
      </c>
      <c r="U549" s="1397">
        <v>1</v>
      </c>
      <c r="V549" s="1398" t="s">
        <v>109</v>
      </c>
      <c r="W549" s="1399">
        <v>20</v>
      </c>
      <c r="X549" s="1400" t="s">
        <v>46</v>
      </c>
      <c r="Y549" s="1401"/>
      <c r="Z549" s="1402">
        <f>SUM(W549:Y549)</f>
        <v>20</v>
      </c>
      <c r="AA549" s="1403"/>
      <c r="AB549" s="1404"/>
      <c r="AC549" s="1405"/>
      <c r="AD549" s="1406"/>
      <c r="AE549" s="1407"/>
      <c r="AF549" s="1408">
        <v>0</v>
      </c>
      <c r="AG549" s="1409">
        <f>AF549*I549</f>
        <v>0</v>
      </c>
      <c r="AH549" s="1410"/>
      <c r="AI549" s="1410"/>
      <c r="AJ549" s="1411"/>
      <c r="AK549" s="1412"/>
      <c r="AL549" s="1413"/>
      <c r="AM549" s="1414">
        <f>SUM(AL549:AL555)</f>
        <v>0</v>
      </c>
      <c r="AN549" s="1409">
        <f>AM549+AJ549+AG549</f>
        <v>0</v>
      </c>
      <c r="AO549" s="1410"/>
      <c r="AP549" s="1415">
        <f>AI550*15%</f>
        <v>0</v>
      </c>
      <c r="AQ549" s="1416">
        <f>(AG549+AI549)*1%</f>
        <v>0</v>
      </c>
      <c r="AR549" s="1415">
        <f>(AG549+AI549)*5%</f>
        <v>0</v>
      </c>
      <c r="AS549" s="1416">
        <f>0.5%*(AG549+AI549)*(3)</f>
        <v>0</v>
      </c>
      <c r="AT549" s="1409">
        <f>+AS549+AR549+AQ549+AP549+AO549</f>
        <v>0</v>
      </c>
      <c r="AU549" s="1417">
        <f>AT549+AN549</f>
        <v>0</v>
      </c>
      <c r="AV549" s="1041"/>
    </row>
    <row r="550" spans="1:48" ht="16.5" customHeight="1">
      <c r="A550" s="1418"/>
      <c r="B550" s="1419" t="s">
        <v>16</v>
      </c>
      <c r="C550" s="1420" t="s">
        <v>108</v>
      </c>
      <c r="D550" s="1419"/>
      <c r="E550" s="1420"/>
      <c r="F550" s="1421"/>
      <c r="G550" s="1419" t="s">
        <v>16</v>
      </c>
      <c r="H550" s="1422" t="s">
        <v>22</v>
      </c>
      <c r="I550" s="1423"/>
      <c r="J550" s="1424"/>
      <c r="K550" s="1425"/>
      <c r="L550" s="1426"/>
      <c r="M550" s="1427"/>
      <c r="N550" s="1419"/>
      <c r="O550" s="1420"/>
      <c r="P550" s="1428"/>
      <c r="Q550" s="1429"/>
      <c r="R550" s="1430"/>
      <c r="S550" s="1430"/>
      <c r="T550" s="1431"/>
      <c r="U550" s="1432"/>
      <c r="V550" s="1433" t="s">
        <v>109</v>
      </c>
      <c r="W550" s="1434"/>
      <c r="X550" s="1435" t="s">
        <v>46</v>
      </c>
      <c r="Y550" s="1436">
        <v>12</v>
      </c>
      <c r="Z550" s="1437">
        <f>SUM(W551:Y551)</f>
        <v>20</v>
      </c>
      <c r="AA550" s="1430"/>
      <c r="AB550" s="1438"/>
      <c r="AC550" s="1439"/>
      <c r="AD550" s="1440"/>
      <c r="AE550" s="1441"/>
      <c r="AF550" s="1442"/>
      <c r="AG550" s="1443"/>
      <c r="AH550" s="1444"/>
      <c r="AI550" s="1444"/>
      <c r="AJ550" s="1445"/>
      <c r="AK550" s="1446"/>
      <c r="AL550" s="1413"/>
      <c r="AM550" s="1443"/>
      <c r="AN550" s="1443"/>
      <c r="AO550" s="1444"/>
      <c r="AP550" s="1447"/>
      <c r="AQ550" s="1444"/>
      <c r="AR550" s="1447"/>
      <c r="AS550" s="1447"/>
      <c r="AT550" s="1443"/>
      <c r="AU550" s="1445"/>
      <c r="AV550" s="1067"/>
    </row>
    <row r="551" spans="1:48" ht="16.5" customHeight="1">
      <c r="A551" s="1418"/>
      <c r="B551" s="1419" t="s">
        <v>18</v>
      </c>
      <c r="C551" s="1422" t="s">
        <v>107</v>
      </c>
      <c r="D551" s="1419"/>
      <c r="E551" s="1422"/>
      <c r="F551" s="1421"/>
      <c r="G551" s="1419" t="s">
        <v>18</v>
      </c>
      <c r="H551" s="1422" t="s">
        <v>19</v>
      </c>
      <c r="I551" s="1423"/>
      <c r="J551" s="1424"/>
      <c r="K551" s="1425"/>
      <c r="L551" s="1426"/>
      <c r="M551" s="1427"/>
      <c r="N551" s="1419"/>
      <c r="O551" s="1420"/>
      <c r="P551" s="1428"/>
      <c r="Q551" s="1429"/>
      <c r="R551" s="1430"/>
      <c r="S551" s="1430"/>
      <c r="T551" s="1448"/>
      <c r="U551" s="1432">
        <v>2</v>
      </c>
      <c r="V551" s="1449" t="s">
        <v>80</v>
      </c>
      <c r="W551" s="1434">
        <v>20</v>
      </c>
      <c r="X551" s="1435" t="s">
        <v>46</v>
      </c>
      <c r="Y551" s="1450" t="s">
        <v>46</v>
      </c>
      <c r="Z551" s="1437"/>
      <c r="AA551" s="1430"/>
      <c r="AB551" s="1438"/>
      <c r="AC551" s="1439"/>
      <c r="AD551" s="1440"/>
      <c r="AE551" s="1441"/>
      <c r="AF551" s="1442"/>
      <c r="AG551" s="1443"/>
      <c r="AH551" s="1444"/>
      <c r="AI551" s="1444"/>
      <c r="AJ551" s="1445"/>
      <c r="AK551" s="1451"/>
      <c r="AL551" s="1413"/>
      <c r="AM551" s="1443"/>
      <c r="AN551" s="1443"/>
      <c r="AO551" s="1444"/>
      <c r="AP551" s="1447"/>
      <c r="AQ551" s="1444"/>
      <c r="AR551" s="1447"/>
      <c r="AS551" s="1447"/>
      <c r="AT551" s="1443"/>
      <c r="AU551" s="1445"/>
      <c r="AV551" s="1067"/>
    </row>
    <row r="552" spans="1:48" ht="49.5" customHeight="1">
      <c r="A552" s="1418"/>
      <c r="B552" s="1419" t="s">
        <v>12</v>
      </c>
      <c r="C552" s="1452" t="s">
        <v>105</v>
      </c>
      <c r="D552" s="1419"/>
      <c r="E552" s="1452"/>
      <c r="F552" s="1421"/>
      <c r="G552" s="1419"/>
      <c r="H552" s="1453"/>
      <c r="I552" s="1423"/>
      <c r="J552" s="1424"/>
      <c r="K552" s="1425"/>
      <c r="L552" s="1426"/>
      <c r="M552" s="1427"/>
      <c r="N552" s="1419"/>
      <c r="O552" s="1420"/>
      <c r="P552" s="1428"/>
      <c r="Q552" s="1429"/>
      <c r="R552" s="1430" t="s">
        <v>16</v>
      </c>
      <c r="S552" s="1430" t="s">
        <v>15</v>
      </c>
      <c r="T552" s="1448">
        <v>3</v>
      </c>
      <c r="U552" s="1454">
        <v>1</v>
      </c>
      <c r="V552" s="1455" t="s">
        <v>48</v>
      </c>
      <c r="W552" s="1435">
        <v>3</v>
      </c>
      <c r="X552" s="1435" t="s">
        <v>46</v>
      </c>
      <c r="Y552" s="1450"/>
      <c r="Z552" s="1437">
        <f>SUM(W552:Y552)</f>
        <v>3</v>
      </c>
      <c r="AA552" s="1430"/>
      <c r="AB552" s="1456"/>
      <c r="AC552" s="1448"/>
      <c r="AD552" s="1440"/>
      <c r="AE552" s="1441"/>
      <c r="AF552" s="1442"/>
      <c r="AG552" s="1443"/>
      <c r="AH552" s="1444"/>
      <c r="AI552" s="1444"/>
      <c r="AJ552" s="1445"/>
      <c r="AK552" s="1451"/>
      <c r="AL552" s="1413"/>
      <c r="AM552" s="1443"/>
      <c r="AN552" s="1443"/>
      <c r="AO552" s="1444"/>
      <c r="AP552" s="1447"/>
      <c r="AQ552" s="1444"/>
      <c r="AR552" s="1447"/>
      <c r="AS552" s="1447"/>
      <c r="AT552" s="1443"/>
      <c r="AU552" s="1445"/>
      <c r="AV552" s="1067"/>
    </row>
    <row r="553" spans="1:48" ht="16.5" customHeight="1">
      <c r="A553" s="1418"/>
      <c r="B553" s="1419"/>
      <c r="C553" s="1457" t="s">
        <v>104</v>
      </c>
      <c r="D553" s="1419"/>
      <c r="E553" s="1452"/>
      <c r="F553" s="1421"/>
      <c r="G553" s="1419"/>
      <c r="H553" s="1453"/>
      <c r="I553" s="1423"/>
      <c r="J553" s="1424"/>
      <c r="K553" s="1425"/>
      <c r="L553" s="1426"/>
      <c r="M553" s="1427"/>
      <c r="N553" s="1419"/>
      <c r="O553" s="1420"/>
      <c r="P553" s="1428"/>
      <c r="Q553" s="1429"/>
      <c r="R553" s="1430"/>
      <c r="S553" s="1430"/>
      <c r="T553" s="1448"/>
      <c r="U553" s="1454"/>
      <c r="V553" s="1455" t="s">
        <v>48</v>
      </c>
      <c r="W553" s="1435"/>
      <c r="X553" s="1435" t="s">
        <v>46</v>
      </c>
      <c r="Y553" s="1450">
        <v>15</v>
      </c>
      <c r="Z553" s="1437"/>
      <c r="AA553" s="1430"/>
      <c r="AB553" s="1456"/>
      <c r="AC553" s="1448"/>
      <c r="AD553" s="1440"/>
      <c r="AE553" s="1441"/>
      <c r="AF553" s="1442"/>
      <c r="AG553" s="1443"/>
      <c r="AH553" s="1444"/>
      <c r="AI553" s="1444"/>
      <c r="AJ553" s="1445"/>
      <c r="AK553" s="1451"/>
      <c r="AL553" s="1413"/>
      <c r="AM553" s="1443"/>
      <c r="AN553" s="1443"/>
      <c r="AO553" s="1444"/>
      <c r="AP553" s="1447"/>
      <c r="AQ553" s="1444"/>
      <c r="AR553" s="1447"/>
      <c r="AS553" s="1447"/>
      <c r="AT553" s="1443"/>
      <c r="AU553" s="1445"/>
      <c r="AV553" s="1067"/>
    </row>
    <row r="554" spans="1:48" ht="16.5" customHeight="1">
      <c r="A554" s="1418"/>
      <c r="B554" s="1419"/>
      <c r="C554" s="1457"/>
      <c r="D554" s="1419"/>
      <c r="E554" s="1452"/>
      <c r="F554" s="1421"/>
      <c r="G554" s="1419"/>
      <c r="H554" s="1453"/>
      <c r="I554" s="1423"/>
      <c r="J554" s="1424"/>
      <c r="K554" s="1425"/>
      <c r="L554" s="1426"/>
      <c r="M554" s="1427"/>
      <c r="N554" s="1419"/>
      <c r="O554" s="1420"/>
      <c r="P554" s="1428"/>
      <c r="Q554" s="1429"/>
      <c r="R554" s="1430"/>
      <c r="S554" s="1430"/>
      <c r="T554" s="1448"/>
      <c r="U554" s="1454">
        <v>2</v>
      </c>
      <c r="V554" s="1458" t="s">
        <v>14</v>
      </c>
      <c r="W554" s="1435" t="s">
        <v>46</v>
      </c>
      <c r="X554" s="1435">
        <v>50</v>
      </c>
      <c r="Y554" s="1450" t="s">
        <v>46</v>
      </c>
      <c r="Z554" s="1437"/>
      <c r="AA554" s="1430"/>
      <c r="AB554" s="1456"/>
      <c r="AC554" s="1448"/>
      <c r="AD554" s="1440"/>
      <c r="AE554" s="1441"/>
      <c r="AF554" s="1442"/>
      <c r="AG554" s="1443"/>
      <c r="AH554" s="1444"/>
      <c r="AI554" s="1444"/>
      <c r="AJ554" s="1445"/>
      <c r="AK554" s="1446"/>
      <c r="AL554" s="1416"/>
      <c r="AM554" s="1443"/>
      <c r="AN554" s="1443"/>
      <c r="AO554" s="1444"/>
      <c r="AP554" s="1447"/>
      <c r="AQ554" s="1444"/>
      <c r="AR554" s="1447"/>
      <c r="AS554" s="1447"/>
      <c r="AT554" s="1443"/>
      <c r="AU554" s="1445"/>
      <c r="AV554" s="1067"/>
    </row>
    <row r="555" spans="1:48" ht="16.5" customHeight="1">
      <c r="A555" s="1459"/>
      <c r="B555" s="1460" t="s">
        <v>8</v>
      </c>
      <c r="C555" s="1461"/>
      <c r="D555" s="1460"/>
      <c r="E555" s="1462"/>
      <c r="F555" s="1463"/>
      <c r="G555" s="1460"/>
      <c r="H555" s="1464"/>
      <c r="I555" s="1465"/>
      <c r="J555" s="1466"/>
      <c r="K555" s="1467"/>
      <c r="L555" s="1468"/>
      <c r="M555" s="1469"/>
      <c r="N555" s="1460"/>
      <c r="O555" s="1470"/>
      <c r="P555" s="1471"/>
      <c r="Q555" s="1472"/>
      <c r="R555" s="1473"/>
      <c r="S555" s="1473"/>
      <c r="T555" s="1472"/>
      <c r="U555" s="1474"/>
      <c r="V555" s="1475"/>
      <c r="W555" s="1476"/>
      <c r="X555" s="1476"/>
      <c r="Y555" s="1477"/>
      <c r="Z555" s="1478">
        <f>SUM(W555:Y555)</f>
        <v>0</v>
      </c>
      <c r="AA555" s="1473"/>
      <c r="AB555" s="1479"/>
      <c r="AC555" s="1472"/>
      <c r="AD555" s="1480"/>
      <c r="AE555" s="1481"/>
      <c r="AF555" s="1482"/>
      <c r="AG555" s="1483"/>
      <c r="AH555" s="1484"/>
      <c r="AI555" s="1484"/>
      <c r="AJ555" s="1485"/>
      <c r="AK555" s="1446"/>
      <c r="AL555" s="1486"/>
      <c r="AM555" s="1483"/>
      <c r="AN555" s="1483"/>
      <c r="AO555" s="1484"/>
      <c r="AP555" s="1487"/>
      <c r="AQ555" s="1484"/>
      <c r="AR555" s="1487"/>
      <c r="AS555" s="1487"/>
      <c r="AT555" s="1483"/>
      <c r="AU555" s="1485"/>
      <c r="AV555" s="1101"/>
    </row>
    <row r="556" spans="1:48" s="1498" customFormat="1" ht="33" customHeight="1">
      <c r="A556" s="1488">
        <v>41</v>
      </c>
      <c r="B556" s="1381" t="s">
        <v>25</v>
      </c>
      <c r="C556" s="1382" t="s">
        <v>103</v>
      </c>
      <c r="D556" s="1381"/>
      <c r="E556" s="1382"/>
      <c r="F556" s="1383" t="s">
        <v>102</v>
      </c>
      <c r="G556" s="1384" t="s">
        <v>25</v>
      </c>
      <c r="H556" s="1385" t="s">
        <v>94</v>
      </c>
      <c r="I556" s="1386">
        <v>280</v>
      </c>
      <c r="J556" s="1387" t="s">
        <v>41</v>
      </c>
      <c r="K556" s="1388" t="s">
        <v>101</v>
      </c>
      <c r="L556" s="1489"/>
      <c r="M556" s="1387"/>
      <c r="N556" s="1391"/>
      <c r="O556" s="1392"/>
      <c r="P556" s="1393"/>
      <c r="Q556" s="1490"/>
      <c r="R556" s="1381" t="s">
        <v>25</v>
      </c>
      <c r="S556" s="1395" t="s">
        <v>24</v>
      </c>
      <c r="T556" s="1491">
        <v>1</v>
      </c>
      <c r="U556" s="1492">
        <v>1</v>
      </c>
      <c r="V556" s="1405" t="s">
        <v>80</v>
      </c>
      <c r="W556" s="1399">
        <v>2</v>
      </c>
      <c r="X556" s="1493">
        <v>0</v>
      </c>
      <c r="Y556" s="1401">
        <v>0</v>
      </c>
      <c r="Z556" s="1494" t="s">
        <v>100</v>
      </c>
      <c r="AA556" s="1395"/>
      <c r="AB556" s="1495"/>
      <c r="AC556" s="1396"/>
      <c r="AD556" s="1492"/>
      <c r="AE556" s="1496"/>
      <c r="AF556" s="1408">
        <v>0</v>
      </c>
      <c r="AG556" s="1409">
        <v>0</v>
      </c>
      <c r="AH556" s="1410"/>
      <c r="AI556" s="1410"/>
      <c r="AJ556" s="1411"/>
      <c r="AK556" s="1412">
        <v>0</v>
      </c>
      <c r="AL556" s="1413">
        <f>AK556*W556</f>
        <v>0</v>
      </c>
      <c r="AM556" s="1414">
        <f>SUM(AL556:AL561)</f>
        <v>0</v>
      </c>
      <c r="AN556" s="1409">
        <f>AM556+AJ556+AG556</f>
        <v>0</v>
      </c>
      <c r="AO556" s="1410"/>
      <c r="AP556" s="1415">
        <f>AI556*15%</f>
        <v>0</v>
      </c>
      <c r="AQ556" s="1416">
        <v>0</v>
      </c>
      <c r="AR556" s="1415">
        <f>(AG556+AI556)*5%</f>
        <v>0</v>
      </c>
      <c r="AS556" s="1416">
        <f>0.5%*(AG556+AI556)*(3)</f>
        <v>0</v>
      </c>
      <c r="AT556" s="1409">
        <f>+AS556+AR556+AQ556+AP556+AO556</f>
        <v>0</v>
      </c>
      <c r="AU556" s="1417">
        <f>AT556+AN556</f>
        <v>0</v>
      </c>
      <c r="AV556" s="1497"/>
    </row>
    <row r="557" spans="1:48" s="1498" customFormat="1" ht="16.5" customHeight="1">
      <c r="A557" s="1418"/>
      <c r="B557" s="1419" t="s">
        <v>16</v>
      </c>
      <c r="C557" s="1420" t="s">
        <v>99</v>
      </c>
      <c r="D557" s="1419"/>
      <c r="E557" s="1420"/>
      <c r="F557" s="1421"/>
      <c r="G557" s="1419" t="s">
        <v>16</v>
      </c>
      <c r="H557" s="1422" t="s">
        <v>22</v>
      </c>
      <c r="I557" s="1423"/>
      <c r="J557" s="1424"/>
      <c r="K557" s="1425"/>
      <c r="L557" s="1499"/>
      <c r="M557" s="1424"/>
      <c r="N557" s="1419"/>
      <c r="O557" s="1420"/>
      <c r="P557" s="1428"/>
      <c r="Q557" s="1500"/>
      <c r="R557" s="1419"/>
      <c r="S557" s="1430"/>
      <c r="T557" s="1448"/>
      <c r="U557" s="1501"/>
      <c r="V557" s="1439"/>
      <c r="W557" s="1434"/>
      <c r="X557" s="1502"/>
      <c r="Y557" s="1436"/>
      <c r="Z557" s="1503"/>
      <c r="AA557" s="1430"/>
      <c r="AB557" s="1456"/>
      <c r="AC557" s="1448"/>
      <c r="AD557" s="1501"/>
      <c r="AE557" s="1504"/>
      <c r="AF557" s="1442"/>
      <c r="AG557" s="1443"/>
      <c r="AH557" s="1444"/>
      <c r="AI557" s="1444"/>
      <c r="AJ557" s="1445"/>
      <c r="AK557" s="1451"/>
      <c r="AL557" s="1413"/>
      <c r="AM557" s="1443"/>
      <c r="AN557" s="1443"/>
      <c r="AO557" s="1444"/>
      <c r="AP557" s="1447"/>
      <c r="AQ557" s="1444"/>
      <c r="AR557" s="1447"/>
      <c r="AS557" s="1447"/>
      <c r="AT557" s="1443"/>
      <c r="AU557" s="1445"/>
      <c r="AV557" s="1505"/>
    </row>
    <row r="558" spans="1:48" s="1498" customFormat="1" ht="16.5" customHeight="1">
      <c r="A558" s="1418"/>
      <c r="B558" s="1419" t="s">
        <v>18</v>
      </c>
      <c r="C558" s="1422" t="s">
        <v>60</v>
      </c>
      <c r="D558" s="1419"/>
      <c r="E558" s="1422"/>
      <c r="F558" s="1421"/>
      <c r="G558" s="1419" t="s">
        <v>18</v>
      </c>
      <c r="H558" s="1422" t="s">
        <v>19</v>
      </c>
      <c r="I558" s="1423"/>
      <c r="J558" s="1424"/>
      <c r="K558" s="1425"/>
      <c r="L558" s="1499"/>
      <c r="M558" s="1424"/>
      <c r="N558" s="1419"/>
      <c r="O558" s="1420"/>
      <c r="P558" s="1428"/>
      <c r="Q558" s="1500"/>
      <c r="R558" s="1419" t="s">
        <v>16</v>
      </c>
      <c r="S558" s="1430" t="s">
        <v>15</v>
      </c>
      <c r="T558" s="1506">
        <v>1</v>
      </c>
      <c r="U558" s="1432">
        <v>1</v>
      </c>
      <c r="V558" s="1433" t="s">
        <v>14</v>
      </c>
      <c r="W558" s="1434">
        <v>2</v>
      </c>
      <c r="X558" s="1502">
        <v>0</v>
      </c>
      <c r="Y558" s="1436"/>
      <c r="Z558" s="1503">
        <f>SUM(W558:Y558)</f>
        <v>2</v>
      </c>
      <c r="AA558" s="1430"/>
      <c r="AB558" s="1456"/>
      <c r="AC558" s="1448"/>
      <c r="AD558" s="1501"/>
      <c r="AE558" s="1504"/>
      <c r="AF558" s="1442"/>
      <c r="AG558" s="1443"/>
      <c r="AH558" s="1444"/>
      <c r="AI558" s="1444"/>
      <c r="AJ558" s="1445"/>
      <c r="AK558" s="1446">
        <v>0</v>
      </c>
      <c r="AL558" s="1416">
        <f t="shared" si="42"/>
        <v>0</v>
      </c>
      <c r="AM558" s="1443"/>
      <c r="AN558" s="1443"/>
      <c r="AO558" s="1444"/>
      <c r="AP558" s="1447"/>
      <c r="AQ558" s="1444"/>
      <c r="AR558" s="1447"/>
      <c r="AS558" s="1447"/>
      <c r="AT558" s="1443"/>
      <c r="AU558" s="1445"/>
      <c r="AV558" s="1505"/>
    </row>
    <row r="559" spans="1:48" s="1498" customFormat="1" ht="49.5" customHeight="1">
      <c r="A559" s="1418"/>
      <c r="B559" s="1418" t="s">
        <v>12</v>
      </c>
      <c r="C559" s="1452" t="s">
        <v>98</v>
      </c>
      <c r="D559" s="1418"/>
      <c r="E559" s="1452"/>
      <c r="F559" s="1421"/>
      <c r="G559" s="1419"/>
      <c r="H559" s="1453"/>
      <c r="I559" s="1423"/>
      <c r="J559" s="1424"/>
      <c r="K559" s="1425"/>
      <c r="L559" s="1499"/>
      <c r="M559" s="1424"/>
      <c r="N559" s="1419"/>
      <c r="O559" s="1420"/>
      <c r="P559" s="1428"/>
      <c r="Q559" s="1500"/>
      <c r="R559" s="1507"/>
      <c r="S559" s="1507"/>
      <c r="T559" s="1448"/>
      <c r="U559" s="1432">
        <v>1</v>
      </c>
      <c r="V559" s="1433" t="s">
        <v>14</v>
      </c>
      <c r="W559" s="1434"/>
      <c r="X559" s="1502">
        <v>0</v>
      </c>
      <c r="Y559" s="1436">
        <v>30</v>
      </c>
      <c r="Z559" s="1503"/>
      <c r="AA559" s="1430"/>
      <c r="AB559" s="1456"/>
      <c r="AC559" s="1448"/>
      <c r="AD559" s="1501"/>
      <c r="AE559" s="1504"/>
      <c r="AF559" s="1442"/>
      <c r="AG559" s="1443"/>
      <c r="AH559" s="1444"/>
      <c r="AI559" s="1444"/>
      <c r="AJ559" s="1445"/>
      <c r="AK559" s="1446">
        <v>0</v>
      </c>
      <c r="AL559" s="1416">
        <f>AK559*Y559</f>
        <v>0</v>
      </c>
      <c r="AM559" s="1443"/>
      <c r="AN559" s="1443"/>
      <c r="AO559" s="1444"/>
      <c r="AP559" s="1447"/>
      <c r="AQ559" s="1444"/>
      <c r="AR559" s="1447"/>
      <c r="AS559" s="1447"/>
      <c r="AT559" s="1443"/>
      <c r="AU559" s="1445"/>
      <c r="AV559" s="1505"/>
    </row>
    <row r="560" spans="1:48" s="1498" customFormat="1" ht="16.5" customHeight="1">
      <c r="A560" s="1418"/>
      <c r="B560" s="1419" t="s">
        <v>8</v>
      </c>
      <c r="C560" s="1508" t="s">
        <v>97</v>
      </c>
      <c r="D560" s="1419"/>
      <c r="E560" s="1508"/>
      <c r="F560" s="1421"/>
      <c r="G560" s="1419"/>
      <c r="H560" s="1453"/>
      <c r="I560" s="1423"/>
      <c r="J560" s="1424"/>
      <c r="K560" s="1425"/>
      <c r="L560" s="1499"/>
      <c r="M560" s="1424"/>
      <c r="N560" s="1419"/>
      <c r="O560" s="1420"/>
      <c r="P560" s="1428"/>
      <c r="Q560" s="1500"/>
      <c r="R560" s="1507"/>
      <c r="S560" s="1507"/>
      <c r="T560" s="1448"/>
      <c r="U560" s="1432"/>
      <c r="V560" s="1433"/>
      <c r="W560" s="1509"/>
      <c r="X560" s="1510"/>
      <c r="Y560" s="1422"/>
      <c r="Z560" s="1503"/>
      <c r="AA560" s="1430"/>
      <c r="AB560" s="1456"/>
      <c r="AC560" s="1448"/>
      <c r="AD560" s="1501"/>
      <c r="AE560" s="1504"/>
      <c r="AF560" s="1442"/>
      <c r="AG560" s="1443"/>
      <c r="AH560" s="1444"/>
      <c r="AI560" s="1444"/>
      <c r="AJ560" s="1445"/>
      <c r="AK560" s="1451"/>
      <c r="AL560" s="1413"/>
      <c r="AM560" s="1443"/>
      <c r="AN560" s="1443"/>
      <c r="AO560" s="1444"/>
      <c r="AP560" s="1447"/>
      <c r="AQ560" s="1444"/>
      <c r="AR560" s="1447"/>
      <c r="AS560" s="1447"/>
      <c r="AT560" s="1443"/>
      <c r="AU560" s="1445"/>
      <c r="AV560" s="1505"/>
    </row>
    <row r="561" spans="1:48" s="1498" customFormat="1" ht="16.5" customHeight="1">
      <c r="A561" s="1459"/>
      <c r="B561" s="1460"/>
      <c r="C561" s="1511"/>
      <c r="D561" s="1460"/>
      <c r="E561" s="1511"/>
      <c r="F561" s="1512"/>
      <c r="G561" s="1460"/>
      <c r="H561" s="1464"/>
      <c r="I561" s="1513"/>
      <c r="J561" s="1472"/>
      <c r="K561" s="1514"/>
      <c r="L561" s="1515"/>
      <c r="M561" s="1466"/>
      <c r="N561" s="1460"/>
      <c r="O561" s="1470"/>
      <c r="P561" s="1471"/>
      <c r="Q561" s="1472"/>
      <c r="R561" s="1516"/>
      <c r="S561" s="1516"/>
      <c r="T561" s="1472"/>
      <c r="U561" s="1517"/>
      <c r="V561" s="1518"/>
      <c r="W561" s="1519"/>
      <c r="X561" s="1520"/>
      <c r="Y561" s="1521"/>
      <c r="Z561" s="1522"/>
      <c r="AA561" s="1473"/>
      <c r="AB561" s="1479"/>
      <c r="AC561" s="1472"/>
      <c r="AD561" s="1523"/>
      <c r="AE561" s="1524"/>
      <c r="AF561" s="1482"/>
      <c r="AG561" s="1483"/>
      <c r="AH561" s="1484"/>
      <c r="AI561" s="1484"/>
      <c r="AJ561" s="1485"/>
      <c r="AK561" s="1525"/>
      <c r="AL561" s="1413"/>
      <c r="AM561" s="1483"/>
      <c r="AN561" s="1483"/>
      <c r="AO561" s="1484"/>
      <c r="AP561" s="1487"/>
      <c r="AQ561" s="1484"/>
      <c r="AR561" s="1487"/>
      <c r="AS561" s="1487"/>
      <c r="AT561" s="1483"/>
      <c r="AU561" s="1485"/>
      <c r="AV561" s="1526"/>
    </row>
    <row r="562" spans="1:48" ht="33" customHeight="1">
      <c r="A562" s="1269">
        <v>42</v>
      </c>
      <c r="B562" s="1033" t="s">
        <v>25</v>
      </c>
      <c r="C562" s="1036" t="s">
        <v>96</v>
      </c>
      <c r="D562" s="1033"/>
      <c r="E562" s="1036"/>
      <c r="F562" s="1171" t="s">
        <v>95</v>
      </c>
      <c r="G562" s="1272" t="s">
        <v>25</v>
      </c>
      <c r="H562" s="1273" t="s">
        <v>94</v>
      </c>
      <c r="I562" s="1372">
        <v>1305</v>
      </c>
      <c r="J562" s="1043" t="s">
        <v>41</v>
      </c>
      <c r="K562" s="1330" t="s">
        <v>93</v>
      </c>
      <c r="L562" s="1279"/>
      <c r="M562" s="1043"/>
      <c r="N562" s="1038" t="s">
        <v>25</v>
      </c>
      <c r="O562" s="1045" t="s">
        <v>17</v>
      </c>
      <c r="P562" s="1054">
        <v>2</v>
      </c>
      <c r="Q562" s="1049"/>
      <c r="R562" s="1034" t="s">
        <v>25</v>
      </c>
      <c r="S562" s="1034" t="s">
        <v>24</v>
      </c>
      <c r="T562" s="1048">
        <v>8</v>
      </c>
      <c r="U562" s="1527">
        <v>1</v>
      </c>
      <c r="V562" s="1319" t="s">
        <v>58</v>
      </c>
      <c r="W562" s="1200">
        <v>2</v>
      </c>
      <c r="X562" s="1201"/>
      <c r="Y562" s="1202"/>
      <c r="Z562" s="1229">
        <f t="shared" ref="Z562:Z573" si="43">SUM(W562:Y562)</f>
        <v>2</v>
      </c>
      <c r="AA562" s="1034"/>
      <c r="AB562" s="1181"/>
      <c r="AC562" s="1048"/>
      <c r="AD562" s="1180"/>
      <c r="AE562" s="1049"/>
      <c r="AF562" s="1333">
        <f>Resum!F5</f>
        <v>170000</v>
      </c>
      <c r="AG562" s="1086">
        <f>AF562*I562</f>
        <v>221850000</v>
      </c>
      <c r="AH562" s="1334">
        <v>2500000</v>
      </c>
      <c r="AI562" s="1087">
        <f>AH562*P562*0.5</f>
        <v>2500000</v>
      </c>
      <c r="AJ562" s="1335">
        <f>SUM(AI562:AI563)</f>
        <v>2500000</v>
      </c>
      <c r="AK562" s="1300">
        <v>225000</v>
      </c>
      <c r="AL562" s="1090">
        <f t="shared" si="42"/>
        <v>450000</v>
      </c>
      <c r="AM562" s="1337">
        <f>SUM(AL562:AL586)</f>
        <v>12143970</v>
      </c>
      <c r="AN562" s="1086">
        <f>AM562+AJ562+AG562</f>
        <v>236493970</v>
      </c>
      <c r="AO562" s="1334"/>
      <c r="AP562" s="1136">
        <v>0</v>
      </c>
      <c r="AQ562" s="1087">
        <v>0</v>
      </c>
      <c r="AR562" s="1136">
        <f>AG562*5%</f>
        <v>11092500</v>
      </c>
      <c r="AS562" s="1087">
        <f>0.5%*AG562*(3)</f>
        <v>3327750</v>
      </c>
      <c r="AT562" s="1086">
        <f>+AS562+AR562+AQ562+AP562+AO562</f>
        <v>14420250</v>
      </c>
      <c r="AU562" s="1137">
        <f>ROUND(AT562+AN562,-3)</f>
        <v>250914000</v>
      </c>
      <c r="AV562" s="1365"/>
    </row>
    <row r="563" spans="1:48" ht="16.5" customHeight="1">
      <c r="A563" s="1351"/>
      <c r="B563" s="1122"/>
      <c r="C563" s="1071" t="s">
        <v>92</v>
      </c>
      <c r="D563" s="1122"/>
      <c r="E563" s="1039"/>
      <c r="F563" s="1124"/>
      <c r="G563" s="1243"/>
      <c r="H563" s="1083"/>
      <c r="I563" s="1346"/>
      <c r="J563" s="1069"/>
      <c r="K563" s="1339"/>
      <c r="L563" s="1235"/>
      <c r="M563" s="1069"/>
      <c r="N563" s="1038"/>
      <c r="O563" s="1071"/>
      <c r="P563" s="1081"/>
      <c r="Q563" s="1076"/>
      <c r="R563" s="1074"/>
      <c r="S563" s="1074"/>
      <c r="T563" s="1075"/>
      <c r="U563" s="1528"/>
      <c r="V563" s="1185" t="s">
        <v>58</v>
      </c>
      <c r="W563" s="1140"/>
      <c r="X563" s="1141">
        <v>31</v>
      </c>
      <c r="Y563" s="1142"/>
      <c r="Z563" s="1143"/>
      <c r="AA563" s="1074"/>
      <c r="AB563" s="1063"/>
      <c r="AC563" s="1075"/>
      <c r="AD563" s="1091"/>
      <c r="AE563" s="1076"/>
      <c r="AF563" s="1296"/>
      <c r="AG563" s="1297"/>
      <c r="AH563" s="1298"/>
      <c r="AI563" s="1298"/>
      <c r="AJ563" s="1299"/>
      <c r="AK563" s="1529">
        <v>150000</v>
      </c>
      <c r="AL563" s="1090">
        <f>AK563*X563</f>
        <v>4650000</v>
      </c>
      <c r="AM563" s="1297"/>
      <c r="AN563" s="1297"/>
      <c r="AO563" s="1298"/>
      <c r="AP563" s="1301"/>
      <c r="AQ563" s="1298"/>
      <c r="AR563" s="1301"/>
      <c r="AS563" s="1301"/>
      <c r="AT563" s="1297"/>
      <c r="AU563" s="1299"/>
      <c r="AV563" s="1302"/>
    </row>
    <row r="564" spans="1:48" ht="16.5" customHeight="1">
      <c r="A564" s="1351"/>
      <c r="B564" s="1122"/>
      <c r="C564" s="1039" t="s">
        <v>60</v>
      </c>
      <c r="D564" s="1122"/>
      <c r="E564" s="1039"/>
      <c r="F564" s="1124"/>
      <c r="G564" s="1243"/>
      <c r="H564" s="1083"/>
      <c r="I564" s="1346"/>
      <c r="J564" s="1069"/>
      <c r="K564" s="1339"/>
      <c r="L564" s="1235"/>
      <c r="M564" s="1069"/>
      <c r="N564" s="1038"/>
      <c r="O564" s="1071"/>
      <c r="P564" s="1081"/>
      <c r="Q564" s="1076"/>
      <c r="R564" s="1074"/>
      <c r="S564" s="1074"/>
      <c r="T564" s="1075"/>
      <c r="U564" s="1184"/>
      <c r="V564" s="1185" t="s">
        <v>58</v>
      </c>
      <c r="W564" s="1140"/>
      <c r="X564" s="1141"/>
      <c r="Y564" s="1142">
        <v>19</v>
      </c>
      <c r="Z564" s="1143"/>
      <c r="AA564" s="1074"/>
      <c r="AB564" s="1063"/>
      <c r="AC564" s="1075"/>
      <c r="AD564" s="1091"/>
      <c r="AE564" s="1076"/>
      <c r="AF564" s="1296"/>
      <c r="AG564" s="1297"/>
      <c r="AH564" s="1298"/>
      <c r="AI564" s="1298"/>
      <c r="AJ564" s="1299"/>
      <c r="AK564" s="1300">
        <v>50000</v>
      </c>
      <c r="AL564" s="1090">
        <f>AK564*Y564</f>
        <v>950000</v>
      </c>
      <c r="AM564" s="1297"/>
      <c r="AN564" s="1297"/>
      <c r="AO564" s="1298"/>
      <c r="AP564" s="1301"/>
      <c r="AQ564" s="1298"/>
      <c r="AR564" s="1301"/>
      <c r="AS564" s="1301"/>
      <c r="AT564" s="1297"/>
      <c r="AU564" s="1299"/>
      <c r="AV564" s="1302"/>
    </row>
    <row r="565" spans="1:48" ht="49.5" customHeight="1">
      <c r="A565" s="1082"/>
      <c r="B565" s="1038" t="s">
        <v>16</v>
      </c>
      <c r="C565" s="1083" t="s">
        <v>13</v>
      </c>
      <c r="D565" s="1038"/>
      <c r="E565" s="1071"/>
      <c r="F565" s="1138"/>
      <c r="G565" s="1038" t="s">
        <v>16</v>
      </c>
      <c r="H565" s="1039" t="s">
        <v>22</v>
      </c>
      <c r="I565" s="1346"/>
      <c r="J565" s="1069"/>
      <c r="K565" s="1339"/>
      <c r="L565" s="1235"/>
      <c r="M565" s="1069"/>
      <c r="N565" s="1038"/>
      <c r="O565" s="1083"/>
      <c r="P565" s="1091"/>
      <c r="Q565" s="1076"/>
      <c r="R565" s="1074"/>
      <c r="S565" s="1074"/>
      <c r="T565" s="1075"/>
      <c r="U565" s="1184">
        <v>2</v>
      </c>
      <c r="V565" s="1185" t="s">
        <v>56</v>
      </c>
      <c r="W565" s="1241" t="s">
        <v>46</v>
      </c>
      <c r="X565" s="1141">
        <v>15</v>
      </c>
      <c r="Y565" s="1242" t="s">
        <v>46</v>
      </c>
      <c r="Z565" s="1143">
        <f t="shared" si="43"/>
        <v>15</v>
      </c>
      <c r="AA565" s="1074"/>
      <c r="AB565" s="1063"/>
      <c r="AC565" s="1075"/>
      <c r="AD565" s="1091"/>
      <c r="AE565" s="1076"/>
      <c r="AF565" s="1296"/>
      <c r="AG565" s="1297"/>
      <c r="AH565" s="1298"/>
      <c r="AI565" s="1298"/>
      <c r="AJ565" s="1299"/>
      <c r="AK565" s="1300">
        <v>25000</v>
      </c>
      <c r="AL565" s="1090">
        <f>AK565*X565</f>
        <v>375000</v>
      </c>
      <c r="AM565" s="1297"/>
      <c r="AN565" s="1297"/>
      <c r="AO565" s="1298"/>
      <c r="AP565" s="1301"/>
      <c r="AQ565" s="1298"/>
      <c r="AR565" s="1301"/>
      <c r="AS565" s="1301"/>
      <c r="AT565" s="1297"/>
      <c r="AU565" s="1299"/>
      <c r="AV565" s="1302"/>
    </row>
    <row r="566" spans="1:48" ht="16.5" customHeight="1">
      <c r="A566" s="1082"/>
      <c r="B566" s="1038" t="s">
        <v>18</v>
      </c>
      <c r="C566" s="1147" t="s">
        <v>89</v>
      </c>
      <c r="D566" s="1038"/>
      <c r="E566" s="1039"/>
      <c r="F566" s="1138"/>
      <c r="G566" s="1038" t="s">
        <v>18</v>
      </c>
      <c r="H566" s="1039" t="s">
        <v>19</v>
      </c>
      <c r="I566" s="1346"/>
      <c r="J566" s="1069"/>
      <c r="K566" s="1339"/>
      <c r="L566" s="1235"/>
      <c r="M566" s="1069"/>
      <c r="N566" s="1082"/>
      <c r="O566" s="1083"/>
      <c r="P566" s="1091"/>
      <c r="Q566" s="1076"/>
      <c r="R566" s="1074"/>
      <c r="S566" s="1074"/>
      <c r="T566" s="1075"/>
      <c r="U566" s="1184">
        <v>3</v>
      </c>
      <c r="V566" s="1185" t="s">
        <v>91</v>
      </c>
      <c r="W566" s="1241" t="s">
        <v>46</v>
      </c>
      <c r="X566" s="1141">
        <v>5</v>
      </c>
      <c r="Y566" s="1242" t="s">
        <v>46</v>
      </c>
      <c r="Z566" s="1143">
        <f t="shared" si="43"/>
        <v>5</v>
      </c>
      <c r="AA566" s="1074"/>
      <c r="AB566" s="1063"/>
      <c r="AC566" s="1075"/>
      <c r="AD566" s="1091"/>
      <c r="AE566" s="1076"/>
      <c r="AF566" s="1296"/>
      <c r="AG566" s="1297"/>
      <c r="AH566" s="1298"/>
      <c r="AI566" s="1298"/>
      <c r="AJ566" s="1299"/>
      <c r="AK566" s="1300">
        <v>20000</v>
      </c>
      <c r="AL566" s="1090">
        <f>AK566*X566</f>
        <v>100000</v>
      </c>
      <c r="AM566" s="1297"/>
      <c r="AN566" s="1297"/>
      <c r="AO566" s="1298"/>
      <c r="AP566" s="1301"/>
      <c r="AQ566" s="1298"/>
      <c r="AR566" s="1301"/>
      <c r="AS566" s="1301"/>
      <c r="AT566" s="1297"/>
      <c r="AU566" s="1299"/>
      <c r="AV566" s="1302"/>
    </row>
    <row r="567" spans="1:48" ht="16.5" customHeight="1">
      <c r="A567" s="1082"/>
      <c r="B567" s="1082" t="s">
        <v>12</v>
      </c>
      <c r="C567" s="1247"/>
      <c r="D567" s="1082"/>
      <c r="E567" s="1083"/>
      <c r="F567" s="1138"/>
      <c r="G567" s="1038"/>
      <c r="H567" s="1092"/>
      <c r="I567" s="1346"/>
      <c r="J567" s="1069"/>
      <c r="K567" s="1339"/>
      <c r="L567" s="1235"/>
      <c r="M567" s="1069"/>
      <c r="N567" s="1038"/>
      <c r="O567" s="1083"/>
      <c r="P567" s="1091"/>
      <c r="Q567" s="1076"/>
      <c r="R567" s="1074"/>
      <c r="S567" s="1074"/>
      <c r="T567" s="1075"/>
      <c r="U567" s="1184">
        <v>4</v>
      </c>
      <c r="V567" s="1185" t="s">
        <v>90</v>
      </c>
      <c r="W567" s="1140">
        <v>0</v>
      </c>
      <c r="X567" s="1141">
        <v>0</v>
      </c>
      <c r="Y567" s="1142">
        <v>5</v>
      </c>
      <c r="Z567" s="1143">
        <f t="shared" si="43"/>
        <v>5</v>
      </c>
      <c r="AA567" s="1074"/>
      <c r="AB567" s="1063"/>
      <c r="AC567" s="1075"/>
      <c r="AD567" s="1091"/>
      <c r="AE567" s="1076"/>
      <c r="AF567" s="1296"/>
      <c r="AG567" s="1297"/>
      <c r="AH567" s="1298"/>
      <c r="AI567" s="1298"/>
      <c r="AJ567" s="1299"/>
      <c r="AK567" s="1300">
        <v>2500</v>
      </c>
      <c r="AL567" s="1090">
        <f>AK567*Y567</f>
        <v>12500</v>
      </c>
      <c r="AM567" s="1297"/>
      <c r="AN567" s="1297"/>
      <c r="AO567" s="1298"/>
      <c r="AP567" s="1301"/>
      <c r="AQ567" s="1298"/>
      <c r="AR567" s="1301"/>
      <c r="AS567" s="1301"/>
      <c r="AT567" s="1297"/>
      <c r="AU567" s="1299"/>
      <c r="AV567" s="1302"/>
    </row>
    <row r="568" spans="1:48" ht="16.5" customHeight="1">
      <c r="A568" s="1082"/>
      <c r="B568" s="1082" t="s">
        <v>8</v>
      </c>
      <c r="C568" s="1247"/>
      <c r="D568" s="1082"/>
      <c r="E568" s="1083"/>
      <c r="F568" s="1138"/>
      <c r="G568" s="1038"/>
      <c r="H568" s="1092"/>
      <c r="I568" s="1346"/>
      <c r="J568" s="1069"/>
      <c r="K568" s="1339"/>
      <c r="L568" s="1235"/>
      <c r="M568" s="1069"/>
      <c r="N568" s="1038"/>
      <c r="O568" s="1083"/>
      <c r="P568" s="1091"/>
      <c r="Q568" s="1076"/>
      <c r="R568" s="1074"/>
      <c r="S568" s="1074"/>
      <c r="T568" s="1075"/>
      <c r="U568" s="1184">
        <v>5</v>
      </c>
      <c r="V568" s="1185" t="s">
        <v>88</v>
      </c>
      <c r="W568" s="1241" t="s">
        <v>46</v>
      </c>
      <c r="X568" s="1241" t="s">
        <v>46</v>
      </c>
      <c r="Y568" s="1142">
        <v>14</v>
      </c>
      <c r="Z568" s="1143">
        <f t="shared" si="43"/>
        <v>14</v>
      </c>
      <c r="AA568" s="1074"/>
      <c r="AB568" s="1063"/>
      <c r="AC568" s="1075"/>
      <c r="AD568" s="1091"/>
      <c r="AE568" s="1076"/>
      <c r="AF568" s="1296"/>
      <c r="AG568" s="1297"/>
      <c r="AH568" s="1298"/>
      <c r="AI568" s="1298"/>
      <c r="AJ568" s="1299"/>
      <c r="AK568" s="1300">
        <v>20000</v>
      </c>
      <c r="AL568" s="1090">
        <f>AK568*Y568</f>
        <v>280000</v>
      </c>
      <c r="AM568" s="1297"/>
      <c r="AN568" s="1297"/>
      <c r="AO568" s="1298"/>
      <c r="AP568" s="1301"/>
      <c r="AQ568" s="1298"/>
      <c r="AR568" s="1301"/>
      <c r="AS568" s="1301"/>
      <c r="AT568" s="1297"/>
      <c r="AU568" s="1299"/>
      <c r="AV568" s="1302"/>
    </row>
    <row r="569" spans="1:48" ht="16.5" customHeight="1">
      <c r="A569" s="1082"/>
      <c r="B569" s="1082"/>
      <c r="C569" s="1083"/>
      <c r="D569" s="1082"/>
      <c r="E569" s="1083"/>
      <c r="F569" s="1138"/>
      <c r="G569" s="1038"/>
      <c r="H569" s="1092"/>
      <c r="I569" s="1346"/>
      <c r="J569" s="1069"/>
      <c r="K569" s="1339"/>
      <c r="L569" s="1235"/>
      <c r="M569" s="1069"/>
      <c r="N569" s="1038"/>
      <c r="O569" s="1083"/>
      <c r="P569" s="1091"/>
      <c r="Q569" s="1076"/>
      <c r="R569" s="1074"/>
      <c r="S569" s="1074"/>
      <c r="T569" s="1075"/>
      <c r="U569" s="1184">
        <v>6</v>
      </c>
      <c r="V569" s="1185" t="s">
        <v>64</v>
      </c>
      <c r="W569" s="1140">
        <v>1</v>
      </c>
      <c r="X569" s="1141">
        <v>0</v>
      </c>
      <c r="Y569" s="1142">
        <v>0</v>
      </c>
      <c r="Z569" s="1143">
        <f t="shared" si="43"/>
        <v>1</v>
      </c>
      <c r="AA569" s="1074"/>
      <c r="AB569" s="1063"/>
      <c r="AC569" s="1075"/>
      <c r="AD569" s="1091"/>
      <c r="AE569" s="1076"/>
      <c r="AF569" s="1296"/>
      <c r="AG569" s="1297"/>
      <c r="AH569" s="1298"/>
      <c r="AI569" s="1298"/>
      <c r="AJ569" s="1299"/>
      <c r="AK569" s="1300">
        <v>45120</v>
      </c>
      <c r="AL569" s="1090">
        <f t="shared" si="42"/>
        <v>45120</v>
      </c>
      <c r="AM569" s="1297"/>
      <c r="AN569" s="1297"/>
      <c r="AO569" s="1298"/>
      <c r="AP569" s="1301"/>
      <c r="AQ569" s="1298"/>
      <c r="AR569" s="1301"/>
      <c r="AS569" s="1301"/>
      <c r="AT569" s="1297"/>
      <c r="AU569" s="1299"/>
      <c r="AV569" s="1302"/>
    </row>
    <row r="570" spans="1:48" ht="16.5" customHeight="1">
      <c r="A570" s="1082"/>
      <c r="B570" s="1082"/>
      <c r="C570" s="1083"/>
      <c r="D570" s="1082"/>
      <c r="E570" s="1083"/>
      <c r="F570" s="1138"/>
      <c r="G570" s="1038"/>
      <c r="H570" s="1092"/>
      <c r="I570" s="1346"/>
      <c r="J570" s="1069"/>
      <c r="K570" s="1339"/>
      <c r="L570" s="1235"/>
      <c r="M570" s="1069"/>
      <c r="N570" s="1038"/>
      <c r="O570" s="1083"/>
      <c r="P570" s="1091"/>
      <c r="Q570" s="1076"/>
      <c r="R570" s="1074"/>
      <c r="S570" s="1074"/>
      <c r="T570" s="1075"/>
      <c r="U570" s="1184"/>
      <c r="V570" s="1185" t="s">
        <v>64</v>
      </c>
      <c r="W570" s="1140">
        <v>0</v>
      </c>
      <c r="X570" s="1141">
        <v>0</v>
      </c>
      <c r="Y570" s="1142">
        <v>3</v>
      </c>
      <c r="Z570" s="1143">
        <f t="shared" si="43"/>
        <v>3</v>
      </c>
      <c r="AA570" s="1074"/>
      <c r="AB570" s="1063"/>
      <c r="AC570" s="1075"/>
      <c r="AD570" s="1091"/>
      <c r="AE570" s="1076"/>
      <c r="AF570" s="1296"/>
      <c r="AG570" s="1297"/>
      <c r="AH570" s="1298"/>
      <c r="AI570" s="1298"/>
      <c r="AJ570" s="1299"/>
      <c r="AK570" s="1300">
        <v>9200</v>
      </c>
      <c r="AL570" s="1090">
        <f>AK570*Y570</f>
        <v>27600</v>
      </c>
      <c r="AM570" s="1297"/>
      <c r="AN570" s="1297"/>
      <c r="AO570" s="1298"/>
      <c r="AP570" s="1301"/>
      <c r="AQ570" s="1298"/>
      <c r="AR570" s="1301"/>
      <c r="AS570" s="1301"/>
      <c r="AT570" s="1297"/>
      <c r="AU570" s="1299"/>
      <c r="AV570" s="1302"/>
    </row>
    <row r="571" spans="1:48" ht="16.5" customHeight="1">
      <c r="A571" s="1082"/>
      <c r="B571" s="1082"/>
      <c r="C571" s="1083"/>
      <c r="D571" s="1082"/>
      <c r="E571" s="1083"/>
      <c r="F571" s="1138"/>
      <c r="G571" s="1038"/>
      <c r="H571" s="1092"/>
      <c r="I571" s="1346"/>
      <c r="J571" s="1069"/>
      <c r="K571" s="1339"/>
      <c r="L571" s="1235"/>
      <c r="M571" s="1069"/>
      <c r="N571" s="1038"/>
      <c r="O571" s="1083"/>
      <c r="P571" s="1091"/>
      <c r="Q571" s="1076"/>
      <c r="R571" s="1074"/>
      <c r="S571" s="1074"/>
      <c r="T571" s="1075"/>
      <c r="U571" s="1184">
        <v>7</v>
      </c>
      <c r="V571" s="1185" t="s">
        <v>87</v>
      </c>
      <c r="W571" s="1241" t="s">
        <v>46</v>
      </c>
      <c r="X571" s="1141">
        <v>3</v>
      </c>
      <c r="Y571" s="1142"/>
      <c r="Z571" s="1143">
        <f t="shared" si="43"/>
        <v>3</v>
      </c>
      <c r="AA571" s="1074"/>
      <c r="AB571" s="1063"/>
      <c r="AC571" s="1075"/>
      <c r="AD571" s="1091"/>
      <c r="AE571" s="1076"/>
      <c r="AF571" s="1296"/>
      <c r="AG571" s="1297"/>
      <c r="AH571" s="1298"/>
      <c r="AI571" s="1298"/>
      <c r="AJ571" s="1299"/>
      <c r="AK571" s="1300">
        <v>25000</v>
      </c>
      <c r="AL571" s="1090">
        <f>AK571*X571</f>
        <v>75000</v>
      </c>
      <c r="AM571" s="1297"/>
      <c r="AN571" s="1297"/>
      <c r="AO571" s="1298"/>
      <c r="AP571" s="1301"/>
      <c r="AQ571" s="1298"/>
      <c r="AR571" s="1301"/>
      <c r="AS571" s="1301"/>
      <c r="AT571" s="1297"/>
      <c r="AU571" s="1299"/>
      <c r="AV571" s="1302"/>
    </row>
    <row r="572" spans="1:48" ht="16.5" customHeight="1">
      <c r="A572" s="1082"/>
      <c r="B572" s="1082"/>
      <c r="C572" s="1083"/>
      <c r="D572" s="1082"/>
      <c r="E572" s="1083"/>
      <c r="F572" s="1138"/>
      <c r="G572" s="1038"/>
      <c r="H572" s="1092"/>
      <c r="I572" s="1346"/>
      <c r="J572" s="1069"/>
      <c r="K572" s="1339"/>
      <c r="L572" s="1235"/>
      <c r="M572" s="1069"/>
      <c r="N572" s="1038"/>
      <c r="O572" s="1083"/>
      <c r="P572" s="1091"/>
      <c r="Q572" s="1076"/>
      <c r="R572" s="1074"/>
      <c r="S572" s="1074"/>
      <c r="T572" s="1075"/>
      <c r="U572" s="1184"/>
      <c r="V572" s="1185" t="s">
        <v>87</v>
      </c>
      <c r="W572" s="1241" t="s">
        <v>46</v>
      </c>
      <c r="X572" s="1141"/>
      <c r="Y572" s="1142">
        <v>4</v>
      </c>
      <c r="Z572" s="1143"/>
      <c r="AA572" s="1074"/>
      <c r="AB572" s="1063"/>
      <c r="AC572" s="1075"/>
      <c r="AD572" s="1091"/>
      <c r="AE572" s="1076"/>
      <c r="AF572" s="1296"/>
      <c r="AG572" s="1297"/>
      <c r="AH572" s="1298"/>
      <c r="AI572" s="1298"/>
      <c r="AJ572" s="1299"/>
      <c r="AK572" s="1300">
        <v>10000</v>
      </c>
      <c r="AL572" s="1090">
        <f>AK572*Y572</f>
        <v>40000</v>
      </c>
      <c r="AM572" s="1297"/>
      <c r="AN572" s="1297"/>
      <c r="AO572" s="1298"/>
      <c r="AP572" s="1301"/>
      <c r="AQ572" s="1298"/>
      <c r="AR572" s="1301"/>
      <c r="AS572" s="1301"/>
      <c r="AT572" s="1297"/>
      <c r="AU572" s="1299"/>
      <c r="AV572" s="1302"/>
    </row>
    <row r="573" spans="1:48" ht="16.5" customHeight="1">
      <c r="A573" s="1082"/>
      <c r="B573" s="1082"/>
      <c r="C573" s="1083"/>
      <c r="D573" s="1082"/>
      <c r="E573" s="1083"/>
      <c r="F573" s="1138"/>
      <c r="G573" s="1038"/>
      <c r="H573" s="1092"/>
      <c r="I573" s="1346"/>
      <c r="J573" s="1069"/>
      <c r="K573" s="1339"/>
      <c r="L573" s="1235"/>
      <c r="M573" s="1069"/>
      <c r="N573" s="1038"/>
      <c r="O573" s="1083"/>
      <c r="P573" s="1091"/>
      <c r="Q573" s="1076"/>
      <c r="R573" s="1074"/>
      <c r="S573" s="1074"/>
      <c r="T573" s="1075"/>
      <c r="U573" s="1184">
        <v>8</v>
      </c>
      <c r="V573" s="1185" t="s">
        <v>80</v>
      </c>
      <c r="W573" s="1140">
        <v>50</v>
      </c>
      <c r="X573" s="1241" t="s">
        <v>46</v>
      </c>
      <c r="Y573" s="1242" t="s">
        <v>46</v>
      </c>
      <c r="Z573" s="1143">
        <f t="shared" si="43"/>
        <v>50</v>
      </c>
      <c r="AA573" s="1074"/>
      <c r="AB573" s="1063"/>
      <c r="AC573" s="1075"/>
      <c r="AD573" s="1091"/>
      <c r="AE573" s="1076"/>
      <c r="AF573" s="1296"/>
      <c r="AG573" s="1297"/>
      <c r="AH573" s="1298"/>
      <c r="AI573" s="1298"/>
      <c r="AJ573" s="1299"/>
      <c r="AK573" s="1300">
        <v>6000</v>
      </c>
      <c r="AL573" s="1090">
        <f>AK573*W573</f>
        <v>300000</v>
      </c>
      <c r="AM573" s="1297"/>
      <c r="AN573" s="1297"/>
      <c r="AO573" s="1298"/>
      <c r="AP573" s="1301"/>
      <c r="AQ573" s="1298"/>
      <c r="AR573" s="1301"/>
      <c r="AS573" s="1301"/>
      <c r="AT573" s="1297"/>
      <c r="AU573" s="1299"/>
      <c r="AV573" s="1302"/>
    </row>
    <row r="574" spans="1:48" ht="16.5" customHeight="1">
      <c r="A574" s="1082"/>
      <c r="B574" s="1082"/>
      <c r="C574" s="1083"/>
      <c r="D574" s="1082"/>
      <c r="E574" s="1083"/>
      <c r="F574" s="1138"/>
      <c r="G574" s="1038"/>
      <c r="H574" s="1092"/>
      <c r="I574" s="1346"/>
      <c r="J574" s="1069"/>
      <c r="K574" s="1339"/>
      <c r="L574" s="1235"/>
      <c r="M574" s="1069"/>
      <c r="N574" s="1038"/>
      <c r="O574" s="1083"/>
      <c r="P574" s="1091"/>
      <c r="Q574" s="1076"/>
      <c r="T574" s="1075"/>
      <c r="U574" s="1528"/>
      <c r="V574" s="1185"/>
      <c r="W574" s="1241"/>
      <c r="X574" s="1141"/>
      <c r="Y574" s="1142"/>
      <c r="Z574" s="1143"/>
      <c r="AA574" s="1074"/>
      <c r="AB574" s="1063"/>
      <c r="AC574" s="1075"/>
      <c r="AD574" s="1091"/>
      <c r="AE574" s="1076"/>
      <c r="AF574" s="1296"/>
      <c r="AG574" s="1297"/>
      <c r="AH574" s="1298"/>
      <c r="AI574" s="1298"/>
      <c r="AJ574" s="1299"/>
      <c r="AK574" s="1300"/>
      <c r="AL574" s="1090"/>
      <c r="AM574" s="1297"/>
      <c r="AN574" s="1297"/>
      <c r="AO574" s="1298"/>
      <c r="AP574" s="1301"/>
      <c r="AQ574" s="1298"/>
      <c r="AR574" s="1301"/>
      <c r="AS574" s="1301"/>
      <c r="AT574" s="1297"/>
      <c r="AU574" s="1299"/>
      <c r="AV574" s="1302"/>
    </row>
    <row r="575" spans="1:48" ht="16.5" customHeight="1">
      <c r="A575" s="1082"/>
      <c r="B575" s="1082"/>
      <c r="C575" s="1083"/>
      <c r="D575" s="1082"/>
      <c r="E575" s="1083"/>
      <c r="F575" s="1138"/>
      <c r="G575" s="1038"/>
      <c r="H575" s="1092"/>
      <c r="I575" s="1346"/>
      <c r="J575" s="1069"/>
      <c r="K575" s="1339"/>
      <c r="L575" s="1235"/>
      <c r="M575" s="1069"/>
      <c r="N575" s="1038"/>
      <c r="O575" s="1083"/>
      <c r="P575" s="1091"/>
      <c r="Q575" s="1076"/>
      <c r="R575" s="1074" t="s">
        <v>16</v>
      </c>
      <c r="S575" s="1074" t="s">
        <v>15</v>
      </c>
      <c r="T575" s="1075">
        <v>10</v>
      </c>
      <c r="U575" s="1254">
        <v>1</v>
      </c>
      <c r="V575" s="1355" t="s">
        <v>48</v>
      </c>
      <c r="W575" s="1241">
        <v>10</v>
      </c>
      <c r="X575" s="1241" t="s">
        <v>46</v>
      </c>
      <c r="Y575" s="1242" t="s">
        <v>46</v>
      </c>
      <c r="Z575" s="1143">
        <f>SUM(W575:Y575)</f>
        <v>10</v>
      </c>
      <c r="AA575" s="1074"/>
      <c r="AB575" s="1063"/>
      <c r="AC575" s="1075"/>
      <c r="AD575" s="1091"/>
      <c r="AE575" s="1076"/>
      <c r="AF575" s="1296"/>
      <c r="AG575" s="1297"/>
      <c r="AH575" s="1298"/>
      <c r="AI575" s="1298"/>
      <c r="AJ575" s="1299"/>
      <c r="AK575" s="1300">
        <v>15000</v>
      </c>
      <c r="AL575" s="1090">
        <f t="shared" si="42"/>
        <v>150000</v>
      </c>
      <c r="AM575" s="1297"/>
      <c r="AN575" s="1297"/>
      <c r="AO575" s="1298"/>
      <c r="AP575" s="1301"/>
      <c r="AQ575" s="1298"/>
      <c r="AR575" s="1301"/>
      <c r="AS575" s="1301"/>
      <c r="AT575" s="1297"/>
      <c r="AU575" s="1299"/>
      <c r="AV575" s="1302"/>
    </row>
    <row r="576" spans="1:48" ht="16.5" customHeight="1">
      <c r="A576" s="1082"/>
      <c r="B576" s="1082"/>
      <c r="C576" s="1083"/>
      <c r="D576" s="1082"/>
      <c r="E576" s="1083"/>
      <c r="F576" s="1138"/>
      <c r="G576" s="1038"/>
      <c r="H576" s="1092"/>
      <c r="I576" s="1346"/>
      <c r="J576" s="1069"/>
      <c r="K576" s="1339"/>
      <c r="L576" s="1235"/>
      <c r="M576" s="1069"/>
      <c r="N576" s="1038"/>
      <c r="O576" s="1083"/>
      <c r="P576" s="1091"/>
      <c r="Q576" s="1076"/>
      <c r="R576" s="1074"/>
      <c r="S576" s="1074"/>
      <c r="T576" s="1075"/>
      <c r="U576" s="1254">
        <v>2</v>
      </c>
      <c r="V576" s="1355" t="s">
        <v>86</v>
      </c>
      <c r="W576" s="1241">
        <v>2</v>
      </c>
      <c r="X576" s="1241" t="s">
        <v>46</v>
      </c>
      <c r="Y576" s="1242" t="s">
        <v>46</v>
      </c>
      <c r="Z576" s="1360" t="s">
        <v>85</v>
      </c>
      <c r="AA576" s="1074"/>
      <c r="AB576" s="1063"/>
      <c r="AC576" s="1075"/>
      <c r="AD576" s="1091"/>
      <c r="AE576" s="1076"/>
      <c r="AF576" s="1296"/>
      <c r="AG576" s="1297"/>
      <c r="AH576" s="1298"/>
      <c r="AI576" s="1298"/>
      <c r="AJ576" s="1299"/>
      <c r="AK576" s="1300">
        <v>8750</v>
      </c>
      <c r="AL576" s="1090">
        <f t="shared" si="42"/>
        <v>17500</v>
      </c>
      <c r="AM576" s="1297"/>
      <c r="AN576" s="1297"/>
      <c r="AO576" s="1298"/>
      <c r="AP576" s="1301"/>
      <c r="AQ576" s="1298"/>
      <c r="AR576" s="1301"/>
      <c r="AS576" s="1301"/>
      <c r="AT576" s="1297"/>
      <c r="AU576" s="1299"/>
      <c r="AV576" s="1302"/>
    </row>
    <row r="577" spans="1:48" ht="16.5" customHeight="1">
      <c r="A577" s="1082"/>
      <c r="B577" s="1082"/>
      <c r="C577" s="1083"/>
      <c r="D577" s="1082"/>
      <c r="E577" s="1083"/>
      <c r="F577" s="1138"/>
      <c r="G577" s="1038"/>
      <c r="H577" s="1092"/>
      <c r="I577" s="1346"/>
      <c r="J577" s="1069"/>
      <c r="K577" s="1339"/>
      <c r="L577" s="1235"/>
      <c r="M577" s="1069"/>
      <c r="N577" s="1038"/>
      <c r="O577" s="1083"/>
      <c r="P577" s="1091"/>
      <c r="Q577" s="1076"/>
      <c r="R577" s="1074"/>
      <c r="S577" s="1074"/>
      <c r="T577" s="1075"/>
      <c r="U577" s="1254">
        <v>3</v>
      </c>
      <c r="V577" s="1355" t="s">
        <v>4</v>
      </c>
      <c r="W577" s="1241">
        <v>1</v>
      </c>
      <c r="X577" s="1241" t="s">
        <v>46</v>
      </c>
      <c r="Y577" s="1242" t="s">
        <v>46</v>
      </c>
      <c r="Z577" s="1360" t="s">
        <v>84</v>
      </c>
      <c r="AA577" s="1074"/>
      <c r="AB577" s="1063"/>
      <c r="AC577" s="1075"/>
      <c r="AD577" s="1091"/>
      <c r="AE577" s="1076"/>
      <c r="AF577" s="1296"/>
      <c r="AG577" s="1297"/>
      <c r="AH577" s="1298"/>
      <c r="AI577" s="1298"/>
      <c r="AJ577" s="1299"/>
      <c r="AK577" s="1300">
        <v>250</v>
      </c>
      <c r="AL577" s="1090">
        <f t="shared" si="42"/>
        <v>250</v>
      </c>
      <c r="AM577" s="1297"/>
      <c r="AN577" s="1297"/>
      <c r="AO577" s="1298"/>
      <c r="AP577" s="1301"/>
      <c r="AQ577" s="1298"/>
      <c r="AR577" s="1301"/>
      <c r="AS577" s="1301"/>
      <c r="AT577" s="1297"/>
      <c r="AU577" s="1299"/>
      <c r="AV577" s="1302"/>
    </row>
    <row r="578" spans="1:48" ht="16.5" customHeight="1">
      <c r="A578" s="1082"/>
      <c r="B578" s="1082"/>
      <c r="C578" s="1083"/>
      <c r="D578" s="1082"/>
      <c r="E578" s="1083"/>
      <c r="F578" s="1138"/>
      <c r="G578" s="1038"/>
      <c r="H578" s="1092"/>
      <c r="I578" s="1346"/>
      <c r="J578" s="1069"/>
      <c r="K578" s="1339"/>
      <c r="L578" s="1235"/>
      <c r="M578" s="1069"/>
      <c r="N578" s="1038"/>
      <c r="O578" s="1083"/>
      <c r="P578" s="1091"/>
      <c r="Q578" s="1076"/>
      <c r="R578" s="1074"/>
      <c r="S578" s="1074"/>
      <c r="T578" s="1075"/>
      <c r="U578" s="1254">
        <v>4</v>
      </c>
      <c r="V578" s="1355" t="s">
        <v>83</v>
      </c>
      <c r="W578" s="1241">
        <v>5</v>
      </c>
      <c r="X578" s="1241"/>
      <c r="Y578" s="1242" t="s">
        <v>46</v>
      </c>
      <c r="Z578" s="1143">
        <f t="shared" ref="Z578:Z584" si="44">SUM(W578:Y578)</f>
        <v>5</v>
      </c>
      <c r="AA578" s="1074"/>
      <c r="AB578" s="1063"/>
      <c r="AC578" s="1075"/>
      <c r="AD578" s="1091"/>
      <c r="AE578" s="1076"/>
      <c r="AF578" s="1296"/>
      <c r="AG578" s="1297"/>
      <c r="AH578" s="1298"/>
      <c r="AI578" s="1298"/>
      <c r="AJ578" s="1299"/>
      <c r="AK578" s="1300">
        <v>3000</v>
      </c>
      <c r="AL578" s="1090">
        <f t="shared" si="42"/>
        <v>15000</v>
      </c>
      <c r="AM578" s="1297"/>
      <c r="AN578" s="1297"/>
      <c r="AO578" s="1298"/>
      <c r="AP578" s="1301"/>
      <c r="AQ578" s="1298"/>
      <c r="AR578" s="1301"/>
      <c r="AS578" s="1301"/>
      <c r="AT578" s="1297"/>
      <c r="AU578" s="1299"/>
      <c r="AV578" s="1302"/>
    </row>
    <row r="579" spans="1:48" ht="16.5" customHeight="1">
      <c r="A579" s="1082"/>
      <c r="B579" s="1082"/>
      <c r="C579" s="1083"/>
      <c r="D579" s="1082"/>
      <c r="E579" s="1083"/>
      <c r="F579" s="1138"/>
      <c r="G579" s="1038"/>
      <c r="H579" s="1092"/>
      <c r="I579" s="1346"/>
      <c r="J579" s="1069"/>
      <c r="K579" s="1339"/>
      <c r="L579" s="1235"/>
      <c r="M579" s="1069"/>
      <c r="N579" s="1038"/>
      <c r="O579" s="1083"/>
      <c r="P579" s="1091"/>
      <c r="Q579" s="1076"/>
      <c r="R579" s="1074"/>
      <c r="S579" s="1074"/>
      <c r="T579" s="1075"/>
      <c r="U579" s="1254"/>
      <c r="V579" s="1355" t="s">
        <v>83</v>
      </c>
      <c r="W579" s="1241"/>
      <c r="X579" s="1241">
        <v>30</v>
      </c>
      <c r="Y579" s="1242" t="s">
        <v>46</v>
      </c>
      <c r="Z579" s="1143"/>
      <c r="AA579" s="1074"/>
      <c r="AB579" s="1063"/>
      <c r="AC579" s="1075"/>
      <c r="AD579" s="1091"/>
      <c r="AE579" s="1076"/>
      <c r="AF579" s="1296"/>
      <c r="AG579" s="1297"/>
      <c r="AH579" s="1298"/>
      <c r="AI579" s="1298"/>
      <c r="AJ579" s="1299"/>
      <c r="AK579" s="1300">
        <v>2000</v>
      </c>
      <c r="AL579" s="1090">
        <f>AK579*X579</f>
        <v>60000</v>
      </c>
      <c r="AM579" s="1297"/>
      <c r="AN579" s="1297"/>
      <c r="AO579" s="1298"/>
      <c r="AP579" s="1301"/>
      <c r="AQ579" s="1298"/>
      <c r="AR579" s="1301"/>
      <c r="AS579" s="1301"/>
      <c r="AT579" s="1297"/>
      <c r="AU579" s="1299"/>
      <c r="AV579" s="1302"/>
    </row>
    <row r="580" spans="1:48" ht="16.5" customHeight="1">
      <c r="A580" s="1082"/>
      <c r="B580" s="1082"/>
      <c r="C580" s="1083"/>
      <c r="D580" s="1082"/>
      <c r="E580" s="1083"/>
      <c r="F580" s="1138"/>
      <c r="G580" s="1038"/>
      <c r="H580" s="1092"/>
      <c r="I580" s="1346"/>
      <c r="J580" s="1069"/>
      <c r="K580" s="1339"/>
      <c r="L580" s="1235"/>
      <c r="M580" s="1069"/>
      <c r="N580" s="1038"/>
      <c r="O580" s="1083"/>
      <c r="P580" s="1091"/>
      <c r="Q580" s="1076"/>
      <c r="R580" s="1074"/>
      <c r="S580" s="1074"/>
      <c r="T580" s="1075"/>
      <c r="U580" s="1254">
        <v>5</v>
      </c>
      <c r="V580" s="1355" t="s">
        <v>82</v>
      </c>
      <c r="W580" s="1241">
        <v>2</v>
      </c>
      <c r="X580" s="1241" t="s">
        <v>46</v>
      </c>
      <c r="Y580" s="1242" t="s">
        <v>46</v>
      </c>
      <c r="Z580" s="1143">
        <f t="shared" si="44"/>
        <v>2</v>
      </c>
      <c r="AA580" s="1074"/>
      <c r="AB580" s="1063"/>
      <c r="AC580" s="1075"/>
      <c r="AD580" s="1091"/>
      <c r="AE580" s="1076"/>
      <c r="AF580" s="1296"/>
      <c r="AG580" s="1297"/>
      <c r="AH580" s="1298"/>
      <c r="AI580" s="1298"/>
      <c r="AJ580" s="1299"/>
      <c r="AK580" s="1300">
        <v>125000</v>
      </c>
      <c r="AL580" s="1090">
        <f t="shared" si="42"/>
        <v>250000</v>
      </c>
      <c r="AM580" s="1297"/>
      <c r="AN580" s="1297"/>
      <c r="AO580" s="1298"/>
      <c r="AP580" s="1301"/>
      <c r="AQ580" s="1298"/>
      <c r="AR580" s="1301"/>
      <c r="AS580" s="1301"/>
      <c r="AT580" s="1297"/>
      <c r="AU580" s="1299"/>
      <c r="AV580" s="1302"/>
    </row>
    <row r="581" spans="1:48" ht="16.5" customHeight="1">
      <c r="A581" s="1082"/>
      <c r="B581" s="1082"/>
      <c r="C581" s="1083"/>
      <c r="D581" s="1082"/>
      <c r="E581" s="1083"/>
      <c r="F581" s="1138"/>
      <c r="G581" s="1038"/>
      <c r="H581" s="1092"/>
      <c r="I581" s="1346"/>
      <c r="J581" s="1069"/>
      <c r="K581" s="1339"/>
      <c r="L581" s="1235"/>
      <c r="M581" s="1069"/>
      <c r="N581" s="1038"/>
      <c r="O581" s="1083"/>
      <c r="P581" s="1091"/>
      <c r="Q581" s="1076"/>
      <c r="R581" s="1074"/>
      <c r="S581" s="1074"/>
      <c r="T581" s="1075"/>
      <c r="U581" s="1254">
        <v>6</v>
      </c>
      <c r="V581" s="1355" t="s">
        <v>6</v>
      </c>
      <c r="W581" s="1241">
        <v>1</v>
      </c>
      <c r="X581" s="1241" t="s">
        <v>46</v>
      </c>
      <c r="Y581" s="1256" t="s">
        <v>46</v>
      </c>
      <c r="Z581" s="1143">
        <f t="shared" si="44"/>
        <v>1</v>
      </c>
      <c r="AA581" s="1074"/>
      <c r="AB581" s="1063"/>
      <c r="AC581" s="1075"/>
      <c r="AD581" s="1091"/>
      <c r="AE581" s="1076"/>
      <c r="AF581" s="1296"/>
      <c r="AG581" s="1297"/>
      <c r="AH581" s="1298"/>
      <c r="AI581" s="1298"/>
      <c r="AJ581" s="1299"/>
      <c r="AK581" s="1300">
        <v>10000</v>
      </c>
      <c r="AL581" s="1090">
        <f t="shared" si="42"/>
        <v>10000</v>
      </c>
      <c r="AM581" s="1297"/>
      <c r="AN581" s="1297"/>
      <c r="AO581" s="1298"/>
      <c r="AP581" s="1301"/>
      <c r="AQ581" s="1298"/>
      <c r="AR581" s="1301"/>
      <c r="AS581" s="1301"/>
      <c r="AT581" s="1297"/>
      <c r="AU581" s="1299"/>
      <c r="AV581" s="1302"/>
    </row>
    <row r="582" spans="1:48" ht="16.5" customHeight="1">
      <c r="A582" s="1082"/>
      <c r="B582" s="1082"/>
      <c r="C582" s="1083"/>
      <c r="D582" s="1082"/>
      <c r="E582" s="1083"/>
      <c r="F582" s="1138"/>
      <c r="G582" s="1038"/>
      <c r="H582" s="1092"/>
      <c r="I582" s="1346"/>
      <c r="J582" s="1069"/>
      <c r="K582" s="1339"/>
      <c r="L582" s="1235"/>
      <c r="M582" s="1069"/>
      <c r="N582" s="1038"/>
      <c r="O582" s="1083"/>
      <c r="P582" s="1091"/>
      <c r="Q582" s="1076"/>
      <c r="R582" s="1074"/>
      <c r="S582" s="1074"/>
      <c r="T582" s="1075"/>
      <c r="U582" s="1254">
        <v>7</v>
      </c>
      <c r="V582" s="1355" t="s">
        <v>81</v>
      </c>
      <c r="W582" s="1241">
        <v>5</v>
      </c>
      <c r="X582" s="1241" t="s">
        <v>46</v>
      </c>
      <c r="Y582" s="1242" t="s">
        <v>46</v>
      </c>
      <c r="Z582" s="1143">
        <f t="shared" si="44"/>
        <v>5</v>
      </c>
      <c r="AA582" s="1074"/>
      <c r="AB582" s="1063"/>
      <c r="AC582" s="1075"/>
      <c r="AD582" s="1091"/>
      <c r="AE582" s="1076"/>
      <c r="AF582" s="1296"/>
      <c r="AG582" s="1297"/>
      <c r="AH582" s="1298"/>
      <c r="AI582" s="1298"/>
      <c r="AJ582" s="1299"/>
      <c r="AK582" s="1300">
        <v>800</v>
      </c>
      <c r="AL582" s="1090">
        <f t="shared" si="42"/>
        <v>4000</v>
      </c>
      <c r="AM582" s="1297"/>
      <c r="AN582" s="1297"/>
      <c r="AO582" s="1298"/>
      <c r="AP582" s="1301"/>
      <c r="AQ582" s="1298"/>
      <c r="AR582" s="1301"/>
      <c r="AS582" s="1301"/>
      <c r="AT582" s="1297"/>
      <c r="AU582" s="1299"/>
      <c r="AV582" s="1302"/>
    </row>
    <row r="583" spans="1:48" ht="16.5" customHeight="1">
      <c r="A583" s="1082"/>
      <c r="B583" s="1082"/>
      <c r="C583" s="1083"/>
      <c r="D583" s="1082"/>
      <c r="E583" s="1083"/>
      <c r="F583" s="1138"/>
      <c r="G583" s="1038"/>
      <c r="H583" s="1092"/>
      <c r="I583" s="1346"/>
      <c r="J583" s="1069"/>
      <c r="K583" s="1339"/>
      <c r="L583" s="1235"/>
      <c r="M583" s="1069"/>
      <c r="N583" s="1038"/>
      <c r="O583" s="1083"/>
      <c r="P583" s="1091"/>
      <c r="Q583" s="1076"/>
      <c r="R583" s="1074"/>
      <c r="S583" s="1074"/>
      <c r="T583" s="1075"/>
      <c r="U583" s="1254">
        <v>8</v>
      </c>
      <c r="V583" s="1355" t="s">
        <v>80</v>
      </c>
      <c r="W583" s="1241">
        <v>50</v>
      </c>
      <c r="X583" s="1241" t="s">
        <v>46</v>
      </c>
      <c r="Y583" s="1242" t="s">
        <v>46</v>
      </c>
      <c r="Z583" s="1143">
        <f t="shared" si="44"/>
        <v>50</v>
      </c>
      <c r="AA583" s="1074"/>
      <c r="AB583" s="1063"/>
      <c r="AC583" s="1075"/>
      <c r="AD583" s="1091"/>
      <c r="AE583" s="1076"/>
      <c r="AF583" s="1296"/>
      <c r="AG583" s="1297"/>
      <c r="AH583" s="1298"/>
      <c r="AI583" s="1298"/>
      <c r="AJ583" s="1299"/>
      <c r="AK583" s="1300">
        <v>6000</v>
      </c>
      <c r="AL583" s="1090">
        <f t="shared" si="42"/>
        <v>300000</v>
      </c>
      <c r="AM583" s="1297"/>
      <c r="AN583" s="1297"/>
      <c r="AO583" s="1298"/>
      <c r="AP583" s="1301"/>
      <c r="AQ583" s="1298"/>
      <c r="AR583" s="1301"/>
      <c r="AS583" s="1301"/>
      <c r="AT583" s="1297"/>
      <c r="AU583" s="1299"/>
      <c r="AV583" s="1302"/>
    </row>
    <row r="584" spans="1:48" ht="16.5" customHeight="1">
      <c r="A584" s="1082"/>
      <c r="B584" s="1082"/>
      <c r="C584" s="1083"/>
      <c r="D584" s="1082"/>
      <c r="E584" s="1083"/>
      <c r="F584" s="1138"/>
      <c r="G584" s="1038"/>
      <c r="H584" s="1092"/>
      <c r="I584" s="1346"/>
      <c r="J584" s="1069"/>
      <c r="K584" s="1339"/>
      <c r="L584" s="1235"/>
      <c r="M584" s="1069"/>
      <c r="N584" s="1038"/>
      <c r="O584" s="1083"/>
      <c r="P584" s="1091"/>
      <c r="Q584" s="1076"/>
      <c r="R584" s="1074"/>
      <c r="S584" s="1074"/>
      <c r="T584" s="1075"/>
      <c r="U584" s="1254">
        <v>9</v>
      </c>
      <c r="V584" s="1355" t="s">
        <v>79</v>
      </c>
      <c r="W584" s="1241">
        <v>2</v>
      </c>
      <c r="X584" s="1241" t="s">
        <v>46</v>
      </c>
      <c r="Y584" s="1242" t="s">
        <v>46</v>
      </c>
      <c r="Z584" s="1143">
        <f t="shared" si="44"/>
        <v>2</v>
      </c>
      <c r="AA584" s="1074"/>
      <c r="AB584" s="1063"/>
      <c r="AC584" s="1075"/>
      <c r="AD584" s="1091"/>
      <c r="AE584" s="1076"/>
      <c r="AF584" s="1296"/>
      <c r="AG584" s="1297"/>
      <c r="AH584" s="1298"/>
      <c r="AI584" s="1298"/>
      <c r="AJ584" s="1299"/>
      <c r="AK584" s="1300"/>
      <c r="AL584" s="1090">
        <f t="shared" si="42"/>
        <v>0</v>
      </c>
      <c r="AM584" s="1297"/>
      <c r="AN584" s="1297"/>
      <c r="AO584" s="1298"/>
      <c r="AP584" s="1301"/>
      <c r="AQ584" s="1298"/>
      <c r="AR584" s="1301"/>
      <c r="AS584" s="1301"/>
      <c r="AT584" s="1297"/>
      <c r="AU584" s="1299"/>
      <c r="AV584" s="1302"/>
    </row>
    <row r="585" spans="1:48" ht="16.5" customHeight="1">
      <c r="A585" s="1082"/>
      <c r="B585" s="1082"/>
      <c r="C585" s="1083"/>
      <c r="D585" s="1082"/>
      <c r="E585" s="1083"/>
      <c r="F585" s="1138"/>
      <c r="G585" s="1038"/>
      <c r="H585" s="1092"/>
      <c r="I585" s="1346"/>
      <c r="J585" s="1069"/>
      <c r="K585" s="1339"/>
      <c r="L585" s="1235"/>
      <c r="M585" s="1069"/>
      <c r="N585" s="1038"/>
      <c r="O585" s="1083"/>
      <c r="P585" s="1091"/>
      <c r="Q585" s="1076"/>
      <c r="R585" s="1074"/>
      <c r="S585" s="1074"/>
      <c r="T585" s="1075"/>
      <c r="U585" s="1254">
        <v>10</v>
      </c>
      <c r="V585" s="1355" t="s">
        <v>50</v>
      </c>
      <c r="W585" s="1241">
        <v>840</v>
      </c>
      <c r="X585" s="1241" t="s">
        <v>46</v>
      </c>
      <c r="Y585" s="1242" t="s">
        <v>46</v>
      </c>
      <c r="Z585" s="1360" t="s">
        <v>78</v>
      </c>
      <c r="AA585" s="1074"/>
      <c r="AB585" s="1063"/>
      <c r="AC585" s="1075"/>
      <c r="AD585" s="1091"/>
      <c r="AE585" s="1076"/>
      <c r="AF585" s="1296"/>
      <c r="AG585" s="1297"/>
      <c r="AH585" s="1298"/>
      <c r="AI585" s="1298"/>
      <c r="AJ585" s="1299"/>
      <c r="AK585" s="1300">
        <v>4800</v>
      </c>
      <c r="AL585" s="1090">
        <f t="shared" si="42"/>
        <v>4032000</v>
      </c>
      <c r="AM585" s="1297"/>
      <c r="AN585" s="1297"/>
      <c r="AO585" s="1298"/>
      <c r="AP585" s="1301"/>
      <c r="AQ585" s="1298"/>
      <c r="AR585" s="1301"/>
      <c r="AS585" s="1301"/>
      <c r="AT585" s="1297"/>
      <c r="AU585" s="1299"/>
      <c r="AV585" s="1302"/>
    </row>
    <row r="586" spans="1:48" ht="16.5" customHeight="1">
      <c r="A586" s="1098"/>
      <c r="B586" s="1098"/>
      <c r="C586" s="1105"/>
      <c r="D586" s="1098"/>
      <c r="E586" s="1105"/>
      <c r="F586" s="1150"/>
      <c r="G586" s="1095"/>
      <c r="H586" s="1099"/>
      <c r="I586" s="1349"/>
      <c r="J586" s="1103"/>
      <c r="K586" s="1342"/>
      <c r="L586" s="1287"/>
      <c r="M586" s="1103"/>
      <c r="N586" s="1095"/>
      <c r="O586" s="1105"/>
      <c r="P586" s="1109"/>
      <c r="Q586" s="1108"/>
      <c r="R586" s="1094"/>
      <c r="S586" s="1094"/>
      <c r="T586" s="1168"/>
      <c r="U586" s="1378"/>
      <c r="V586" s="1189"/>
      <c r="W586" s="1111"/>
      <c r="X586" s="1110"/>
      <c r="Y586" s="1096"/>
      <c r="Z586" s="1166"/>
      <c r="AA586" s="1094"/>
      <c r="AB586" s="1167"/>
      <c r="AC586" s="1168"/>
      <c r="AD586" s="1109"/>
      <c r="AE586" s="1108"/>
      <c r="AF586" s="1305"/>
      <c r="AG586" s="1306"/>
      <c r="AH586" s="1307"/>
      <c r="AI586" s="1307"/>
      <c r="AJ586" s="1308"/>
      <c r="AK586" s="1309"/>
      <c r="AL586" s="1120">
        <f t="shared" si="42"/>
        <v>0</v>
      </c>
      <c r="AM586" s="1306"/>
      <c r="AN586" s="1306"/>
      <c r="AO586" s="1307"/>
      <c r="AP586" s="1310"/>
      <c r="AQ586" s="1307"/>
      <c r="AR586" s="1310"/>
      <c r="AS586" s="1310"/>
      <c r="AT586" s="1306"/>
      <c r="AU586" s="1308"/>
      <c r="AV586" s="1311"/>
    </row>
    <row r="587" spans="1:48" ht="33" customHeight="1">
      <c r="A587" s="1617">
        <v>43</v>
      </c>
      <c r="B587" s="1035" t="s">
        <v>69</v>
      </c>
      <c r="C587" s="1036" t="s">
        <v>77</v>
      </c>
      <c r="D587" s="1531"/>
      <c r="E587" s="1273"/>
      <c r="F587" s="1532" t="s">
        <v>76</v>
      </c>
      <c r="G587" s="1035" t="s">
        <v>25</v>
      </c>
      <c r="H587" s="1273" t="s">
        <v>75</v>
      </c>
      <c r="I587" s="1040">
        <v>2133</v>
      </c>
      <c r="J587" s="1043" t="s">
        <v>41</v>
      </c>
      <c r="K587" s="1330" t="s">
        <v>74</v>
      </c>
      <c r="L587" s="1279"/>
      <c r="M587" s="1048"/>
      <c r="N587" s="1035" t="s">
        <v>25</v>
      </c>
      <c r="O587" s="1045" t="s">
        <v>17</v>
      </c>
      <c r="P587" s="1344">
        <v>1</v>
      </c>
      <c r="Q587" s="1212"/>
      <c r="R587" s="1034" t="s">
        <v>25</v>
      </c>
      <c r="S587" s="1034" t="s">
        <v>24</v>
      </c>
      <c r="T587" s="1048"/>
      <c r="U587" s="1353"/>
      <c r="V587" s="1319"/>
      <c r="W587" s="1052"/>
      <c r="X587" s="1051"/>
      <c r="Y587" s="1036"/>
      <c r="Z587" s="1312"/>
      <c r="AA587" s="1034"/>
      <c r="AB587" s="1181"/>
      <c r="AC587" s="1048"/>
      <c r="AD587" s="1180"/>
      <c r="AE587" s="1049"/>
      <c r="AF587" s="1333">
        <f>Resum!F5</f>
        <v>170000</v>
      </c>
      <c r="AG587" s="1057">
        <f>AF587*I587</f>
        <v>362610000</v>
      </c>
      <c r="AH587" s="1334">
        <v>2500000</v>
      </c>
      <c r="AI587" s="1334">
        <f>+AH587*P587*0.5</f>
        <v>1250000</v>
      </c>
      <c r="AJ587" s="1335">
        <f>SUM(AI587)</f>
        <v>1250000</v>
      </c>
      <c r="AK587" s="1336"/>
      <c r="AL587" s="1061"/>
      <c r="AM587" s="1337">
        <f>SUM(AL587:AL593)</f>
        <v>11550000</v>
      </c>
      <c r="AN587" s="1057">
        <f>AM587+AJ587+AG587</f>
        <v>375410000</v>
      </c>
      <c r="AO587" s="1334"/>
      <c r="AP587" s="1548">
        <v>0</v>
      </c>
      <c r="AQ587" s="1058">
        <v>0</v>
      </c>
      <c r="AR587" s="1548">
        <f>AG587*5%</f>
        <v>18130500</v>
      </c>
      <c r="AS587" s="1058">
        <f>0.5%*AG587*(3)</f>
        <v>5439150</v>
      </c>
      <c r="AT587" s="1057">
        <f>+AS587+AR587+AQ587+AP587+AO587</f>
        <v>23569650</v>
      </c>
      <c r="AU587" s="2015">
        <f>ROUND(AT587+AN587,-3)</f>
        <v>398980000</v>
      </c>
      <c r="AV587" s="1365"/>
    </row>
    <row r="588" spans="1:48" ht="16.5" customHeight="1">
      <c r="A588" s="1082"/>
      <c r="B588" s="1038" t="s">
        <v>16</v>
      </c>
      <c r="C588" s="1039" t="s">
        <v>73</v>
      </c>
      <c r="D588" s="1082"/>
      <c r="E588" s="1083"/>
      <c r="F588" s="1233"/>
      <c r="G588" s="1038" t="s">
        <v>16</v>
      </c>
      <c r="H588" s="1092" t="s">
        <v>22</v>
      </c>
      <c r="I588" s="1066"/>
      <c r="J588" s="1069"/>
      <c r="K588" s="1339"/>
      <c r="L588" s="1235"/>
      <c r="M588" s="1075"/>
      <c r="N588" s="1038"/>
      <c r="O588" s="1071"/>
      <c r="P588" s="1357"/>
      <c r="Q588" s="1213"/>
      <c r="R588" s="1074"/>
      <c r="S588" s="1074"/>
      <c r="T588" s="1075"/>
      <c r="U588" s="1184"/>
      <c r="V588" s="1185"/>
      <c r="W588" s="1079"/>
      <c r="X588" s="1078"/>
      <c r="Y588" s="1039"/>
      <c r="Z588" s="1183"/>
      <c r="AA588" s="1074"/>
      <c r="AB588" s="1063"/>
      <c r="AC588" s="1075"/>
      <c r="AD588" s="1091"/>
      <c r="AE588" s="1076"/>
      <c r="AF588" s="1296"/>
      <c r="AG588" s="1297"/>
      <c r="AH588" s="1298"/>
      <c r="AI588" s="1298"/>
      <c r="AJ588" s="1299"/>
      <c r="AK588" s="1300"/>
      <c r="AL588" s="1090"/>
      <c r="AM588" s="1297"/>
      <c r="AN588" s="1297"/>
      <c r="AO588" s="1298"/>
      <c r="AP588" s="1301"/>
      <c r="AQ588" s="1298"/>
      <c r="AR588" s="1301"/>
      <c r="AS588" s="1301"/>
      <c r="AT588" s="1297"/>
      <c r="AU588" s="1299"/>
      <c r="AV588" s="1302"/>
    </row>
    <row r="589" spans="1:48" ht="16.5" customHeight="1">
      <c r="A589" s="1082"/>
      <c r="B589" s="1038" t="s">
        <v>18</v>
      </c>
      <c r="C589" s="1039" t="s">
        <v>72</v>
      </c>
      <c r="D589" s="1082"/>
      <c r="E589" s="1083"/>
      <c r="F589" s="1233"/>
      <c r="G589" s="1038" t="s">
        <v>18</v>
      </c>
      <c r="H589" s="1092" t="s">
        <v>19</v>
      </c>
      <c r="I589" s="1066"/>
      <c r="J589" s="1069"/>
      <c r="K589" s="1339"/>
      <c r="L589" s="1235"/>
      <c r="M589" s="1075"/>
      <c r="N589" s="1038"/>
      <c r="O589" s="1071"/>
      <c r="P589" s="1357"/>
      <c r="Q589" s="1213"/>
      <c r="R589" s="1074" t="s">
        <v>16</v>
      </c>
      <c r="S589" s="1074" t="s">
        <v>15</v>
      </c>
      <c r="T589" s="1075">
        <v>1</v>
      </c>
      <c r="U589" s="1184">
        <v>1</v>
      </c>
      <c r="V589" s="1185" t="s">
        <v>14</v>
      </c>
      <c r="W589" s="1140">
        <v>0</v>
      </c>
      <c r="X589" s="1141">
        <v>0</v>
      </c>
      <c r="Y589" s="1142">
        <v>100</v>
      </c>
      <c r="Z589" s="1143">
        <f>SUM(W589:Y589)</f>
        <v>100</v>
      </c>
      <c r="AA589" s="1074"/>
      <c r="AB589" s="1063"/>
      <c r="AC589" s="1075"/>
      <c r="AD589" s="1091"/>
      <c r="AE589" s="1076"/>
      <c r="AF589" s="1296"/>
      <c r="AG589" s="1297"/>
      <c r="AH589" s="1298"/>
      <c r="AI589" s="1298"/>
      <c r="AJ589" s="1299"/>
      <c r="AK589" s="1089">
        <v>115500</v>
      </c>
      <c r="AL589" s="1087">
        <f>AK589*Y589</f>
        <v>11550000</v>
      </c>
      <c r="AM589" s="1297"/>
      <c r="AN589" s="1297"/>
      <c r="AO589" s="1298"/>
      <c r="AP589" s="1301"/>
      <c r="AQ589" s="1298"/>
      <c r="AR589" s="1301"/>
      <c r="AS589" s="1301"/>
      <c r="AT589" s="1297"/>
      <c r="AU589" s="1299"/>
      <c r="AV589" s="1302"/>
    </row>
    <row r="590" spans="1:48" ht="49.5" customHeight="1">
      <c r="A590" s="1082"/>
      <c r="B590" s="1038" t="s">
        <v>12</v>
      </c>
      <c r="C590" s="1071" t="s">
        <v>71</v>
      </c>
      <c r="D590" s="1082"/>
      <c r="E590" s="1083"/>
      <c r="F590" s="1233"/>
      <c r="G590" s="1038"/>
      <c r="H590" s="1092"/>
      <c r="I590" s="1066"/>
      <c r="J590" s="1069"/>
      <c r="K590" s="1339"/>
      <c r="L590" s="1235"/>
      <c r="M590" s="1075"/>
      <c r="N590" s="1038"/>
      <c r="O590" s="1071"/>
      <c r="P590" s="1347"/>
      <c r="Q590" s="1213"/>
      <c r="R590" s="1074"/>
      <c r="S590" s="1074"/>
      <c r="T590" s="1075"/>
      <c r="U590" s="1184"/>
      <c r="V590" s="1185"/>
      <c r="W590" s="1079"/>
      <c r="X590" s="1078"/>
      <c r="Y590" s="1039"/>
      <c r="Z590" s="1183"/>
      <c r="AA590" s="1074"/>
      <c r="AB590" s="1063"/>
      <c r="AC590" s="1075"/>
      <c r="AD590" s="1091"/>
      <c r="AE590" s="1076"/>
      <c r="AF590" s="1296"/>
      <c r="AG590" s="1297"/>
      <c r="AH590" s="1298"/>
      <c r="AI590" s="1298"/>
      <c r="AJ590" s="1299"/>
      <c r="AK590" s="1300"/>
      <c r="AL590" s="1090"/>
      <c r="AM590" s="1297"/>
      <c r="AN590" s="1297"/>
      <c r="AO590" s="1298"/>
      <c r="AP590" s="1301"/>
      <c r="AQ590" s="1298"/>
      <c r="AR590" s="1301"/>
      <c r="AS590" s="1301"/>
      <c r="AT590" s="1297"/>
      <c r="AU590" s="1299"/>
      <c r="AV590" s="1302"/>
    </row>
    <row r="591" spans="1:48" ht="16.5" customHeight="1">
      <c r="A591" s="1082"/>
      <c r="B591" s="1038" t="s">
        <v>8</v>
      </c>
      <c r="C591" s="1071" t="s">
        <v>55</v>
      </c>
      <c r="D591" s="1082"/>
      <c r="E591" s="1083"/>
      <c r="F591" s="1233"/>
      <c r="G591" s="1038"/>
      <c r="H591" s="1092"/>
      <c r="I591" s="1066"/>
      <c r="J591" s="1069"/>
      <c r="K591" s="1339"/>
      <c r="L591" s="1235"/>
      <c r="M591" s="1075"/>
      <c r="N591" s="1038"/>
      <c r="O591" s="1083"/>
      <c r="P591" s="1357"/>
      <c r="Q591" s="1213">
        <v>18.8</v>
      </c>
      <c r="R591" s="1074"/>
      <c r="S591" s="1074"/>
      <c r="T591" s="1075"/>
      <c r="U591" s="1184"/>
      <c r="V591" s="1185"/>
      <c r="W591" s="1079"/>
      <c r="X591" s="1078"/>
      <c r="Y591" s="1039"/>
      <c r="Z591" s="1183"/>
      <c r="AA591" s="1074"/>
      <c r="AB591" s="1063"/>
      <c r="AC591" s="1075"/>
      <c r="AD591" s="1091"/>
      <c r="AE591" s="1076"/>
      <c r="AF591" s="1296"/>
      <c r="AG591" s="1297"/>
      <c r="AH591" s="1298"/>
      <c r="AI591" s="1298"/>
      <c r="AJ591" s="1299"/>
      <c r="AK591" s="1300"/>
      <c r="AL591" s="1090"/>
      <c r="AM591" s="1297"/>
      <c r="AN591" s="1297"/>
      <c r="AO591" s="1298"/>
      <c r="AP591" s="1301"/>
      <c r="AQ591" s="1298"/>
      <c r="AR591" s="1301"/>
      <c r="AS591" s="1301"/>
      <c r="AT591" s="1297"/>
      <c r="AU591" s="1299"/>
      <c r="AV591" s="1302"/>
    </row>
    <row r="592" spans="1:48" ht="16.5" customHeight="1">
      <c r="A592" s="1082"/>
      <c r="B592" s="1038"/>
      <c r="C592" s="1071"/>
      <c r="D592" s="1082"/>
      <c r="E592" s="1083"/>
      <c r="F592" s="1233"/>
      <c r="G592" s="1038"/>
      <c r="H592" s="1092"/>
      <c r="I592" s="1066"/>
      <c r="J592" s="1069"/>
      <c r="K592" s="1339"/>
      <c r="L592" s="1235"/>
      <c r="M592" s="1075"/>
      <c r="N592" s="1038"/>
      <c r="O592" s="1083"/>
      <c r="P592" s="1357"/>
      <c r="Q592" s="1213">
        <v>12.22</v>
      </c>
      <c r="R592" s="1074"/>
      <c r="S592" s="1074"/>
      <c r="T592" s="1075"/>
      <c r="U592" s="1184"/>
      <c r="V592" s="1185"/>
      <c r="W592" s="1079"/>
      <c r="X592" s="1078"/>
      <c r="Y592" s="1039"/>
      <c r="Z592" s="1183"/>
      <c r="AA592" s="1074"/>
      <c r="AB592" s="1063"/>
      <c r="AC592" s="1075"/>
      <c r="AD592" s="1091"/>
      <c r="AE592" s="1076"/>
      <c r="AF592" s="1296"/>
      <c r="AG592" s="1297"/>
      <c r="AH592" s="1298"/>
      <c r="AI592" s="1298"/>
      <c r="AJ592" s="1299"/>
      <c r="AK592" s="1300"/>
      <c r="AL592" s="1090"/>
      <c r="AM592" s="1297"/>
      <c r="AN592" s="1297"/>
      <c r="AO592" s="1298"/>
      <c r="AP592" s="1301"/>
      <c r="AQ592" s="1298"/>
      <c r="AR592" s="1301"/>
      <c r="AS592" s="1301"/>
      <c r="AT592" s="1297"/>
      <c r="AU592" s="1299"/>
      <c r="AV592" s="1302"/>
    </row>
    <row r="593" spans="1:48" ht="16.5" customHeight="1">
      <c r="A593" s="1098"/>
      <c r="B593" s="1095"/>
      <c r="C593" s="1186"/>
      <c r="D593" s="1098"/>
      <c r="E593" s="1105"/>
      <c r="F593" s="1533"/>
      <c r="G593" s="1095"/>
      <c r="H593" s="1099"/>
      <c r="I593" s="1100"/>
      <c r="J593" s="1103"/>
      <c r="K593" s="1342"/>
      <c r="L593" s="1287"/>
      <c r="M593" s="1168"/>
      <c r="N593" s="1095"/>
      <c r="O593" s="1105"/>
      <c r="P593" s="1109"/>
      <c r="Q593" s="1108"/>
      <c r="R593" s="1094"/>
      <c r="S593" s="1094"/>
      <c r="T593" s="1168"/>
      <c r="U593" s="1188"/>
      <c r="V593" s="1189"/>
      <c r="W593" s="1111"/>
      <c r="X593" s="1110"/>
      <c r="Y593" s="1096"/>
      <c r="Z593" s="1166"/>
      <c r="AA593" s="1094"/>
      <c r="AB593" s="1167"/>
      <c r="AC593" s="1168"/>
      <c r="AD593" s="1109"/>
      <c r="AE593" s="1108"/>
      <c r="AF593" s="1305"/>
      <c r="AG593" s="1306"/>
      <c r="AH593" s="1307"/>
      <c r="AI593" s="1307"/>
      <c r="AJ593" s="1308"/>
      <c r="AK593" s="1309"/>
      <c r="AL593" s="1120"/>
      <c r="AM593" s="1306"/>
      <c r="AN593" s="1306"/>
      <c r="AO593" s="1307"/>
      <c r="AP593" s="1310"/>
      <c r="AQ593" s="1307"/>
      <c r="AR593" s="1310"/>
      <c r="AS593" s="1310"/>
      <c r="AT593" s="1306"/>
      <c r="AU593" s="1308"/>
      <c r="AV593" s="1311"/>
    </row>
    <row r="594" spans="1:48" ht="33" customHeight="1">
      <c r="A594" s="1530">
        <v>44</v>
      </c>
      <c r="B594" s="1038" t="s">
        <v>69</v>
      </c>
      <c r="C594" s="1039" t="s">
        <v>68</v>
      </c>
      <c r="D594" s="1038"/>
      <c r="E594" s="1244"/>
      <c r="F594" s="1171" t="s">
        <v>67</v>
      </c>
      <c r="G594" s="1038" t="s">
        <v>25</v>
      </c>
      <c r="H594" s="1083" t="s">
        <v>66</v>
      </c>
      <c r="I594" s="1372">
        <v>1995</v>
      </c>
      <c r="J594" s="1043" t="s">
        <v>41</v>
      </c>
      <c r="K594" s="1041" t="s">
        <v>65</v>
      </c>
      <c r="L594" s="1235"/>
      <c r="M594" s="1043"/>
      <c r="N594" s="1035" t="s">
        <v>25</v>
      </c>
      <c r="O594" s="1190" t="s">
        <v>52</v>
      </c>
      <c r="P594" s="1344">
        <v>2</v>
      </c>
      <c r="Q594" s="1212">
        <v>14.67</v>
      </c>
      <c r="R594" s="1074" t="s">
        <v>25</v>
      </c>
      <c r="S594" s="1074" t="s">
        <v>24</v>
      </c>
      <c r="T594" s="1075">
        <v>4</v>
      </c>
      <c r="U594" s="1184">
        <v>1</v>
      </c>
      <c r="V594" s="1185" t="s">
        <v>64</v>
      </c>
      <c r="W594" s="1140">
        <v>1</v>
      </c>
      <c r="X594" s="1241">
        <v>0</v>
      </c>
      <c r="Y594" s="1242">
        <v>0</v>
      </c>
      <c r="Z594" s="1143">
        <f>SUM(W594:Y594)</f>
        <v>1</v>
      </c>
      <c r="AA594" s="1074"/>
      <c r="AB594" s="1063"/>
      <c r="AC594" s="1075"/>
      <c r="AD594" s="1091"/>
      <c r="AE594" s="1076"/>
      <c r="AF594" s="1296">
        <f>Resum!F5</f>
        <v>170000</v>
      </c>
      <c r="AG594" s="1086">
        <f>AF594*I594</f>
        <v>339150000</v>
      </c>
      <c r="AH594" s="1087">
        <v>210000</v>
      </c>
      <c r="AI594" s="1087">
        <f>AH594*Q594*0.5</f>
        <v>1540350</v>
      </c>
      <c r="AJ594" s="1354">
        <f>SUM(AI594:AI595)</f>
        <v>4040350</v>
      </c>
      <c r="AK594" s="1300">
        <v>45120</v>
      </c>
      <c r="AL594" s="1090">
        <f t="shared" si="42"/>
        <v>45120</v>
      </c>
      <c r="AM594" s="1297">
        <f>SUM(AL594:AL605)</f>
        <v>50910120</v>
      </c>
      <c r="AN594" s="1086">
        <f>AM594+AJ594+AG594</f>
        <v>394100470</v>
      </c>
      <c r="AO594" s="1298"/>
      <c r="AP594" s="1136">
        <v>0</v>
      </c>
      <c r="AQ594" s="1087">
        <v>0</v>
      </c>
      <c r="AR594" s="1136">
        <f>AG594*5%</f>
        <v>16957500</v>
      </c>
      <c r="AS594" s="1087">
        <f>0.5%*AG594*(3)</f>
        <v>5087250</v>
      </c>
      <c r="AT594" s="1086">
        <f>+AS594+AR594+AQ594+AP594+AO594</f>
        <v>22044750</v>
      </c>
      <c r="AU594" s="1137">
        <f>ROUND(AT594+AN594,-3)</f>
        <v>416145000</v>
      </c>
      <c r="AV594" s="1302"/>
    </row>
    <row r="595" spans="1:48" ht="16.5" customHeight="1">
      <c r="A595" s="1082"/>
      <c r="B595" s="1038" t="s">
        <v>16</v>
      </c>
      <c r="C595" s="1039" t="s">
        <v>63</v>
      </c>
      <c r="D595" s="1038"/>
      <c r="E595" s="1244"/>
      <c r="F595" s="1138"/>
      <c r="G595" s="1038" t="s">
        <v>16</v>
      </c>
      <c r="H595" s="1092" t="s">
        <v>22</v>
      </c>
      <c r="I595" s="1346"/>
      <c r="J595" s="1069"/>
      <c r="K595" s="1067"/>
      <c r="L595" s="1235"/>
      <c r="M595" s="1069"/>
      <c r="N595" s="1038" t="s">
        <v>16</v>
      </c>
      <c r="O595" s="1293" t="s">
        <v>17</v>
      </c>
      <c r="P595" s="1347">
        <v>2</v>
      </c>
      <c r="Q595" s="1213"/>
      <c r="R595" s="1074"/>
      <c r="S595" s="1074"/>
      <c r="T595" s="1075"/>
      <c r="U595" s="1528">
        <v>2</v>
      </c>
      <c r="V595" s="1185" t="s">
        <v>61</v>
      </c>
      <c r="W595" s="1140">
        <v>15</v>
      </c>
      <c r="X595" s="1141"/>
      <c r="Y595" s="1142"/>
      <c r="Z595" s="1143">
        <f>SUM(W595:Y595)</f>
        <v>15</v>
      </c>
      <c r="AA595" s="1074"/>
      <c r="AB595" s="1063"/>
      <c r="AC595" s="1075"/>
      <c r="AD595" s="1091"/>
      <c r="AE595" s="1076"/>
      <c r="AF595" s="1296"/>
      <c r="AG595" s="1297"/>
      <c r="AH595" s="1298">
        <v>2500000</v>
      </c>
      <c r="AI595" s="1087">
        <f t="shared" ref="AI595" si="45">AH595*P595*0.5</f>
        <v>2500000</v>
      </c>
      <c r="AJ595" s="1299"/>
      <c r="AK595" s="1300">
        <v>25000</v>
      </c>
      <c r="AL595" s="1090">
        <f t="shared" si="42"/>
        <v>375000</v>
      </c>
      <c r="AM595" s="1297"/>
      <c r="AN595" s="1297"/>
      <c r="AO595" s="1298"/>
      <c r="AP595" s="1301"/>
      <c r="AQ595" s="1298"/>
      <c r="AR595" s="1301"/>
      <c r="AS595" s="1301"/>
      <c r="AT595" s="1297"/>
      <c r="AU595" s="1299"/>
      <c r="AV595" s="1302"/>
    </row>
    <row r="596" spans="1:48" ht="16.5" customHeight="1">
      <c r="A596" s="1082"/>
      <c r="B596" s="1038" t="s">
        <v>18</v>
      </c>
      <c r="C596" s="1039" t="s">
        <v>60</v>
      </c>
      <c r="D596" s="1038"/>
      <c r="E596" s="1244"/>
      <c r="F596" s="1138"/>
      <c r="G596" s="1038" t="s">
        <v>18</v>
      </c>
      <c r="H596" s="1092" t="s">
        <v>19</v>
      </c>
      <c r="I596" s="1346"/>
      <c r="J596" s="1069"/>
      <c r="K596" s="1067"/>
      <c r="L596" s="1235"/>
      <c r="M596" s="1069"/>
      <c r="N596" s="1038"/>
      <c r="O596" s="1071"/>
      <c r="P596" s="1347"/>
      <c r="Q596" s="1213"/>
      <c r="R596" s="1074"/>
      <c r="S596" s="1074"/>
      <c r="T596" s="1075"/>
      <c r="U596" s="1254">
        <v>3</v>
      </c>
      <c r="V596" s="1355" t="s">
        <v>58</v>
      </c>
      <c r="W596" s="1534"/>
      <c r="X596" s="1241">
        <v>4</v>
      </c>
      <c r="Y596" s="1242"/>
      <c r="Z596" s="1143">
        <f>SUM(W596:Y596)</f>
        <v>4</v>
      </c>
      <c r="AA596" s="1074"/>
      <c r="AB596" s="1063"/>
      <c r="AC596" s="1075"/>
      <c r="AD596" s="1091"/>
      <c r="AE596" s="1076"/>
      <c r="AF596" s="1296"/>
      <c r="AG596" s="1297"/>
      <c r="AH596" s="1298"/>
      <c r="AI596" s="1298"/>
      <c r="AJ596" s="1299"/>
      <c r="AK596" s="1529">
        <v>150000</v>
      </c>
      <c r="AL596" s="1090">
        <f>AK596*X596</f>
        <v>600000</v>
      </c>
      <c r="AM596" s="1297"/>
      <c r="AN596" s="1297"/>
      <c r="AO596" s="1298"/>
      <c r="AP596" s="1301"/>
      <c r="AQ596" s="1298"/>
      <c r="AR596" s="1301"/>
      <c r="AS596" s="1301"/>
      <c r="AT596" s="1297"/>
      <c r="AU596" s="1299"/>
      <c r="AV596" s="1302"/>
    </row>
    <row r="597" spans="1:48" ht="49.5" customHeight="1">
      <c r="A597" s="1082"/>
      <c r="B597" s="1038" t="s">
        <v>12</v>
      </c>
      <c r="C597" s="1071" t="s">
        <v>57</v>
      </c>
      <c r="D597" s="1038"/>
      <c r="E597" s="1244"/>
      <c r="F597" s="1138"/>
      <c r="G597" s="1038"/>
      <c r="H597" s="1092"/>
      <c r="I597" s="1346"/>
      <c r="J597" s="1069"/>
      <c r="K597" s="1067"/>
      <c r="L597" s="1235"/>
      <c r="M597" s="1069"/>
      <c r="N597" s="1038"/>
      <c r="O597" s="1071"/>
      <c r="P597" s="1347"/>
      <c r="Q597" s="1213"/>
      <c r="R597" s="1074"/>
      <c r="S597" s="1074"/>
      <c r="T597" s="1075"/>
      <c r="U597" s="1254">
        <v>4</v>
      </c>
      <c r="V597" s="1355" t="s">
        <v>56</v>
      </c>
      <c r="W597" s="1241"/>
      <c r="X597" s="1534">
        <v>15</v>
      </c>
      <c r="Y597" s="1535"/>
      <c r="Z597" s="1143">
        <f>SUM(W597:Y597)</f>
        <v>15</v>
      </c>
      <c r="AA597" s="1074"/>
      <c r="AB597" s="1063"/>
      <c r="AC597" s="1075"/>
      <c r="AD597" s="1091"/>
      <c r="AE597" s="1076"/>
      <c r="AF597" s="1296"/>
      <c r="AG597" s="1297"/>
      <c r="AH597" s="1298"/>
      <c r="AI597" s="1298"/>
      <c r="AJ597" s="1299"/>
      <c r="AK597" s="1300">
        <v>25000</v>
      </c>
      <c r="AL597" s="1090">
        <f>AK597*X597</f>
        <v>375000</v>
      </c>
      <c r="AM597" s="1297"/>
      <c r="AN597" s="1297"/>
      <c r="AO597" s="1298"/>
      <c r="AP597" s="1301"/>
      <c r="AQ597" s="1298"/>
      <c r="AR597" s="1301"/>
      <c r="AS597" s="1301"/>
      <c r="AT597" s="1297"/>
      <c r="AU597" s="1299"/>
      <c r="AV597" s="1302"/>
    </row>
    <row r="598" spans="1:48" ht="16.5" customHeight="1">
      <c r="A598" s="1082"/>
      <c r="B598" s="1038" t="s">
        <v>8</v>
      </c>
      <c r="C598" s="1244" t="s">
        <v>55</v>
      </c>
      <c r="D598" s="1038"/>
      <c r="E598" s="1244"/>
      <c r="F598" s="1138"/>
      <c r="G598" s="1038"/>
      <c r="H598" s="1092"/>
      <c r="I598" s="1346"/>
      <c r="J598" s="1069"/>
      <c r="K598" s="1067"/>
      <c r="L598" s="1235"/>
      <c r="M598" s="1069"/>
      <c r="N598" s="1038"/>
      <c r="O598" s="1071"/>
      <c r="P598" s="1347"/>
      <c r="Q598" s="1213"/>
      <c r="R598" s="1074"/>
      <c r="S598" s="1074"/>
      <c r="T598" s="1075"/>
      <c r="U598" s="1254"/>
      <c r="V598" s="1355"/>
      <c r="W598" s="1241"/>
      <c r="X598" s="1534"/>
      <c r="Y598" s="1242"/>
      <c r="Z598" s="1143"/>
      <c r="AA598" s="1074"/>
      <c r="AB598" s="1063"/>
      <c r="AC598" s="1075"/>
      <c r="AD598" s="1091"/>
      <c r="AE598" s="1076"/>
      <c r="AF598" s="1296"/>
      <c r="AG598" s="1297"/>
      <c r="AH598" s="1298"/>
      <c r="AI598" s="1298"/>
      <c r="AJ598" s="1299"/>
      <c r="AK598" s="1300"/>
      <c r="AL598" s="1090"/>
      <c r="AM598" s="1297"/>
      <c r="AN598" s="1297"/>
      <c r="AO598" s="1298"/>
      <c r="AP598" s="1301"/>
      <c r="AQ598" s="1298"/>
      <c r="AR598" s="1301"/>
      <c r="AS598" s="1301"/>
      <c r="AT598" s="1297"/>
      <c r="AU598" s="1299"/>
      <c r="AV598" s="1302"/>
    </row>
    <row r="599" spans="1:48" ht="16.5" customHeight="1">
      <c r="A599" s="1073"/>
      <c r="B599" s="1074"/>
      <c r="C599" s="1071"/>
      <c r="D599" s="1038"/>
      <c r="E599" s="1244"/>
      <c r="F599" s="1138"/>
      <c r="G599" s="1038"/>
      <c r="H599" s="1092"/>
      <c r="I599" s="1346"/>
      <c r="J599" s="1069"/>
      <c r="K599" s="1067"/>
      <c r="L599" s="1235"/>
      <c r="M599" s="1069"/>
      <c r="N599" s="1038"/>
      <c r="O599" s="1071"/>
      <c r="P599" s="1347"/>
      <c r="Q599" s="1213"/>
      <c r="R599" s="1074"/>
      <c r="S599" s="1074"/>
      <c r="T599" s="1075"/>
      <c r="U599" s="1254"/>
      <c r="V599" s="1355"/>
      <c r="W599" s="1241"/>
      <c r="X599" s="1534"/>
      <c r="Y599" s="1535"/>
      <c r="Z599" s="1143"/>
      <c r="AA599" s="1074"/>
      <c r="AB599" s="1063"/>
      <c r="AC599" s="1075"/>
      <c r="AD599" s="1091"/>
      <c r="AE599" s="1076"/>
      <c r="AF599" s="1296"/>
      <c r="AG599" s="1297"/>
      <c r="AH599" s="1298"/>
      <c r="AI599" s="1298"/>
      <c r="AJ599" s="1299"/>
      <c r="AK599" s="1300"/>
      <c r="AL599" s="1090"/>
      <c r="AM599" s="1297"/>
      <c r="AN599" s="1297"/>
      <c r="AO599" s="1298"/>
      <c r="AP599" s="1301"/>
      <c r="AQ599" s="1298"/>
      <c r="AR599" s="1301"/>
      <c r="AS599" s="1301"/>
      <c r="AT599" s="1297"/>
      <c r="AU599" s="1299"/>
      <c r="AV599" s="1302"/>
    </row>
    <row r="600" spans="1:48" ht="16.5" customHeight="1">
      <c r="A600" s="1073"/>
      <c r="B600" s="1074"/>
      <c r="C600" s="1071"/>
      <c r="D600" s="1038"/>
      <c r="E600" s="1244"/>
      <c r="F600" s="1138"/>
      <c r="G600" s="1038"/>
      <c r="H600" s="1092"/>
      <c r="I600" s="1346"/>
      <c r="J600" s="1069"/>
      <c r="K600" s="1067"/>
      <c r="L600" s="1235"/>
      <c r="M600" s="1069"/>
      <c r="N600" s="1038"/>
      <c r="O600" s="1071"/>
      <c r="P600" s="1347"/>
      <c r="Q600" s="1213"/>
      <c r="R600" s="1074"/>
      <c r="S600" s="1074"/>
      <c r="T600" s="1075">
        <v>4</v>
      </c>
      <c r="U600" s="1254">
        <v>1</v>
      </c>
      <c r="V600" s="1355" t="s">
        <v>14</v>
      </c>
      <c r="W600" s="1534" t="s">
        <v>46</v>
      </c>
      <c r="X600" s="1241">
        <v>19</v>
      </c>
      <c r="Y600" s="1242"/>
      <c r="Z600" s="1143"/>
      <c r="AA600" s="1074"/>
      <c r="AB600" s="1063"/>
      <c r="AC600" s="1075"/>
      <c r="AD600" s="1091"/>
      <c r="AE600" s="1076"/>
      <c r="AF600" s="1296"/>
      <c r="AG600" s="1297"/>
      <c r="AH600" s="1298"/>
      <c r="AI600" s="1298"/>
      <c r="AJ600" s="1299"/>
      <c r="AK600" s="1089">
        <v>231000</v>
      </c>
      <c r="AL600" s="1087">
        <f>AK600*X600</f>
        <v>4389000</v>
      </c>
      <c r="AM600" s="1297"/>
      <c r="AN600" s="1297"/>
      <c r="AO600" s="1298"/>
      <c r="AP600" s="1301"/>
      <c r="AQ600" s="1298"/>
      <c r="AR600" s="1301"/>
      <c r="AS600" s="1301"/>
      <c r="AT600" s="1297"/>
      <c r="AU600" s="1299"/>
      <c r="AV600" s="1302"/>
    </row>
    <row r="601" spans="1:48" ht="16.5" customHeight="1">
      <c r="A601" s="1073"/>
      <c r="B601" s="1074"/>
      <c r="C601" s="1071"/>
      <c r="D601" s="1038"/>
      <c r="E601" s="1244"/>
      <c r="F601" s="1138"/>
      <c r="G601" s="1038"/>
      <c r="H601" s="1092"/>
      <c r="I601" s="1346"/>
      <c r="J601" s="1069"/>
      <c r="K601" s="1067"/>
      <c r="L601" s="1235"/>
      <c r="M601" s="1069"/>
      <c r="N601" s="1038"/>
      <c r="O601" s="1071"/>
      <c r="P601" s="1347"/>
      <c r="Q601" s="1213"/>
      <c r="R601" s="1074" t="s">
        <v>16</v>
      </c>
      <c r="S601" s="1074" t="s">
        <v>15</v>
      </c>
      <c r="T601" s="1075"/>
      <c r="U601" s="1254"/>
      <c r="V601" s="1355" t="s">
        <v>14</v>
      </c>
      <c r="W601" s="1534" t="s">
        <v>46</v>
      </c>
      <c r="X601" s="1241"/>
      <c r="Y601" s="1242">
        <v>257</v>
      </c>
      <c r="Z601" s="1143">
        <f>SUM(X601:Y601)</f>
        <v>257</v>
      </c>
      <c r="AA601" s="1074"/>
      <c r="AB601" s="1063"/>
      <c r="AC601" s="1075"/>
      <c r="AD601" s="1091"/>
      <c r="AE601" s="1076"/>
      <c r="AF601" s="1296"/>
      <c r="AG601" s="1297"/>
      <c r="AH601" s="1298"/>
      <c r="AI601" s="1298"/>
      <c r="AJ601" s="1299"/>
      <c r="AK601" s="1089">
        <v>115500</v>
      </c>
      <c r="AL601" s="1087">
        <f>AK601*Y601</f>
        <v>29683500</v>
      </c>
      <c r="AM601" s="1297"/>
      <c r="AN601" s="1297"/>
      <c r="AO601" s="1298"/>
      <c r="AP601" s="1301"/>
      <c r="AQ601" s="1298"/>
      <c r="AR601" s="1301"/>
      <c r="AS601" s="1301"/>
      <c r="AT601" s="1297"/>
      <c r="AU601" s="1299"/>
      <c r="AV601" s="1302"/>
    </row>
    <row r="602" spans="1:48" ht="16.5" customHeight="1">
      <c r="A602" s="1073"/>
      <c r="B602" s="1074"/>
      <c r="C602" s="1071"/>
      <c r="D602" s="1038"/>
      <c r="E602" s="1244"/>
      <c r="F602" s="1138"/>
      <c r="G602" s="1038"/>
      <c r="H602" s="1092"/>
      <c r="I602" s="1346"/>
      <c r="J602" s="1069"/>
      <c r="K602" s="1067"/>
      <c r="L602" s="1235"/>
      <c r="M602" s="1069"/>
      <c r="N602" s="1038"/>
      <c r="O602" s="1071"/>
      <c r="P602" s="1347"/>
      <c r="Q602" s="1213"/>
      <c r="R602" s="1074"/>
      <c r="S602" s="1074"/>
      <c r="T602" s="1075"/>
      <c r="U602" s="1254">
        <v>2</v>
      </c>
      <c r="V602" s="1355" t="s">
        <v>50</v>
      </c>
      <c r="W602" s="1241">
        <v>2800</v>
      </c>
      <c r="X602" s="1534" t="s">
        <v>46</v>
      </c>
      <c r="Y602" s="1535" t="s">
        <v>46</v>
      </c>
      <c r="Z602" s="1360" t="s">
        <v>49</v>
      </c>
      <c r="AA602" s="1074"/>
      <c r="AB602" s="1063"/>
      <c r="AC602" s="1075"/>
      <c r="AD602" s="1091"/>
      <c r="AE602" s="1076"/>
      <c r="AF602" s="1296"/>
      <c r="AG602" s="1297"/>
      <c r="AH602" s="1298"/>
      <c r="AI602" s="1298"/>
      <c r="AJ602" s="1299"/>
      <c r="AK602" s="1300">
        <v>4800</v>
      </c>
      <c r="AL602" s="1090">
        <f>AK602*W602</f>
        <v>13440000</v>
      </c>
      <c r="AM602" s="1297"/>
      <c r="AN602" s="1297"/>
      <c r="AO602" s="1298"/>
      <c r="AP602" s="1301"/>
      <c r="AQ602" s="1298"/>
      <c r="AR602" s="1301"/>
      <c r="AS602" s="1301"/>
      <c r="AT602" s="1297"/>
      <c r="AU602" s="1299"/>
      <c r="AV602" s="1302"/>
    </row>
    <row r="603" spans="1:48" ht="16.5" customHeight="1">
      <c r="A603" s="1073"/>
      <c r="B603" s="1074"/>
      <c r="C603" s="1071"/>
      <c r="D603" s="1038"/>
      <c r="E603" s="1244"/>
      <c r="F603" s="1138"/>
      <c r="G603" s="1038"/>
      <c r="H603" s="1092"/>
      <c r="I603" s="1346"/>
      <c r="J603" s="1069"/>
      <c r="K603" s="1067"/>
      <c r="L603" s="1235"/>
      <c r="M603" s="1069"/>
      <c r="N603" s="1038"/>
      <c r="O603" s="1071"/>
      <c r="P603" s="1347"/>
      <c r="Q603" s="1213"/>
      <c r="R603" s="1074"/>
      <c r="S603" s="1074"/>
      <c r="T603" s="1075"/>
      <c r="U603" s="1254">
        <v>3</v>
      </c>
      <c r="V603" s="1355" t="s">
        <v>48</v>
      </c>
      <c r="W603" s="1241">
        <v>110</v>
      </c>
      <c r="X603" s="1534" t="s">
        <v>46</v>
      </c>
      <c r="Y603" s="1242"/>
      <c r="Z603" s="1143" t="s">
        <v>47</v>
      </c>
      <c r="AA603" s="1074"/>
      <c r="AB603" s="1063"/>
      <c r="AC603" s="1075"/>
      <c r="AD603" s="1091"/>
      <c r="AE603" s="1076"/>
      <c r="AF603" s="1296"/>
      <c r="AG603" s="1297"/>
      <c r="AH603" s="1298"/>
      <c r="AI603" s="1298"/>
      <c r="AJ603" s="1299"/>
      <c r="AK603" s="1300">
        <v>15000</v>
      </c>
      <c r="AL603" s="1090">
        <f>AK603*W603</f>
        <v>1650000</v>
      </c>
      <c r="AM603" s="1297"/>
      <c r="AN603" s="1297"/>
      <c r="AO603" s="1298"/>
      <c r="AP603" s="1301"/>
      <c r="AQ603" s="1298"/>
      <c r="AR603" s="1301"/>
      <c r="AS603" s="1301"/>
      <c r="AT603" s="1297"/>
      <c r="AU603" s="1299"/>
      <c r="AV603" s="1302"/>
    </row>
    <row r="604" spans="1:48" ht="16.5" customHeight="1">
      <c r="A604" s="1073"/>
      <c r="B604" s="1074"/>
      <c r="C604" s="1071"/>
      <c r="D604" s="1038"/>
      <c r="E604" s="1244"/>
      <c r="F604" s="1138"/>
      <c r="G604" s="1038"/>
      <c r="H604" s="1092"/>
      <c r="I604" s="1346"/>
      <c r="J604" s="1069"/>
      <c r="K604" s="1067"/>
      <c r="L604" s="1235"/>
      <c r="M604" s="1069"/>
      <c r="N604" s="1038"/>
      <c r="O604" s="1071"/>
      <c r="P604" s="1347"/>
      <c r="Q604" s="1213"/>
      <c r="R604" s="1074"/>
      <c r="S604" s="1074"/>
      <c r="T604" s="1075"/>
      <c r="U604" s="1254"/>
      <c r="V604" s="1355" t="s">
        <v>48</v>
      </c>
      <c r="W604" s="1241"/>
      <c r="X604" s="1534" t="s">
        <v>46</v>
      </c>
      <c r="Y604" s="1242">
        <v>70</v>
      </c>
      <c r="Z604" s="1143"/>
      <c r="AA604" s="1074"/>
      <c r="AB604" s="1063"/>
      <c r="AC604" s="1075"/>
      <c r="AD604" s="1091"/>
      <c r="AE604" s="1076"/>
      <c r="AF604" s="1296"/>
      <c r="AG604" s="1297"/>
      <c r="AH604" s="1298"/>
      <c r="AI604" s="1298"/>
      <c r="AJ604" s="1299"/>
      <c r="AK604" s="1300">
        <v>5000</v>
      </c>
      <c r="AL604" s="1090">
        <f>AK604*Y604</f>
        <v>350000</v>
      </c>
      <c r="AM604" s="1297"/>
      <c r="AN604" s="1297"/>
      <c r="AO604" s="1298"/>
      <c r="AP604" s="1301"/>
      <c r="AQ604" s="1298"/>
      <c r="AR604" s="1301"/>
      <c r="AS604" s="1301"/>
      <c r="AT604" s="1297"/>
      <c r="AU604" s="1299"/>
      <c r="AV604" s="1302"/>
    </row>
    <row r="605" spans="1:48" ht="16.2" customHeight="1">
      <c r="A605" s="1073"/>
      <c r="B605" s="1074"/>
      <c r="C605" s="1159"/>
      <c r="D605" s="1038"/>
      <c r="E605" s="1244"/>
      <c r="F605" s="1138"/>
      <c r="G605" s="1038"/>
      <c r="H605" s="1092"/>
      <c r="I605" s="1346"/>
      <c r="J605" s="1069"/>
      <c r="K605" s="1067"/>
      <c r="L605" s="1235"/>
      <c r="M605" s="1069"/>
      <c r="N605" s="1038"/>
      <c r="O605" s="1071"/>
      <c r="P605" s="1347"/>
      <c r="Q605" s="1213"/>
      <c r="R605" s="1074"/>
      <c r="S605" s="1074"/>
      <c r="T605" s="1075"/>
      <c r="U605" s="1254">
        <v>4</v>
      </c>
      <c r="V605" s="1355" t="s">
        <v>4</v>
      </c>
      <c r="W605" s="1241">
        <v>10</v>
      </c>
      <c r="X605" s="1534" t="s">
        <v>46</v>
      </c>
      <c r="Y605" s="1535" t="s">
        <v>46</v>
      </c>
      <c r="Z605" s="1360" t="s">
        <v>45</v>
      </c>
      <c r="AA605" s="1074"/>
      <c r="AB605" s="1063"/>
      <c r="AC605" s="1075"/>
      <c r="AD605" s="1091"/>
      <c r="AE605" s="1076"/>
      <c r="AF605" s="1296"/>
      <c r="AG605" s="1116"/>
      <c r="AH605" s="1298"/>
      <c r="AI605" s="1298"/>
      <c r="AJ605" s="1299"/>
      <c r="AK605" s="1300">
        <v>250</v>
      </c>
      <c r="AL605" s="1120">
        <f>AK605*W605</f>
        <v>2500</v>
      </c>
      <c r="AM605" s="1297"/>
      <c r="AN605" s="1116"/>
      <c r="AO605" s="1307"/>
      <c r="AP605" s="1310"/>
      <c r="AQ605" s="1307"/>
      <c r="AR605" s="1310"/>
      <c r="AS605" s="1310"/>
      <c r="AT605" s="1116"/>
      <c r="AU605" s="1308"/>
      <c r="AV605" s="1302"/>
    </row>
    <row r="606" spans="1:48" ht="16.5" customHeight="1">
      <c r="A606" s="1269">
        <v>45</v>
      </c>
      <c r="B606" s="1033" t="s">
        <v>25</v>
      </c>
      <c r="C606" s="1036" t="s">
        <v>44</v>
      </c>
      <c r="D606" s="1033"/>
      <c r="E606" s="1036"/>
      <c r="F606" s="1171" t="s">
        <v>43</v>
      </c>
      <c r="G606" s="1272" t="s">
        <v>25</v>
      </c>
      <c r="H606" s="1273" t="s">
        <v>42</v>
      </c>
      <c r="I606" s="1372">
        <v>1837</v>
      </c>
      <c r="J606" s="1043" t="s">
        <v>41</v>
      </c>
      <c r="K606" s="1330" t="s">
        <v>40</v>
      </c>
      <c r="L606" s="1279"/>
      <c r="M606" s="1054"/>
      <c r="N606" s="1035" t="s">
        <v>25</v>
      </c>
      <c r="O606" s="1190" t="s">
        <v>62</v>
      </c>
      <c r="P606" s="1054">
        <v>1</v>
      </c>
      <c r="Q606" s="1048">
        <v>102.85</v>
      </c>
      <c r="R606" s="1035" t="s">
        <v>25</v>
      </c>
      <c r="S606" s="1034" t="s">
        <v>24</v>
      </c>
      <c r="T606" s="1048"/>
      <c r="U606" s="1353"/>
      <c r="V606" s="1319"/>
      <c r="W606" s="1052"/>
      <c r="X606" s="1051"/>
      <c r="Y606" s="1036"/>
      <c r="Z606" s="1312"/>
      <c r="AA606" s="1034"/>
      <c r="AB606" s="1181"/>
      <c r="AC606" s="1048"/>
      <c r="AD606" s="1180"/>
      <c r="AE606" s="1049"/>
      <c r="AF606" s="1333">
        <f>Resum!F1</f>
        <v>356000</v>
      </c>
      <c r="AG606" s="1086">
        <f>AF606*I606</f>
        <v>653972000</v>
      </c>
      <c r="AH606" s="1334"/>
      <c r="AI606" s="1334"/>
      <c r="AJ606" s="1364"/>
      <c r="AK606" s="1336"/>
      <c r="AL606" s="1090"/>
      <c r="AM606" s="1337">
        <f>SUM(AL608:AL612)</f>
        <v>3408400</v>
      </c>
      <c r="AN606" s="1086">
        <f>AM606+AJ606+AG606</f>
        <v>657380400</v>
      </c>
      <c r="AO606" s="1298"/>
      <c r="AP606" s="1136">
        <v>0</v>
      </c>
      <c r="AQ606" s="1087">
        <v>0</v>
      </c>
      <c r="AR606" s="1136">
        <f>AG606*5%</f>
        <v>32698600</v>
      </c>
      <c r="AS606" s="1087">
        <f>0.5%*(AG606)*(3)</f>
        <v>9809580</v>
      </c>
      <c r="AT606" s="1086">
        <f>+AS606+AR606+AQ606+AP606+AO606</f>
        <v>42508180</v>
      </c>
      <c r="AU606" s="1137">
        <f>ROUND(AT606+AN606,-3)</f>
        <v>699889000</v>
      </c>
      <c r="AV606" s="1365"/>
    </row>
    <row r="607" spans="1:48" ht="16.5" customHeight="1">
      <c r="A607" s="1082"/>
      <c r="B607" s="1038" t="s">
        <v>16</v>
      </c>
      <c r="C607" s="1071" t="s">
        <v>39</v>
      </c>
      <c r="D607" s="1038"/>
      <c r="E607" s="1071"/>
      <c r="F607" s="1138"/>
      <c r="G607" s="1038" t="s">
        <v>16</v>
      </c>
      <c r="H607" s="1039" t="s">
        <v>22</v>
      </c>
      <c r="I607" s="1346"/>
      <c r="J607" s="1069"/>
      <c r="K607" s="1339"/>
      <c r="L607" s="1235"/>
      <c r="M607" s="1081"/>
      <c r="N607" s="1038" t="s">
        <v>16</v>
      </c>
      <c r="O607" s="1293" t="s">
        <v>21</v>
      </c>
      <c r="P607" s="1081">
        <v>1</v>
      </c>
      <c r="Q607" s="1075">
        <v>16.5</v>
      </c>
      <c r="R607" s="1074"/>
      <c r="S607" s="1074"/>
      <c r="T607" s="1075"/>
      <c r="U607" s="1184"/>
      <c r="V607" s="1185"/>
      <c r="W607" s="1079"/>
      <c r="X607" s="1078"/>
      <c r="Y607" s="1039"/>
      <c r="Z607" s="1183"/>
      <c r="AA607" s="1074"/>
      <c r="AB607" s="1063"/>
      <c r="AC607" s="1075"/>
      <c r="AD607" s="1091"/>
      <c r="AE607" s="1076"/>
      <c r="AF607" s="1296"/>
      <c r="AG607" s="1297"/>
      <c r="AH607" s="1298"/>
      <c r="AI607" s="1298"/>
      <c r="AJ607" s="1299"/>
      <c r="AK607" s="1300"/>
      <c r="AL607" s="1090"/>
      <c r="AM607" s="1297"/>
      <c r="AN607" s="1297"/>
      <c r="AO607" s="1298"/>
      <c r="AP607" s="1301"/>
      <c r="AQ607" s="1298"/>
      <c r="AR607" s="1301"/>
      <c r="AS607" s="1301"/>
      <c r="AT607" s="1297"/>
      <c r="AU607" s="1299"/>
      <c r="AV607" s="1302"/>
    </row>
    <row r="608" spans="1:48" ht="16.5" customHeight="1">
      <c r="A608" s="1082"/>
      <c r="B608" s="1038" t="s">
        <v>18</v>
      </c>
      <c r="C608" s="1039" t="s">
        <v>38</v>
      </c>
      <c r="D608" s="1038"/>
      <c r="E608" s="1039"/>
      <c r="F608" s="1138"/>
      <c r="G608" s="1038" t="s">
        <v>18</v>
      </c>
      <c r="H608" s="1039" t="s">
        <v>19</v>
      </c>
      <c r="I608" s="1346"/>
      <c r="J608" s="1069"/>
      <c r="K608" s="1339"/>
      <c r="L608" s="1235"/>
      <c r="M608" s="1081"/>
      <c r="N608" s="1038" t="s">
        <v>18</v>
      </c>
      <c r="O608" s="1293" t="s">
        <v>59</v>
      </c>
      <c r="P608" s="1081">
        <v>1</v>
      </c>
      <c r="Q608" s="1075">
        <v>12.5</v>
      </c>
      <c r="R608" s="1074" t="s">
        <v>16</v>
      </c>
      <c r="S608" s="1074" t="s">
        <v>15</v>
      </c>
      <c r="T608" s="1075">
        <v>4</v>
      </c>
      <c r="U608" s="1254">
        <v>1</v>
      </c>
      <c r="V608" s="1355" t="s">
        <v>14</v>
      </c>
      <c r="W608" s="1534">
        <v>8</v>
      </c>
      <c r="X608" s="1241">
        <v>0</v>
      </c>
      <c r="Y608" s="1242">
        <v>0</v>
      </c>
      <c r="Z608" s="1143">
        <v>8</v>
      </c>
      <c r="AA608" s="1074"/>
      <c r="AB608" s="1063"/>
      <c r="AC608" s="1075"/>
      <c r="AD608" s="1091"/>
      <c r="AE608" s="1076"/>
      <c r="AF608" s="1296"/>
      <c r="AG608" s="1297"/>
      <c r="AH608" s="1087">
        <v>0</v>
      </c>
      <c r="AI608" s="1298"/>
      <c r="AJ608" s="1299"/>
      <c r="AK608" s="1089">
        <v>350000</v>
      </c>
      <c r="AL608" s="1087">
        <f t="shared" si="42"/>
        <v>2800000</v>
      </c>
      <c r="AM608" s="1297"/>
      <c r="AN608" s="1297"/>
      <c r="AO608" s="1298"/>
      <c r="AP608" s="1301"/>
      <c r="AQ608" s="1298"/>
      <c r="AR608" s="1301"/>
      <c r="AS608" s="1301"/>
      <c r="AT608" s="1297"/>
      <c r="AU608" s="1299"/>
      <c r="AV608" s="1302"/>
    </row>
    <row r="609" spans="1:48" ht="49.5" customHeight="1">
      <c r="A609" s="1082"/>
      <c r="B609" s="1082" t="s">
        <v>12</v>
      </c>
      <c r="C609" s="1083" t="s">
        <v>37</v>
      </c>
      <c r="D609" s="1038"/>
      <c r="E609" s="1083"/>
      <c r="F609" s="1138"/>
      <c r="G609" s="1038"/>
      <c r="H609" s="1092"/>
      <c r="I609" s="1346"/>
      <c r="J609" s="1069"/>
      <c r="K609" s="1339"/>
      <c r="L609" s="1235"/>
      <c r="M609" s="1081"/>
      <c r="N609" s="1038" t="s">
        <v>12</v>
      </c>
      <c r="O609" s="1293" t="s">
        <v>1982</v>
      </c>
      <c r="P609" s="1081">
        <v>1</v>
      </c>
      <c r="Q609" s="1075">
        <v>3</v>
      </c>
      <c r="R609" s="1074"/>
      <c r="S609" s="1074"/>
      <c r="T609" s="1075"/>
      <c r="U609" s="1254">
        <v>2</v>
      </c>
      <c r="V609" s="1355" t="s">
        <v>36</v>
      </c>
      <c r="W609" s="1534">
        <v>2</v>
      </c>
      <c r="X609" s="1241">
        <v>0</v>
      </c>
      <c r="Y609" s="1242">
        <v>0</v>
      </c>
      <c r="Z609" s="1143">
        <v>2</v>
      </c>
      <c r="AA609" s="1074"/>
      <c r="AB609" s="1063"/>
      <c r="AC609" s="1075"/>
      <c r="AD609" s="1091"/>
      <c r="AE609" s="1076"/>
      <c r="AF609" s="1296"/>
      <c r="AG609" s="1297"/>
      <c r="AH609" s="1298"/>
      <c r="AI609" s="1298"/>
      <c r="AJ609" s="1299"/>
      <c r="AK609" s="1300">
        <v>150000</v>
      </c>
      <c r="AL609" s="1090">
        <f t="shared" si="42"/>
        <v>300000</v>
      </c>
      <c r="AM609" s="1297"/>
      <c r="AN609" s="1297"/>
      <c r="AO609" s="1298"/>
      <c r="AP609" s="1301"/>
      <c r="AQ609" s="1298"/>
      <c r="AR609" s="1301"/>
      <c r="AS609" s="1301"/>
      <c r="AT609" s="1297"/>
      <c r="AU609" s="1299"/>
      <c r="AV609" s="1302"/>
    </row>
    <row r="610" spans="1:48" ht="16.5" customHeight="1">
      <c r="A610" s="1082"/>
      <c r="B610" s="1038" t="s">
        <v>8</v>
      </c>
      <c r="C610" s="1244" t="s">
        <v>35</v>
      </c>
      <c r="D610" s="1038"/>
      <c r="E610" s="1083"/>
      <c r="F610" s="1138"/>
      <c r="G610" s="1038"/>
      <c r="H610" s="1092"/>
      <c r="I610" s="1346"/>
      <c r="J610" s="1069"/>
      <c r="K610" s="1339"/>
      <c r="L610" s="1235"/>
      <c r="M610" s="1081"/>
      <c r="N610" s="1038" t="s">
        <v>8</v>
      </c>
      <c r="O610" s="1293" t="s">
        <v>17</v>
      </c>
      <c r="P610" s="1081">
        <v>1</v>
      </c>
      <c r="Q610" s="1075"/>
      <c r="R610" s="1074"/>
      <c r="S610" s="1074"/>
      <c r="T610" s="1075"/>
      <c r="U610" s="1254">
        <v>3</v>
      </c>
      <c r="V610" s="1355" t="s">
        <v>34</v>
      </c>
      <c r="W610" s="1241">
        <v>0</v>
      </c>
      <c r="X610" s="1534">
        <v>1</v>
      </c>
      <c r="Y610" s="1535">
        <v>0</v>
      </c>
      <c r="Z610" s="1143">
        <v>1</v>
      </c>
      <c r="AA610" s="1074"/>
      <c r="AB610" s="1063"/>
      <c r="AC610" s="1075"/>
      <c r="AD610" s="1091"/>
      <c r="AE610" s="1076"/>
      <c r="AF610" s="1296"/>
      <c r="AG610" s="1297"/>
      <c r="AH610" s="1298"/>
      <c r="AI610" s="1298"/>
      <c r="AJ610" s="1299"/>
      <c r="AK610" s="1089">
        <v>82500</v>
      </c>
      <c r="AL610" s="1090">
        <f>AK610*X610</f>
        <v>82500</v>
      </c>
      <c r="AM610" s="1297"/>
      <c r="AN610" s="1297"/>
      <c r="AO610" s="1298"/>
      <c r="AP610" s="1301"/>
      <c r="AQ610" s="1298"/>
      <c r="AR610" s="1301"/>
      <c r="AS610" s="1301"/>
      <c r="AT610" s="1297"/>
      <c r="AU610" s="1299"/>
      <c r="AV610" s="1302"/>
    </row>
    <row r="611" spans="1:48" ht="16.5" customHeight="1">
      <c r="A611" s="1082"/>
      <c r="B611" s="1082"/>
      <c r="C611" s="1083"/>
      <c r="D611" s="1038"/>
      <c r="E611" s="1083"/>
      <c r="F611" s="1138"/>
      <c r="G611" s="1038"/>
      <c r="H611" s="1092"/>
      <c r="I611" s="1346"/>
      <c r="J611" s="1069"/>
      <c r="K611" s="1339"/>
      <c r="L611" s="1235"/>
      <c r="M611" s="1081"/>
      <c r="N611" s="1038" t="s">
        <v>54</v>
      </c>
      <c r="O611" s="1293" t="s">
        <v>11</v>
      </c>
      <c r="P611" s="1081">
        <v>1</v>
      </c>
      <c r="Q611" s="1075"/>
      <c r="R611" s="1074"/>
      <c r="S611" s="1074"/>
      <c r="T611" s="1075"/>
      <c r="U611" s="1254">
        <v>4</v>
      </c>
      <c r="V611" s="1355" t="s">
        <v>33</v>
      </c>
      <c r="W611" s="1241">
        <v>2</v>
      </c>
      <c r="X611" s="1534">
        <v>0</v>
      </c>
      <c r="Y611" s="1242">
        <v>0</v>
      </c>
      <c r="Z611" s="1143">
        <v>2</v>
      </c>
      <c r="AA611" s="1074"/>
      <c r="AB611" s="1063"/>
      <c r="AC611" s="1075"/>
      <c r="AD611" s="1091"/>
      <c r="AE611" s="1076"/>
      <c r="AF611" s="1296"/>
      <c r="AG611" s="1297"/>
      <c r="AH611" s="1298"/>
      <c r="AI611" s="1298"/>
      <c r="AJ611" s="1299"/>
      <c r="AK611" s="1089">
        <v>75000</v>
      </c>
      <c r="AL611" s="1090">
        <f t="shared" si="42"/>
        <v>150000</v>
      </c>
      <c r="AM611" s="1297"/>
      <c r="AN611" s="1297"/>
      <c r="AO611" s="1298"/>
      <c r="AP611" s="1301"/>
      <c r="AQ611" s="1298"/>
      <c r="AR611" s="1301"/>
      <c r="AS611" s="1301"/>
      <c r="AT611" s="1297"/>
      <c r="AU611" s="1299"/>
      <c r="AV611" s="1302"/>
    </row>
    <row r="612" spans="1:48" ht="16.5" customHeight="1">
      <c r="A612" s="1082"/>
      <c r="B612" s="1082"/>
      <c r="C612" s="1083"/>
      <c r="D612" s="1038"/>
      <c r="E612" s="1083"/>
      <c r="F612" s="1138"/>
      <c r="G612" s="1038"/>
      <c r="H612" s="1092"/>
      <c r="I612" s="1346"/>
      <c r="J612" s="1069"/>
      <c r="K612" s="1339"/>
      <c r="L612" s="1235"/>
      <c r="M612" s="1081"/>
      <c r="N612" s="1038" t="s">
        <v>53</v>
      </c>
      <c r="O612" s="1293" t="s">
        <v>1314</v>
      </c>
      <c r="P612" s="1081">
        <v>1</v>
      </c>
      <c r="Q612" s="1075">
        <v>147</v>
      </c>
      <c r="R612" s="1074"/>
      <c r="S612" s="1074"/>
      <c r="T612" s="1075"/>
      <c r="U612" s="1254">
        <v>5</v>
      </c>
      <c r="V612" s="1355" t="s">
        <v>32</v>
      </c>
      <c r="W612" s="1241">
        <v>3</v>
      </c>
      <c r="X612" s="1534">
        <v>0</v>
      </c>
      <c r="Y612" s="1535">
        <v>0</v>
      </c>
      <c r="Z612" s="1143">
        <v>3</v>
      </c>
      <c r="AA612" s="1074"/>
      <c r="AB612" s="1063"/>
      <c r="AC612" s="1075"/>
      <c r="AD612" s="1091"/>
      <c r="AE612" s="1076"/>
      <c r="AF612" s="1296"/>
      <c r="AG612" s="1297"/>
      <c r="AH612" s="1298"/>
      <c r="AI612" s="1298"/>
      <c r="AJ612" s="1299"/>
      <c r="AK612" s="1300">
        <v>25300</v>
      </c>
      <c r="AL612" s="1090">
        <f t="shared" si="42"/>
        <v>75900</v>
      </c>
      <c r="AM612" s="1297"/>
      <c r="AN612" s="1297"/>
      <c r="AO612" s="1298"/>
      <c r="AP612" s="1301"/>
      <c r="AQ612" s="1298"/>
      <c r="AR612" s="1301"/>
      <c r="AS612" s="1301"/>
      <c r="AT612" s="1297"/>
      <c r="AU612" s="1299"/>
      <c r="AV612" s="1302"/>
    </row>
    <row r="613" spans="1:48" ht="16.5" customHeight="1">
      <c r="A613" s="1098"/>
      <c r="B613" s="1095"/>
      <c r="C613" s="1148"/>
      <c r="D613" s="1095"/>
      <c r="E613" s="1148"/>
      <c r="F613" s="1150"/>
      <c r="G613" s="1095"/>
      <c r="H613" s="1099"/>
      <c r="I613" s="1349"/>
      <c r="J613" s="1103"/>
      <c r="K613" s="1342"/>
      <c r="L613" s="1287"/>
      <c r="M613" s="1113"/>
      <c r="N613" s="1095"/>
      <c r="O613" s="1105"/>
      <c r="P613" s="1151"/>
      <c r="Q613" s="1107"/>
      <c r="R613" s="1074"/>
      <c r="S613" s="1074"/>
      <c r="T613" s="1075"/>
      <c r="U613" s="1184"/>
      <c r="V613" s="1185"/>
      <c r="W613" s="1140"/>
      <c r="X613" s="1141"/>
      <c r="Y613" s="1142"/>
      <c r="Z613" s="1143"/>
      <c r="AA613" s="1094"/>
      <c r="AB613" s="1167"/>
      <c r="AC613" s="1168"/>
      <c r="AD613" s="1109"/>
      <c r="AE613" s="1108"/>
      <c r="AF613" s="1305"/>
      <c r="AG613" s="1306"/>
      <c r="AH613" s="1307"/>
      <c r="AI613" s="1307"/>
      <c r="AJ613" s="1308"/>
      <c r="AK613" s="1309"/>
      <c r="AL613" s="1120"/>
      <c r="AM613" s="1306"/>
      <c r="AN613" s="1306"/>
      <c r="AO613" s="1307"/>
      <c r="AP613" s="1310"/>
      <c r="AQ613" s="1307"/>
      <c r="AR613" s="1310"/>
      <c r="AS613" s="1310"/>
      <c r="AT613" s="1306"/>
      <c r="AU613" s="1308"/>
      <c r="AV613" s="1311"/>
    </row>
    <row r="614" spans="1:48" ht="16.5" customHeight="1">
      <c r="A614" s="1269">
        <v>46</v>
      </c>
      <c r="B614" s="1033" t="s">
        <v>25</v>
      </c>
      <c r="C614" s="1036" t="s">
        <v>31</v>
      </c>
      <c r="D614" s="1033"/>
      <c r="E614" s="1036"/>
      <c r="F614" s="1171" t="s">
        <v>30</v>
      </c>
      <c r="G614" s="1272" t="s">
        <v>25</v>
      </c>
      <c r="H614" s="1273" t="s">
        <v>29</v>
      </c>
      <c r="I614" s="1372">
        <v>236</v>
      </c>
      <c r="J614" s="1043" t="s">
        <v>28</v>
      </c>
      <c r="K614" s="1330" t="s">
        <v>27</v>
      </c>
      <c r="L614" s="1279"/>
      <c r="M614" s="1043"/>
      <c r="N614" s="1035" t="s">
        <v>25</v>
      </c>
      <c r="O614" s="1190" t="s">
        <v>26</v>
      </c>
      <c r="P614" s="1344">
        <v>1</v>
      </c>
      <c r="Q614" s="1212">
        <v>130</v>
      </c>
      <c r="R614" s="1035" t="s">
        <v>25</v>
      </c>
      <c r="S614" s="1034" t="s">
        <v>24</v>
      </c>
      <c r="T614" s="1048"/>
      <c r="U614" s="1353"/>
      <c r="V614" s="1319"/>
      <c r="W614" s="1052"/>
      <c r="X614" s="1051"/>
      <c r="Y614" s="1036"/>
      <c r="Z614" s="1312"/>
      <c r="AA614" s="1034"/>
      <c r="AB614" s="1181"/>
      <c r="AC614" s="1048"/>
      <c r="AD614" s="1180"/>
      <c r="AE614" s="1049"/>
      <c r="AF614" s="1333">
        <f>Resum!F1*1.1</f>
        <v>391600.00000000006</v>
      </c>
      <c r="AG614" s="1086">
        <f>AF614*I614</f>
        <v>92417600.000000015</v>
      </c>
      <c r="AH614" s="1334">
        <v>1800000</v>
      </c>
      <c r="AI614" s="1087">
        <f>AH614*Q614*0.9</f>
        <v>210600000</v>
      </c>
      <c r="AJ614" s="1335">
        <f>SUM(AI614:AI625)</f>
        <v>229140000</v>
      </c>
      <c r="AK614" s="1336"/>
      <c r="AL614" s="1090"/>
      <c r="AM614" s="1337">
        <f>SUM(AL614:AL624)</f>
        <v>3261500</v>
      </c>
      <c r="AN614" s="1086">
        <f>AM614+AJ614+AG614</f>
        <v>324819100</v>
      </c>
      <c r="AO614" s="1334"/>
      <c r="AP614" s="1136">
        <f>(AG614+AI614)*15%</f>
        <v>45452640</v>
      </c>
      <c r="AQ614" s="1087">
        <f>(AG614+AI614)*1%</f>
        <v>3030176</v>
      </c>
      <c r="AR614" s="1136">
        <f>(AG614+AI614)*5%</f>
        <v>15150880</v>
      </c>
      <c r="AS614" s="1087">
        <f>0.5%*(AG614+AI614)*(3)</f>
        <v>4545264</v>
      </c>
      <c r="AT614" s="1086">
        <f>+AS614+AR614+AQ614+AP614+AO614</f>
        <v>68178960</v>
      </c>
      <c r="AU614" s="1137">
        <f>ROUND(AT614+AN614,-3)</f>
        <v>392998000</v>
      </c>
      <c r="AV614" s="1365"/>
    </row>
    <row r="615" spans="1:48" ht="16.5" customHeight="1">
      <c r="A615" s="1082"/>
      <c r="B615" s="1038" t="s">
        <v>16</v>
      </c>
      <c r="C615" s="1071" t="s">
        <v>23</v>
      </c>
      <c r="D615" s="1038"/>
      <c r="E615" s="1071"/>
      <c r="F615" s="1138"/>
      <c r="G615" s="1038" t="s">
        <v>16</v>
      </c>
      <c r="H615" s="1039" t="s">
        <v>22</v>
      </c>
      <c r="I615" s="1346"/>
      <c r="J615" s="1069"/>
      <c r="K615" s="1339"/>
      <c r="L615" s="1235"/>
      <c r="M615" s="1069"/>
      <c r="N615" s="1038" t="s">
        <v>16</v>
      </c>
      <c r="O615" s="1293" t="s">
        <v>21</v>
      </c>
      <c r="P615" s="1347">
        <v>1</v>
      </c>
      <c r="Q615" s="1213">
        <v>17</v>
      </c>
      <c r="R615" s="1074"/>
      <c r="S615" s="1074"/>
      <c r="T615" s="1075">
        <v>4</v>
      </c>
      <c r="U615" s="1254">
        <v>1</v>
      </c>
      <c r="V615" s="1355" t="s">
        <v>14</v>
      </c>
      <c r="W615" s="1534">
        <v>6</v>
      </c>
      <c r="X615" s="1241">
        <v>0</v>
      </c>
      <c r="Y615" s="1242">
        <v>0</v>
      </c>
      <c r="Z615" s="1183"/>
      <c r="AA615" s="1074"/>
      <c r="AB615" s="1063"/>
      <c r="AC615" s="1075"/>
      <c r="AD615" s="1091"/>
      <c r="AE615" s="1076"/>
      <c r="AF615" s="1296"/>
      <c r="AG615" s="1297"/>
      <c r="AH615" s="1298">
        <v>250000</v>
      </c>
      <c r="AI615" s="1087">
        <f>AH615*Q615*0.7</f>
        <v>2975000</v>
      </c>
      <c r="AJ615" s="1299"/>
      <c r="AK615" s="1089">
        <v>350000</v>
      </c>
      <c r="AL615" s="1087">
        <f>AK615*W608</f>
        <v>2800000</v>
      </c>
      <c r="AM615" s="1297"/>
      <c r="AN615" s="1297"/>
      <c r="AO615" s="1298"/>
      <c r="AP615" s="1301"/>
      <c r="AQ615" s="1298"/>
      <c r="AR615" s="1301"/>
      <c r="AS615" s="1301"/>
      <c r="AT615" s="1297"/>
      <c r="AU615" s="1299"/>
      <c r="AV615" s="1302"/>
    </row>
    <row r="616" spans="1:48" ht="16.5" customHeight="1">
      <c r="A616" s="1082"/>
      <c r="B616" s="1038" t="s">
        <v>18</v>
      </c>
      <c r="C616" s="1039" t="s">
        <v>20</v>
      </c>
      <c r="D616" s="1038"/>
      <c r="E616" s="1039"/>
      <c r="F616" s="1138"/>
      <c r="G616" s="1038" t="s">
        <v>18</v>
      </c>
      <c r="H616" s="1039" t="s">
        <v>19</v>
      </c>
      <c r="I616" s="1346"/>
      <c r="J616" s="1069"/>
      <c r="K616" s="1339"/>
      <c r="L616" s="1235"/>
      <c r="M616" s="1069"/>
      <c r="N616" s="1038" t="s">
        <v>18</v>
      </c>
      <c r="O616" s="1293" t="s">
        <v>17</v>
      </c>
      <c r="P616" s="1347">
        <v>1</v>
      </c>
      <c r="Q616" s="1213"/>
      <c r="R616" s="1074" t="s">
        <v>16</v>
      </c>
      <c r="S616" s="1074" t="s">
        <v>15</v>
      </c>
      <c r="T616" s="1075"/>
      <c r="U616" s="1254">
        <v>2</v>
      </c>
      <c r="V616" s="1355" t="s">
        <v>10</v>
      </c>
      <c r="W616" s="1534">
        <v>2</v>
      </c>
      <c r="X616" s="1241">
        <v>0</v>
      </c>
      <c r="Y616" s="1242">
        <v>0</v>
      </c>
      <c r="Z616" s="1143">
        <f>SUM(W615:Y615)</f>
        <v>6</v>
      </c>
      <c r="AA616" s="1074"/>
      <c r="AB616" s="1063"/>
      <c r="AC616" s="1075"/>
      <c r="AD616" s="1091"/>
      <c r="AE616" s="1076"/>
      <c r="AF616" s="1296"/>
      <c r="AG616" s="1297"/>
      <c r="AH616" s="1298">
        <v>2500000</v>
      </c>
      <c r="AI616" s="1087">
        <f>AH616*P616*0.5</f>
        <v>1250000</v>
      </c>
      <c r="AJ616" s="1299"/>
      <c r="AK616" s="1089">
        <v>50000</v>
      </c>
      <c r="AL616" s="1090">
        <f>AK616*W615</f>
        <v>300000</v>
      </c>
      <c r="AM616" s="1297"/>
      <c r="AN616" s="1297"/>
      <c r="AO616" s="1298"/>
      <c r="AP616" s="1301"/>
      <c r="AQ616" s="1298"/>
      <c r="AR616" s="1301"/>
      <c r="AS616" s="1301"/>
      <c r="AT616" s="1297"/>
      <c r="AU616" s="1299"/>
      <c r="AV616" s="1302"/>
    </row>
    <row r="617" spans="1:48" ht="49.5" customHeight="1">
      <c r="A617" s="1082"/>
      <c r="B617" s="1082" t="s">
        <v>12</v>
      </c>
      <c r="C617" s="1083" t="s">
        <v>13</v>
      </c>
      <c r="D617" s="1082"/>
      <c r="E617" s="1083"/>
      <c r="F617" s="1138"/>
      <c r="G617" s="1038"/>
      <c r="H617" s="1092"/>
      <c r="I617" s="1346"/>
      <c r="J617" s="1069"/>
      <c r="K617" s="1339"/>
      <c r="L617" s="1235"/>
      <c r="M617" s="1069"/>
      <c r="N617" s="1038" t="s">
        <v>12</v>
      </c>
      <c r="O617" s="1293" t="s">
        <v>11</v>
      </c>
      <c r="P617" s="1347">
        <v>1</v>
      </c>
      <c r="Q617" s="1213"/>
      <c r="R617" s="1074"/>
      <c r="S617" s="1074"/>
      <c r="T617" s="1075"/>
      <c r="U617" s="1254">
        <v>3</v>
      </c>
      <c r="V617" s="1355" t="s">
        <v>6</v>
      </c>
      <c r="W617" s="1241">
        <v>2</v>
      </c>
      <c r="X617" s="1534"/>
      <c r="Y617" s="1536">
        <v>0</v>
      </c>
      <c r="Z617" s="1143">
        <f>SUM(W616:Y616)</f>
        <v>2</v>
      </c>
      <c r="AA617" s="1074"/>
      <c r="AB617" s="1063"/>
      <c r="AC617" s="1075"/>
      <c r="AD617" s="1091"/>
      <c r="AE617" s="1076"/>
      <c r="AF617" s="1296"/>
      <c r="AG617" s="1297"/>
      <c r="AH617" s="1298">
        <v>2500000</v>
      </c>
      <c r="AI617" s="1087">
        <f>AH617*P617*0.75</f>
        <v>1875000</v>
      </c>
      <c r="AJ617" s="1299"/>
      <c r="AK617" s="1300">
        <v>10000</v>
      </c>
      <c r="AL617" s="1090">
        <f>AK617*W616</f>
        <v>20000</v>
      </c>
      <c r="AM617" s="1297"/>
      <c r="AN617" s="1297"/>
      <c r="AO617" s="1298"/>
      <c r="AP617" s="1301"/>
      <c r="AQ617" s="1298"/>
      <c r="AR617" s="1301"/>
      <c r="AS617" s="1301"/>
      <c r="AT617" s="1297"/>
      <c r="AU617" s="1299"/>
      <c r="AV617" s="1302"/>
    </row>
    <row r="618" spans="1:48" ht="16.5" customHeight="1">
      <c r="A618" s="1082"/>
      <c r="B618" s="1082" t="s">
        <v>8</v>
      </c>
      <c r="C618" s="1083" t="s">
        <v>9</v>
      </c>
      <c r="D618" s="1082"/>
      <c r="E618" s="1083"/>
      <c r="F618" s="1138"/>
      <c r="G618" s="1038"/>
      <c r="H618" s="1092"/>
      <c r="I618" s="1346"/>
      <c r="J618" s="1069"/>
      <c r="K618" s="1339"/>
      <c r="L618" s="1235"/>
      <c r="M618" s="1069"/>
      <c r="N618" s="1038" t="s">
        <v>8</v>
      </c>
      <c r="O618" s="1293" t="s">
        <v>7</v>
      </c>
      <c r="P618" s="1347"/>
      <c r="Q618" s="1213">
        <v>62.2</v>
      </c>
      <c r="R618" s="1074"/>
      <c r="S618" s="1074"/>
      <c r="T618" s="1075"/>
      <c r="U618" s="1254"/>
      <c r="V618" s="1355" t="s">
        <v>6</v>
      </c>
      <c r="W618" s="1241"/>
      <c r="X618" s="1534">
        <v>1</v>
      </c>
      <c r="Y618" s="1536">
        <v>0</v>
      </c>
      <c r="Z618" s="1143">
        <f t="shared" ref="Z618:Z625" si="46">SUM(W618:Y618)</f>
        <v>1</v>
      </c>
      <c r="AA618" s="1074"/>
      <c r="AB618" s="1063"/>
      <c r="AC618" s="1075"/>
      <c r="AD618" s="1091"/>
      <c r="AE618" s="1076"/>
      <c r="AF618" s="1296"/>
      <c r="AG618" s="1297"/>
      <c r="AH618" s="1298">
        <v>400000</v>
      </c>
      <c r="AI618" s="1087">
        <f t="shared" ref="AI618" si="47">AH618*Q618*0.5</f>
        <v>12440000</v>
      </c>
      <c r="AJ618" s="1299"/>
      <c r="AK618" s="1300">
        <v>5000</v>
      </c>
      <c r="AL618" s="1090">
        <f>AK618*X618</f>
        <v>5000</v>
      </c>
      <c r="AM618" s="1297"/>
      <c r="AN618" s="1297"/>
      <c r="AO618" s="1298"/>
      <c r="AP618" s="1301"/>
      <c r="AQ618" s="1298"/>
      <c r="AR618" s="1301"/>
      <c r="AS618" s="1301"/>
      <c r="AT618" s="1297"/>
      <c r="AU618" s="1299"/>
      <c r="AV618" s="1302"/>
    </row>
    <row r="619" spans="1:48" ht="16.5" customHeight="1">
      <c r="A619" s="1082"/>
      <c r="B619" s="1082"/>
      <c r="C619" s="1083"/>
      <c r="D619" s="1082"/>
      <c r="E619" s="1083"/>
      <c r="F619" s="1138"/>
      <c r="G619" s="1038"/>
      <c r="H619" s="1092"/>
      <c r="I619" s="1346"/>
      <c r="J619" s="1069"/>
      <c r="K619" s="1339"/>
      <c r="L619" s="1235"/>
      <c r="M619" s="1069"/>
      <c r="N619" s="1038"/>
      <c r="O619" s="1071"/>
      <c r="P619" s="1347"/>
      <c r="Q619" s="1213"/>
      <c r="R619" s="1074"/>
      <c r="S619" s="1074"/>
      <c r="T619" s="1075"/>
      <c r="U619" s="1537">
        <v>4</v>
      </c>
      <c r="V619" s="1355" t="s">
        <v>5</v>
      </c>
      <c r="W619" s="1241">
        <v>4</v>
      </c>
      <c r="X619" s="1534">
        <v>0</v>
      </c>
      <c r="Y619" s="1535">
        <v>0</v>
      </c>
      <c r="Z619" s="1143">
        <f t="shared" si="46"/>
        <v>4</v>
      </c>
      <c r="AA619" s="1074"/>
      <c r="AB619" s="1063"/>
      <c r="AC619" s="1075"/>
      <c r="AD619" s="1091"/>
      <c r="AE619" s="1076"/>
      <c r="AF619" s="1296"/>
      <c r="AG619" s="1297"/>
      <c r="AH619" s="1298"/>
      <c r="AI619" s="1298"/>
      <c r="AJ619" s="1299"/>
      <c r="AK619" s="1300"/>
      <c r="AL619" s="1090">
        <f>AK619*W619</f>
        <v>0</v>
      </c>
      <c r="AM619" s="1297"/>
      <c r="AN619" s="1297"/>
      <c r="AO619" s="1298"/>
      <c r="AP619" s="1301"/>
      <c r="AQ619" s="1298"/>
      <c r="AR619" s="1301"/>
      <c r="AS619" s="1301"/>
      <c r="AT619" s="1297"/>
      <c r="AU619" s="1299"/>
      <c r="AV619" s="1302"/>
    </row>
    <row r="620" spans="1:48" ht="16.5" customHeight="1">
      <c r="A620" s="1082"/>
      <c r="B620" s="1082"/>
      <c r="C620" s="1083"/>
      <c r="D620" s="1082"/>
      <c r="E620" s="1083"/>
      <c r="F620" s="1138"/>
      <c r="G620" s="1038"/>
      <c r="H620" s="1092"/>
      <c r="I620" s="1346"/>
      <c r="J620" s="1069"/>
      <c r="K620" s="1339"/>
      <c r="L620" s="1235"/>
      <c r="M620" s="1069"/>
      <c r="N620" s="1038"/>
      <c r="O620" s="1071"/>
      <c r="P620" s="1347"/>
      <c r="Q620" s="1213"/>
      <c r="R620" s="1074"/>
      <c r="S620" s="1074"/>
      <c r="T620" s="1075"/>
      <c r="U620" s="1537">
        <v>5</v>
      </c>
      <c r="V620" s="1355" t="s">
        <v>4</v>
      </c>
      <c r="W620" s="1241">
        <v>1</v>
      </c>
      <c r="X620" s="1534">
        <v>0</v>
      </c>
      <c r="Y620" s="1535">
        <v>0</v>
      </c>
      <c r="Z620" s="1143">
        <f t="shared" si="46"/>
        <v>1</v>
      </c>
      <c r="AA620" s="1074"/>
      <c r="AB620" s="1063"/>
      <c r="AC620" s="1075"/>
      <c r="AD620" s="1091"/>
      <c r="AE620" s="1076"/>
      <c r="AF620" s="1296"/>
      <c r="AG620" s="1297"/>
      <c r="AH620" s="1298"/>
      <c r="AI620" s="1298"/>
      <c r="AJ620" s="1299"/>
      <c r="AK620" s="1300">
        <v>250</v>
      </c>
      <c r="AL620" s="1090">
        <f t="shared" ref="AL620:AL682" si="48">AK620*W620</f>
        <v>250</v>
      </c>
      <c r="AM620" s="1297"/>
      <c r="AN620" s="1297"/>
      <c r="AO620" s="1298"/>
      <c r="AP620" s="1301"/>
      <c r="AQ620" s="1298"/>
      <c r="AR620" s="1301"/>
      <c r="AS620" s="1301"/>
      <c r="AT620" s="1297"/>
      <c r="AU620" s="1299"/>
      <c r="AV620" s="1302"/>
    </row>
    <row r="621" spans="1:48" ht="16.5" customHeight="1">
      <c r="A621" s="1082"/>
      <c r="B621" s="1082"/>
      <c r="C621" s="1083"/>
      <c r="D621" s="1082"/>
      <c r="E621" s="1083"/>
      <c r="F621" s="1138"/>
      <c r="G621" s="1038"/>
      <c r="H621" s="1092"/>
      <c r="I621" s="1346"/>
      <c r="J621" s="1069"/>
      <c r="K621" s="1339"/>
      <c r="L621" s="1235"/>
      <c r="M621" s="1069"/>
      <c r="N621" s="1038"/>
      <c r="O621" s="1071"/>
      <c r="P621" s="1347"/>
      <c r="Q621" s="1213"/>
      <c r="R621" s="1074"/>
      <c r="S621" s="1074"/>
      <c r="T621" s="1075"/>
      <c r="U621" s="1537">
        <v>6</v>
      </c>
      <c r="V621" s="1355" t="s">
        <v>3</v>
      </c>
      <c r="W621" s="1241">
        <v>1</v>
      </c>
      <c r="X621" s="1534">
        <v>0</v>
      </c>
      <c r="Y621" s="1535">
        <v>0</v>
      </c>
      <c r="Z621" s="1143">
        <f t="shared" si="46"/>
        <v>1</v>
      </c>
      <c r="AA621" s="1074"/>
      <c r="AB621" s="1063"/>
      <c r="AC621" s="1075"/>
      <c r="AD621" s="1091"/>
      <c r="AE621" s="1076"/>
      <c r="AF621" s="1296"/>
      <c r="AG621" s="1297"/>
      <c r="AH621" s="1298"/>
      <c r="AI621" s="1298"/>
      <c r="AJ621" s="1299"/>
      <c r="AK621" s="1089">
        <v>85000</v>
      </c>
      <c r="AL621" s="1090">
        <f t="shared" si="48"/>
        <v>85000</v>
      </c>
      <c r="AM621" s="1297"/>
      <c r="AN621" s="1297"/>
      <c r="AO621" s="1298"/>
      <c r="AP621" s="1301"/>
      <c r="AQ621" s="1298"/>
      <c r="AR621" s="1301"/>
      <c r="AS621" s="1301"/>
      <c r="AT621" s="1297"/>
      <c r="AU621" s="1299"/>
      <c r="AV621" s="1302"/>
    </row>
    <row r="622" spans="1:48" ht="16.5" customHeight="1">
      <c r="A622" s="1082"/>
      <c r="B622" s="1082"/>
      <c r="C622" s="1083"/>
      <c r="D622" s="1082"/>
      <c r="E622" s="1083"/>
      <c r="F622" s="1138"/>
      <c r="G622" s="1038"/>
      <c r="H622" s="1092"/>
      <c r="I622" s="1346"/>
      <c r="J622" s="1069"/>
      <c r="K622" s="1339"/>
      <c r="L622" s="1235"/>
      <c r="M622" s="1069"/>
      <c r="N622" s="1038"/>
      <c r="O622" s="1071"/>
      <c r="P622" s="1347"/>
      <c r="Q622" s="1213"/>
      <c r="R622" s="1074"/>
      <c r="S622" s="1074"/>
      <c r="T622" s="1075"/>
      <c r="U622" s="1537">
        <v>7</v>
      </c>
      <c r="V622" s="1355" t="s">
        <v>2</v>
      </c>
      <c r="W622" s="1241">
        <v>0</v>
      </c>
      <c r="X622" s="1534">
        <v>3</v>
      </c>
      <c r="Y622" s="1535">
        <v>0</v>
      </c>
      <c r="Z622" s="1143">
        <f t="shared" si="46"/>
        <v>3</v>
      </c>
      <c r="AA622" s="1074"/>
      <c r="AB622" s="1063"/>
      <c r="AC622" s="1075"/>
      <c r="AD622" s="1091"/>
      <c r="AE622" s="1076"/>
      <c r="AF622" s="1296"/>
      <c r="AG622" s="1297"/>
      <c r="AH622" s="1298"/>
      <c r="AI622" s="1298"/>
      <c r="AJ622" s="1299"/>
      <c r="AK622" s="1300">
        <v>6650</v>
      </c>
      <c r="AL622" s="1090">
        <f>AK622*X622</f>
        <v>19950</v>
      </c>
      <c r="AM622" s="1297"/>
      <c r="AN622" s="1297"/>
      <c r="AO622" s="1298"/>
      <c r="AP622" s="1301"/>
      <c r="AQ622" s="1298"/>
      <c r="AR622" s="1301"/>
      <c r="AS622" s="1301"/>
      <c r="AT622" s="1297"/>
      <c r="AU622" s="1299"/>
      <c r="AV622" s="1302"/>
    </row>
    <row r="623" spans="1:48" ht="16.5" customHeight="1">
      <c r="A623" s="1082"/>
      <c r="B623" s="1082"/>
      <c r="C623" s="1083"/>
      <c r="D623" s="1082"/>
      <c r="E623" s="1083"/>
      <c r="F623" s="1138"/>
      <c r="G623" s="1038"/>
      <c r="H623" s="1092"/>
      <c r="I623" s="1346"/>
      <c r="J623" s="1069"/>
      <c r="K623" s="1339"/>
      <c r="L623" s="1235"/>
      <c r="M623" s="1069"/>
      <c r="N623" s="1038"/>
      <c r="O623" s="1071"/>
      <c r="P623" s="1347"/>
      <c r="Q623" s="1213"/>
      <c r="R623" s="1074"/>
      <c r="S623" s="1074"/>
      <c r="T623" s="1075"/>
      <c r="U623" s="1537">
        <v>8</v>
      </c>
      <c r="V623" s="1355" t="s">
        <v>1</v>
      </c>
      <c r="W623" s="1241">
        <v>0</v>
      </c>
      <c r="X623" s="1534">
        <v>2</v>
      </c>
      <c r="Y623" s="1535">
        <v>0</v>
      </c>
      <c r="Z623" s="1143">
        <f t="shared" si="46"/>
        <v>2</v>
      </c>
      <c r="AA623" s="1074"/>
      <c r="AB623" s="1063"/>
      <c r="AC623" s="1075"/>
      <c r="AD623" s="1091"/>
      <c r="AE623" s="1076"/>
      <c r="AF623" s="1296"/>
      <c r="AG623" s="1297"/>
      <c r="AH623" s="1298"/>
      <c r="AI623" s="1298"/>
      <c r="AJ623" s="1299"/>
      <c r="AK623" s="1300">
        <v>6650</v>
      </c>
      <c r="AL623" s="1090">
        <f>AK623*X623</f>
        <v>13300</v>
      </c>
      <c r="AM623" s="1297"/>
      <c r="AN623" s="1297"/>
      <c r="AO623" s="1298"/>
      <c r="AP623" s="1301"/>
      <c r="AQ623" s="1298"/>
      <c r="AR623" s="1301"/>
      <c r="AS623" s="1301"/>
      <c r="AT623" s="1297"/>
      <c r="AU623" s="1299"/>
      <c r="AV623" s="1302"/>
    </row>
    <row r="624" spans="1:48" ht="16.5" customHeight="1">
      <c r="A624" s="1082"/>
      <c r="B624" s="1082"/>
      <c r="C624" s="1083"/>
      <c r="D624" s="1082"/>
      <c r="E624" s="1083"/>
      <c r="F624" s="1138"/>
      <c r="G624" s="1038"/>
      <c r="H624" s="1092"/>
      <c r="I624" s="1346"/>
      <c r="J624" s="1069"/>
      <c r="K624" s="1339"/>
      <c r="L624" s="1235"/>
      <c r="M624" s="1069"/>
      <c r="N624" s="1038"/>
      <c r="O624" s="1071"/>
      <c r="P624" s="1347"/>
      <c r="Q624" s="1213"/>
      <c r="R624" s="1074"/>
      <c r="S624" s="1074"/>
      <c r="T624" s="1075"/>
      <c r="U624" s="1537">
        <v>9</v>
      </c>
      <c r="V624" s="1355" t="s">
        <v>0</v>
      </c>
      <c r="W624" s="1241">
        <v>3</v>
      </c>
      <c r="X624" s="1534">
        <v>0</v>
      </c>
      <c r="Y624" s="1535">
        <v>0</v>
      </c>
      <c r="Z624" s="1143">
        <f t="shared" ref="Z624" si="49">SUM(W624:Y624)</f>
        <v>3</v>
      </c>
      <c r="AA624" s="1074"/>
      <c r="AB624" s="1063"/>
      <c r="AC624" s="1075"/>
      <c r="AD624" s="1091"/>
      <c r="AE624" s="1076"/>
      <c r="AF624" s="1296"/>
      <c r="AG624" s="1297"/>
      <c r="AH624" s="1298"/>
      <c r="AI624" s="1298"/>
      <c r="AJ624" s="1299"/>
      <c r="AK624" s="1300">
        <v>6000</v>
      </c>
      <c r="AL624" s="1090">
        <f t="shared" ref="AL624" si="50">AK624*W624</f>
        <v>18000</v>
      </c>
      <c r="AM624" s="1297"/>
      <c r="AN624" s="1297"/>
      <c r="AO624" s="1298"/>
      <c r="AP624" s="1301"/>
      <c r="AQ624" s="1298"/>
      <c r="AR624" s="1301"/>
      <c r="AS624" s="1301"/>
      <c r="AT624" s="1297"/>
      <c r="AU624" s="1299"/>
      <c r="AV624" s="1302"/>
    </row>
    <row r="625" spans="1:48" ht="16.5" customHeight="1">
      <c r="A625" s="1082"/>
      <c r="B625" s="1082"/>
      <c r="C625" s="1083"/>
      <c r="D625" s="1082"/>
      <c r="E625" s="1083"/>
      <c r="F625" s="1138"/>
      <c r="G625" s="1038"/>
      <c r="H625" s="1092"/>
      <c r="I625" s="1346"/>
      <c r="J625" s="1069"/>
      <c r="K625" s="1339"/>
      <c r="L625" s="1235"/>
      <c r="M625" s="1069"/>
      <c r="N625" s="1038"/>
      <c r="O625" s="1071"/>
      <c r="P625" s="1347"/>
      <c r="Q625" s="1213"/>
      <c r="R625" s="1074"/>
      <c r="S625" s="1074"/>
      <c r="T625" s="1075"/>
      <c r="U625" s="1537"/>
      <c r="V625" s="1355"/>
      <c r="W625" s="1241"/>
      <c r="X625" s="1534"/>
      <c r="Y625" s="1535"/>
      <c r="Z625" s="1143">
        <f t="shared" si="46"/>
        <v>0</v>
      </c>
      <c r="AA625" s="1074"/>
      <c r="AB625" s="1063"/>
      <c r="AC625" s="1075"/>
      <c r="AD625" s="1091"/>
      <c r="AE625" s="1076"/>
      <c r="AF625" s="1296"/>
      <c r="AG625" s="1116"/>
      <c r="AH625" s="1298"/>
      <c r="AI625" s="1298"/>
      <c r="AJ625" s="1299"/>
      <c r="AK625" s="1119"/>
      <c r="AL625" s="1120"/>
      <c r="AM625" s="1297"/>
      <c r="AN625" s="1116"/>
      <c r="AO625" s="1298"/>
      <c r="AP625" s="1108"/>
      <c r="AQ625" s="1307"/>
      <c r="AR625" s="1310"/>
      <c r="AS625" s="1310"/>
      <c r="AT625" s="1116"/>
      <c r="AU625" s="1308"/>
      <c r="AV625" s="1302"/>
    </row>
    <row r="626" spans="1:48" ht="16.5" customHeight="1">
      <c r="A626" s="1049">
        <v>47</v>
      </c>
      <c r="B626" s="1033" t="s">
        <v>25</v>
      </c>
      <c r="C626" s="1036" t="s">
        <v>44</v>
      </c>
      <c r="D626" s="1034"/>
      <c r="E626" s="1034"/>
      <c r="F626" s="1037" t="s">
        <v>1789</v>
      </c>
      <c r="G626" s="1050"/>
      <c r="H626" s="1050"/>
      <c r="I626" s="1174">
        <v>951</v>
      </c>
      <c r="J626" s="1041"/>
      <c r="K626" s="1279"/>
      <c r="L626" s="1538"/>
      <c r="M626" s="1048"/>
      <c r="N626" s="1054" t="s">
        <v>25</v>
      </c>
      <c r="O626" s="1177" t="s">
        <v>26</v>
      </c>
      <c r="P626" s="1048">
        <v>1</v>
      </c>
      <c r="Q626" s="1054">
        <v>120.81</v>
      </c>
      <c r="R626" s="1035"/>
      <c r="S626" s="1036"/>
      <c r="T626" s="1048"/>
      <c r="U626" s="1180">
        <v>1</v>
      </c>
      <c r="V626" s="1319" t="s">
        <v>14</v>
      </c>
      <c r="W626" s="1052">
        <v>34</v>
      </c>
      <c r="X626" s="1051"/>
      <c r="Y626" s="1036"/>
      <c r="Z626" s="1203">
        <f t="shared" ref="Z626:Z635" si="51">SUM(W626:Y626)</f>
        <v>34</v>
      </c>
      <c r="AA626" s="1050"/>
      <c r="AB626" s="1050"/>
      <c r="AC626" s="1047"/>
      <c r="AD626" s="1180"/>
      <c r="AE626" s="1049"/>
      <c r="AF626" s="1056">
        <f>Resum!F3</f>
        <v>240000</v>
      </c>
      <c r="AG626" s="1086">
        <f>AF626*I626</f>
        <v>228240000</v>
      </c>
      <c r="AH626" s="1058"/>
      <c r="AI626" s="1058"/>
      <c r="AJ626" s="1059"/>
      <c r="AK626" s="1089">
        <v>350000</v>
      </c>
      <c r="AL626" s="1087">
        <f t="shared" si="48"/>
        <v>11900000</v>
      </c>
      <c r="AM626" s="1057">
        <f>SUM(AL626:AL635)</f>
        <v>13254545</v>
      </c>
      <c r="AN626" s="1086">
        <f>AM626+AJ626+AG626</f>
        <v>241494545</v>
      </c>
      <c r="AO626" s="1058"/>
      <c r="AP626" s="1136">
        <f>AI626*15%</f>
        <v>0</v>
      </c>
      <c r="AQ626" s="1087">
        <v>0</v>
      </c>
      <c r="AR626" s="1136">
        <f>(AG626+AI626)*5%</f>
        <v>11412000</v>
      </c>
      <c r="AS626" s="1087">
        <f>0.5%*(AG626+AI626)*(3)</f>
        <v>3423600</v>
      </c>
      <c r="AT626" s="1086">
        <f>+AS626+AR626+AQ626+AP626+AO626</f>
        <v>14835600</v>
      </c>
      <c r="AU626" s="1137">
        <f>ROUND(AT626+AN626,-3)</f>
        <v>256330000</v>
      </c>
      <c r="AV626" s="1049"/>
    </row>
    <row r="627" spans="1:48" ht="16.5" customHeight="1">
      <c r="A627" s="1076"/>
      <c r="B627" s="1038" t="s">
        <v>16</v>
      </c>
      <c r="C627" s="1071" t="s">
        <v>39</v>
      </c>
      <c r="D627" s="1074"/>
      <c r="E627" s="1074"/>
      <c r="F627" s="1065"/>
      <c r="G627" s="1077"/>
      <c r="H627" s="1077"/>
      <c r="I627" s="1127"/>
      <c r="J627" s="1067"/>
      <c r="K627" s="1235"/>
      <c r="L627" s="1539"/>
      <c r="M627" s="1075"/>
      <c r="N627" s="1081" t="s">
        <v>16</v>
      </c>
      <c r="O627" s="1123" t="s">
        <v>21</v>
      </c>
      <c r="P627" s="1075">
        <v>1</v>
      </c>
      <c r="Q627" s="1081">
        <v>12.4</v>
      </c>
      <c r="R627" s="1038"/>
      <c r="S627" s="1039"/>
      <c r="T627" s="1075"/>
      <c r="U627" s="1091">
        <v>2</v>
      </c>
      <c r="V627" s="1185" t="s">
        <v>136</v>
      </c>
      <c r="W627" s="1079">
        <v>1</v>
      </c>
      <c r="X627" s="1078"/>
      <c r="Y627" s="1039"/>
      <c r="Z627" s="1134">
        <f t="shared" si="51"/>
        <v>1</v>
      </c>
      <c r="AA627" s="1077"/>
      <c r="AB627" s="1077"/>
      <c r="AC627" s="1073"/>
      <c r="AD627" s="1091"/>
      <c r="AE627" s="1076"/>
      <c r="AF627" s="1085"/>
      <c r="AG627" s="1086"/>
      <c r="AH627" s="1087"/>
      <c r="AI627" s="1087"/>
      <c r="AJ627" s="1088"/>
      <c r="AK627" s="1089">
        <v>46200</v>
      </c>
      <c r="AL627" s="1090">
        <f t="shared" si="48"/>
        <v>46200</v>
      </c>
      <c r="AM627" s="1086"/>
      <c r="AN627" s="1086"/>
      <c r="AO627" s="1087"/>
      <c r="AP627" s="1076"/>
      <c r="AQ627" s="1087"/>
      <c r="AR627" s="1076"/>
      <c r="AS627" s="1076"/>
      <c r="AT627" s="1086"/>
      <c r="AU627" s="1088"/>
      <c r="AV627" s="1076"/>
    </row>
    <row r="628" spans="1:48" ht="16.5" customHeight="1">
      <c r="A628" s="1076"/>
      <c r="B628" s="1038" t="s">
        <v>18</v>
      </c>
      <c r="C628" s="1039" t="s">
        <v>38</v>
      </c>
      <c r="D628" s="1074"/>
      <c r="E628" s="1074"/>
      <c r="F628" s="1065"/>
      <c r="G628" s="1077"/>
      <c r="H628" s="1077"/>
      <c r="I628" s="1127"/>
      <c r="J628" s="1067"/>
      <c r="K628" s="1235"/>
      <c r="L628" s="1539"/>
      <c r="M628" s="1075"/>
      <c r="N628" s="1081" t="s">
        <v>18</v>
      </c>
      <c r="O628" s="1123" t="s">
        <v>155</v>
      </c>
      <c r="P628" s="1075">
        <v>1</v>
      </c>
      <c r="Q628" s="1081">
        <v>53.26</v>
      </c>
      <c r="R628" s="1038"/>
      <c r="S628" s="1039"/>
      <c r="T628" s="1075"/>
      <c r="U628" s="1091">
        <v>3</v>
      </c>
      <c r="V628" s="1185" t="s">
        <v>808</v>
      </c>
      <c r="W628" s="1079"/>
      <c r="X628" s="1078">
        <v>5</v>
      </c>
      <c r="Y628" s="1039"/>
      <c r="Z628" s="1134">
        <f t="shared" si="51"/>
        <v>5</v>
      </c>
      <c r="AA628" s="1077"/>
      <c r="AB628" s="1077"/>
      <c r="AC628" s="1073"/>
      <c r="AD628" s="1091"/>
      <c r="AE628" s="1076"/>
      <c r="AF628" s="1085"/>
      <c r="AG628" s="1086"/>
      <c r="AH628" s="1087"/>
      <c r="AI628" s="1087"/>
      <c r="AJ628" s="1088"/>
      <c r="AK628" s="1089">
        <v>82500</v>
      </c>
      <c r="AL628" s="1090">
        <f>AK628*X628</f>
        <v>412500</v>
      </c>
      <c r="AM628" s="1086"/>
      <c r="AN628" s="1086"/>
      <c r="AO628" s="1087"/>
      <c r="AP628" s="1076"/>
      <c r="AQ628" s="1087"/>
      <c r="AR628" s="1076"/>
      <c r="AS628" s="1076"/>
      <c r="AT628" s="1086"/>
      <c r="AU628" s="1088"/>
      <c r="AV628" s="1076"/>
    </row>
    <row r="629" spans="1:48" ht="49.5" customHeight="1">
      <c r="A629" s="1076"/>
      <c r="B629" s="1082" t="s">
        <v>12</v>
      </c>
      <c r="C629" s="1083" t="s">
        <v>37</v>
      </c>
      <c r="D629" s="1074"/>
      <c r="E629" s="1074"/>
      <c r="F629" s="1065"/>
      <c r="G629" s="1077"/>
      <c r="H629" s="1077"/>
      <c r="I629" s="1127"/>
      <c r="J629" s="1067"/>
      <c r="K629" s="1235"/>
      <c r="L629" s="1539"/>
      <c r="M629" s="1075"/>
      <c r="N629" s="1081" t="s">
        <v>12</v>
      </c>
      <c r="O629" s="1123" t="s">
        <v>120</v>
      </c>
      <c r="P629" s="1075">
        <v>1</v>
      </c>
      <c r="Q629" s="1081">
        <v>3.2</v>
      </c>
      <c r="R629" s="1038"/>
      <c r="S629" s="1039"/>
      <c r="T629" s="1075"/>
      <c r="U629" s="1091">
        <v>4</v>
      </c>
      <c r="V629" s="1185" t="s">
        <v>1412</v>
      </c>
      <c r="W629" s="1079">
        <v>2</v>
      </c>
      <c r="X629" s="1078"/>
      <c r="Y629" s="1039"/>
      <c r="Z629" s="1134">
        <f t="shared" si="51"/>
        <v>2</v>
      </c>
      <c r="AA629" s="1077"/>
      <c r="AB629" s="1077"/>
      <c r="AC629" s="1073"/>
      <c r="AD629" s="1091"/>
      <c r="AE629" s="1076"/>
      <c r="AF629" s="1085"/>
      <c r="AG629" s="1086"/>
      <c r="AH629" s="1087"/>
      <c r="AI629" s="1087"/>
      <c r="AJ629" s="1088"/>
      <c r="AK629" s="1089">
        <v>125000</v>
      </c>
      <c r="AL629" s="1090">
        <f t="shared" si="48"/>
        <v>250000</v>
      </c>
      <c r="AM629" s="1086"/>
      <c r="AN629" s="1086"/>
      <c r="AO629" s="1087"/>
      <c r="AP629" s="1076"/>
      <c r="AQ629" s="1087"/>
      <c r="AR629" s="1076"/>
      <c r="AS629" s="1076"/>
      <c r="AT629" s="1086"/>
      <c r="AU629" s="1088"/>
      <c r="AV629" s="1076"/>
    </row>
    <row r="630" spans="1:48" ht="16.5" customHeight="1">
      <c r="A630" s="1076"/>
      <c r="B630" s="1082" t="s">
        <v>8</v>
      </c>
      <c r="C630" s="1083" t="s">
        <v>1788</v>
      </c>
      <c r="D630" s="1074"/>
      <c r="E630" s="1074"/>
      <c r="F630" s="1065"/>
      <c r="G630" s="1077"/>
      <c r="H630" s="1077"/>
      <c r="I630" s="1127"/>
      <c r="J630" s="1067"/>
      <c r="K630" s="1235"/>
      <c r="L630" s="1539"/>
      <c r="M630" s="1075"/>
      <c r="N630" s="1081" t="s">
        <v>8</v>
      </c>
      <c r="O630" s="1123" t="s">
        <v>320</v>
      </c>
      <c r="P630" s="1075">
        <v>1</v>
      </c>
      <c r="Q630" s="1081">
        <v>29.73</v>
      </c>
      <c r="R630" s="1038"/>
      <c r="S630" s="1039"/>
      <c r="T630" s="1075"/>
      <c r="U630" s="1091">
        <v>5</v>
      </c>
      <c r="V630" s="1185" t="s">
        <v>307</v>
      </c>
      <c r="W630" s="1079">
        <v>2</v>
      </c>
      <c r="X630" s="1078"/>
      <c r="Y630" s="1039"/>
      <c r="Z630" s="1134">
        <f t="shared" si="51"/>
        <v>2</v>
      </c>
      <c r="AA630" s="1077"/>
      <c r="AB630" s="1077"/>
      <c r="AC630" s="1073"/>
      <c r="AD630" s="1091"/>
      <c r="AE630" s="1076"/>
      <c r="AF630" s="1085"/>
      <c r="AG630" s="1086"/>
      <c r="AH630" s="1087"/>
      <c r="AI630" s="1087"/>
      <c r="AJ630" s="1088"/>
      <c r="AK630" s="1089">
        <v>75000</v>
      </c>
      <c r="AL630" s="1090">
        <f t="shared" si="48"/>
        <v>150000</v>
      </c>
      <c r="AM630" s="1086"/>
      <c r="AN630" s="1086"/>
      <c r="AO630" s="1087"/>
      <c r="AP630" s="1076"/>
      <c r="AQ630" s="1087"/>
      <c r="AR630" s="1076"/>
      <c r="AS630" s="1076"/>
      <c r="AT630" s="1086"/>
      <c r="AU630" s="1088"/>
      <c r="AV630" s="1076"/>
    </row>
    <row r="631" spans="1:48" ht="16.5" customHeight="1">
      <c r="A631" s="1076"/>
      <c r="B631" s="1082"/>
      <c r="C631" s="1083"/>
      <c r="D631" s="1074"/>
      <c r="E631" s="1074"/>
      <c r="F631" s="1065"/>
      <c r="G631" s="1077"/>
      <c r="H631" s="1077"/>
      <c r="I631" s="1127"/>
      <c r="J631" s="1067"/>
      <c r="K631" s="1235"/>
      <c r="L631" s="1539"/>
      <c r="M631" s="1075"/>
      <c r="N631" s="1081" t="s">
        <v>54</v>
      </c>
      <c r="O631" s="1123" t="s">
        <v>1983</v>
      </c>
      <c r="P631" s="1075">
        <v>1</v>
      </c>
      <c r="Q631" s="1081"/>
      <c r="R631" s="1038"/>
      <c r="S631" s="1039" t="s">
        <v>15</v>
      </c>
      <c r="T631" s="1075"/>
      <c r="U631" s="1091">
        <v>6</v>
      </c>
      <c r="V631" s="1185" t="s">
        <v>826</v>
      </c>
      <c r="W631" s="1079">
        <v>1</v>
      </c>
      <c r="X631" s="1078"/>
      <c r="Y631" s="1039"/>
      <c r="Z631" s="1134">
        <f t="shared" si="51"/>
        <v>1</v>
      </c>
      <c r="AA631" s="1077"/>
      <c r="AB631" s="1077"/>
      <c r="AC631" s="1073"/>
      <c r="AD631" s="1091"/>
      <c r="AE631" s="1076"/>
      <c r="AF631" s="1085"/>
      <c r="AG631" s="1086"/>
      <c r="AH631" s="1087"/>
      <c r="AI631" s="1087"/>
      <c r="AJ631" s="1088"/>
      <c r="AK631" s="1089">
        <v>2645</v>
      </c>
      <c r="AL631" s="1090">
        <f t="shared" si="48"/>
        <v>2645</v>
      </c>
      <c r="AM631" s="1086"/>
      <c r="AN631" s="1086"/>
      <c r="AO631" s="1087"/>
      <c r="AP631" s="1076"/>
      <c r="AQ631" s="1087"/>
      <c r="AR631" s="1076"/>
      <c r="AS631" s="1076"/>
      <c r="AT631" s="1086"/>
      <c r="AU631" s="1088"/>
      <c r="AV631" s="1076"/>
    </row>
    <row r="632" spans="1:48" ht="16.5" customHeight="1">
      <c r="A632" s="1076"/>
      <c r="B632" s="1082"/>
      <c r="C632" s="1083"/>
      <c r="D632" s="1074"/>
      <c r="E632" s="1074"/>
      <c r="F632" s="1065"/>
      <c r="G632" s="1077"/>
      <c r="H632" s="1077"/>
      <c r="I632" s="1127"/>
      <c r="J632" s="1067"/>
      <c r="K632" s="1235"/>
      <c r="L632" s="1539"/>
      <c r="M632" s="1075"/>
      <c r="N632" s="1081" t="s">
        <v>53</v>
      </c>
      <c r="O632" s="1123" t="s">
        <v>11</v>
      </c>
      <c r="P632" s="1075">
        <v>1</v>
      </c>
      <c r="Q632" s="1081"/>
      <c r="R632" s="1038"/>
      <c r="S632" s="1039"/>
      <c r="T632" s="1075"/>
      <c r="U632" s="1091">
        <v>7</v>
      </c>
      <c r="V632" s="1185" t="s">
        <v>144</v>
      </c>
      <c r="W632" s="1079"/>
      <c r="X632" s="1078"/>
      <c r="Y632" s="1039">
        <v>2</v>
      </c>
      <c r="Z632" s="1134">
        <f t="shared" si="51"/>
        <v>2</v>
      </c>
      <c r="AA632" s="1077"/>
      <c r="AB632" s="1077"/>
      <c r="AC632" s="1073"/>
      <c r="AD632" s="1091"/>
      <c r="AE632" s="1076"/>
      <c r="AF632" s="1085"/>
      <c r="AG632" s="1086"/>
      <c r="AH632" s="1087"/>
      <c r="AI632" s="1087"/>
      <c r="AJ632" s="1088"/>
      <c r="AK632" s="1089">
        <v>6600</v>
      </c>
      <c r="AL632" s="1090">
        <f>AK632*Y632</f>
        <v>13200</v>
      </c>
      <c r="AM632" s="1086"/>
      <c r="AN632" s="1086"/>
      <c r="AO632" s="1087"/>
      <c r="AP632" s="1076"/>
      <c r="AQ632" s="1087"/>
      <c r="AR632" s="1076"/>
      <c r="AS632" s="1076"/>
      <c r="AT632" s="1086"/>
      <c r="AU632" s="1088"/>
      <c r="AV632" s="1076"/>
    </row>
    <row r="633" spans="1:48" ht="16.5" customHeight="1">
      <c r="A633" s="1076"/>
      <c r="B633" s="1082"/>
      <c r="C633" s="1083"/>
      <c r="D633" s="1074"/>
      <c r="E633" s="1074"/>
      <c r="F633" s="1065"/>
      <c r="G633" s="1077"/>
      <c r="H633" s="1077"/>
      <c r="I633" s="1127"/>
      <c r="J633" s="1067"/>
      <c r="K633" s="1235"/>
      <c r="L633" s="1539"/>
      <c r="M633" s="1075"/>
      <c r="N633" s="1081" t="s">
        <v>51</v>
      </c>
      <c r="O633" s="1123" t="s">
        <v>175</v>
      </c>
      <c r="P633" s="1075">
        <v>1</v>
      </c>
      <c r="Q633" s="1081">
        <v>57.3</v>
      </c>
      <c r="R633" s="1038"/>
      <c r="S633" s="1039"/>
      <c r="T633" s="1075"/>
      <c r="U633" s="1091">
        <v>8</v>
      </c>
      <c r="V633" s="1185" t="s">
        <v>268</v>
      </c>
      <c r="W633" s="1079">
        <v>2</v>
      </c>
      <c r="X633" s="1078"/>
      <c r="Y633" s="1039"/>
      <c r="Z633" s="1134">
        <f t="shared" si="51"/>
        <v>2</v>
      </c>
      <c r="AA633" s="1077"/>
      <c r="AB633" s="1077"/>
      <c r="AC633" s="1073"/>
      <c r="AD633" s="1091"/>
      <c r="AE633" s="1076"/>
      <c r="AF633" s="1085"/>
      <c r="AG633" s="1086"/>
      <c r="AH633" s="1087"/>
      <c r="AI633" s="1087"/>
      <c r="AJ633" s="1088"/>
      <c r="AK633" s="1089">
        <v>200000</v>
      </c>
      <c r="AL633" s="1090">
        <f t="shared" si="48"/>
        <v>400000</v>
      </c>
      <c r="AM633" s="1086"/>
      <c r="AN633" s="1086"/>
      <c r="AO633" s="1087"/>
      <c r="AP633" s="1076"/>
      <c r="AQ633" s="1087"/>
      <c r="AR633" s="1076"/>
      <c r="AS633" s="1076"/>
      <c r="AT633" s="1086"/>
      <c r="AU633" s="1088"/>
      <c r="AV633" s="1076"/>
    </row>
    <row r="634" spans="1:48" ht="16.5" customHeight="1">
      <c r="A634" s="1076"/>
      <c r="B634" s="1082"/>
      <c r="C634" s="1083"/>
      <c r="D634" s="1074"/>
      <c r="E634" s="1074"/>
      <c r="F634" s="1065"/>
      <c r="G634" s="1077"/>
      <c r="H634" s="1077"/>
      <c r="I634" s="1127"/>
      <c r="J634" s="1067"/>
      <c r="K634" s="1235"/>
      <c r="L634" s="1539"/>
      <c r="M634" s="1075"/>
      <c r="N634" s="1081" t="s">
        <v>154</v>
      </c>
      <c r="O634" s="1123" t="s">
        <v>121</v>
      </c>
      <c r="P634" s="1075">
        <v>1</v>
      </c>
      <c r="Q634" s="1081">
        <v>21.45</v>
      </c>
      <c r="R634" s="1038"/>
      <c r="S634" s="1039"/>
      <c r="T634" s="1075"/>
      <c r="U634" s="1091">
        <v>9</v>
      </c>
      <c r="V634" s="1185" t="s">
        <v>247</v>
      </c>
      <c r="W634" s="1079">
        <v>1</v>
      </c>
      <c r="X634" s="1078"/>
      <c r="Y634" s="1039"/>
      <c r="Z634" s="1134">
        <f t="shared" si="51"/>
        <v>1</v>
      </c>
      <c r="AA634" s="1077"/>
      <c r="AB634" s="1077"/>
      <c r="AC634" s="1073"/>
      <c r="AD634" s="1091"/>
      <c r="AE634" s="1076"/>
      <c r="AF634" s="1085"/>
      <c r="AG634" s="1086"/>
      <c r="AH634" s="1087"/>
      <c r="AI634" s="1087"/>
      <c r="AJ634" s="1088"/>
      <c r="AK634" s="1089">
        <v>80000</v>
      </c>
      <c r="AL634" s="1090">
        <f t="shared" si="48"/>
        <v>80000</v>
      </c>
      <c r="AM634" s="1086"/>
      <c r="AN634" s="1086"/>
      <c r="AO634" s="1087"/>
      <c r="AP634" s="1076"/>
      <c r="AQ634" s="1087"/>
      <c r="AR634" s="1076"/>
      <c r="AS634" s="1076"/>
      <c r="AT634" s="1086"/>
      <c r="AU634" s="1088"/>
      <c r="AV634" s="1076"/>
    </row>
    <row r="635" spans="1:48" ht="16.5" customHeight="1">
      <c r="A635" s="1076"/>
      <c r="B635" s="1082"/>
      <c r="C635" s="1083"/>
      <c r="D635" s="1074"/>
      <c r="E635" s="1074"/>
      <c r="F635" s="1097"/>
      <c r="G635" s="1077"/>
      <c r="H635" s="1077"/>
      <c r="I635" s="1127"/>
      <c r="J635" s="1067"/>
      <c r="K635" s="1235"/>
      <c r="L635" s="1539"/>
      <c r="M635" s="1075"/>
      <c r="N635" s="1081"/>
      <c r="O635" s="1126"/>
      <c r="P635" s="1073"/>
      <c r="Q635" s="1077"/>
      <c r="R635" s="1038"/>
      <c r="S635" s="1039"/>
      <c r="T635" s="1075"/>
      <c r="U635" s="1091">
        <v>10</v>
      </c>
      <c r="V635" s="1185" t="s">
        <v>1787</v>
      </c>
      <c r="W635" s="1079">
        <v>2</v>
      </c>
      <c r="X635" s="1078"/>
      <c r="Y635" s="1039"/>
      <c r="Z635" s="1134">
        <f t="shared" si="51"/>
        <v>2</v>
      </c>
      <c r="AA635" s="1077"/>
      <c r="AB635" s="1077"/>
      <c r="AC635" s="1073"/>
      <c r="AD635" s="1091"/>
      <c r="AE635" s="1076"/>
      <c r="AF635" s="1085"/>
      <c r="AG635" s="1116"/>
      <c r="AH635" s="1087"/>
      <c r="AI635" s="1087"/>
      <c r="AJ635" s="1088"/>
      <c r="AK635" s="1089"/>
      <c r="AL635" s="1120">
        <f t="shared" si="48"/>
        <v>0</v>
      </c>
      <c r="AM635" s="1116"/>
      <c r="AN635" s="1116"/>
      <c r="AO635" s="1117"/>
      <c r="AP635" s="1108"/>
      <c r="AQ635" s="1117"/>
      <c r="AR635" s="1108"/>
      <c r="AS635" s="1108"/>
      <c r="AT635" s="1116"/>
      <c r="AU635" s="1118"/>
      <c r="AV635" s="1076"/>
    </row>
    <row r="636" spans="1:48" ht="16.5" customHeight="1">
      <c r="A636" s="1049">
        <v>48</v>
      </c>
      <c r="B636" s="1033" t="s">
        <v>25</v>
      </c>
      <c r="C636" s="1036" t="s">
        <v>44</v>
      </c>
      <c r="D636" s="1034"/>
      <c r="E636" s="1034"/>
      <c r="F636" s="1037" t="s">
        <v>1786</v>
      </c>
      <c r="G636" s="1050"/>
      <c r="H636" s="1050"/>
      <c r="I636" s="1174">
        <v>1927</v>
      </c>
      <c r="J636" s="1041"/>
      <c r="K636" s="1279"/>
      <c r="L636" s="1538"/>
      <c r="M636" s="1048"/>
      <c r="N636" s="1054"/>
      <c r="O636" s="1173"/>
      <c r="P636" s="1047"/>
      <c r="Q636" s="1050"/>
      <c r="R636" s="1035"/>
      <c r="S636" s="1036"/>
      <c r="T636" s="1048"/>
      <c r="U636" s="1180"/>
      <c r="V636" s="1049"/>
      <c r="W636" s="1052"/>
      <c r="X636" s="1051"/>
      <c r="Y636" s="1036"/>
      <c r="Z636" s="1203"/>
      <c r="AA636" s="1050"/>
      <c r="AB636" s="1050"/>
      <c r="AC636" s="1047"/>
      <c r="AD636" s="1180"/>
      <c r="AE636" s="1049"/>
      <c r="AF636" s="1056">
        <f>Resum!F1</f>
        <v>356000</v>
      </c>
      <c r="AG636" s="1086">
        <f>AF636*I636</f>
        <v>686012000</v>
      </c>
      <c r="AH636" s="1058"/>
      <c r="AI636" s="1058"/>
      <c r="AJ636" s="1059"/>
      <c r="AK636" s="1060"/>
      <c r="AL636" s="1090"/>
      <c r="AM636" s="1086"/>
      <c r="AN636" s="1086">
        <f>AM636+AJ636+AG636</f>
        <v>686012000</v>
      </c>
      <c r="AO636" s="1087"/>
      <c r="AP636" s="1136">
        <f>AI637*15%</f>
        <v>0</v>
      </c>
      <c r="AQ636" s="1087">
        <v>0</v>
      </c>
      <c r="AR636" s="1136">
        <f>(AG636+AI636)*5%</f>
        <v>34300600</v>
      </c>
      <c r="AS636" s="1087">
        <f>0.5%*(AG636+AI636)*(3)</f>
        <v>10290180</v>
      </c>
      <c r="AT636" s="1086">
        <f>+AS636+AR636+AQ636+AP636+AO636</f>
        <v>44590780</v>
      </c>
      <c r="AU636" s="1137">
        <f>ROUND(AT636+AN636,-3)</f>
        <v>730603000</v>
      </c>
      <c r="AV636" s="1049"/>
    </row>
    <row r="637" spans="1:48" ht="16.5" customHeight="1">
      <c r="A637" s="1076"/>
      <c r="B637" s="1038" t="s">
        <v>16</v>
      </c>
      <c r="C637" s="1071" t="s">
        <v>39</v>
      </c>
      <c r="D637" s="1074"/>
      <c r="E637" s="1074"/>
      <c r="F637" s="1065"/>
      <c r="G637" s="1077"/>
      <c r="H637" s="1077"/>
      <c r="I637" s="1127"/>
      <c r="J637" s="1067"/>
      <c r="K637" s="1235"/>
      <c r="L637" s="1539"/>
      <c r="M637" s="1075"/>
      <c r="N637" s="1081"/>
      <c r="O637" s="1126"/>
      <c r="P637" s="1073"/>
      <c r="Q637" s="1077"/>
      <c r="R637" s="1038"/>
      <c r="S637" s="1039"/>
      <c r="T637" s="1075"/>
      <c r="U637" s="1091"/>
      <c r="V637" s="1076"/>
      <c r="W637" s="1079"/>
      <c r="X637" s="1078"/>
      <c r="Y637" s="1039"/>
      <c r="Z637" s="1134"/>
      <c r="AA637" s="1077"/>
      <c r="AB637" s="1077"/>
      <c r="AC637" s="1073"/>
      <c r="AD637" s="1091"/>
      <c r="AE637" s="1076"/>
      <c r="AF637" s="1085"/>
      <c r="AG637" s="1086"/>
      <c r="AH637" s="1087"/>
      <c r="AI637" s="1087"/>
      <c r="AJ637" s="1088"/>
      <c r="AK637" s="1089"/>
      <c r="AL637" s="1090"/>
      <c r="AM637" s="1086"/>
      <c r="AN637" s="1086"/>
      <c r="AO637" s="1087"/>
      <c r="AP637" s="1076"/>
      <c r="AQ637" s="1087"/>
      <c r="AR637" s="1076"/>
      <c r="AS637" s="1076"/>
      <c r="AT637" s="1086"/>
      <c r="AU637" s="1088"/>
      <c r="AV637" s="1076"/>
    </row>
    <row r="638" spans="1:48" ht="16.5" customHeight="1">
      <c r="A638" s="1076"/>
      <c r="B638" s="1038" t="s">
        <v>18</v>
      </c>
      <c r="C638" s="1039" t="s">
        <v>38</v>
      </c>
      <c r="D638" s="1074"/>
      <c r="E638" s="1074"/>
      <c r="F638" s="1065"/>
      <c r="G638" s="1077"/>
      <c r="H638" s="1077"/>
      <c r="I638" s="1127"/>
      <c r="J638" s="1067"/>
      <c r="K638" s="1235"/>
      <c r="L638" s="1539"/>
      <c r="M638" s="1075"/>
      <c r="N638" s="1081"/>
      <c r="O638" s="1126"/>
      <c r="P638" s="1073"/>
      <c r="Q638" s="1077"/>
      <c r="R638" s="1038"/>
      <c r="S638" s="1039"/>
      <c r="T638" s="1075"/>
      <c r="U638" s="1091"/>
      <c r="V638" s="1076"/>
      <c r="W638" s="1079"/>
      <c r="X638" s="1078"/>
      <c r="Y638" s="1039"/>
      <c r="Z638" s="1134"/>
      <c r="AA638" s="1077"/>
      <c r="AB638" s="1077"/>
      <c r="AC638" s="1073"/>
      <c r="AD638" s="1091"/>
      <c r="AE638" s="1076"/>
      <c r="AF638" s="1085"/>
      <c r="AG638" s="1086"/>
      <c r="AH638" s="1087"/>
      <c r="AI638" s="1087"/>
      <c r="AJ638" s="1088"/>
      <c r="AK638" s="1089"/>
      <c r="AL638" s="1090"/>
      <c r="AM638" s="1086"/>
      <c r="AN638" s="1086"/>
      <c r="AO638" s="1087"/>
      <c r="AP638" s="1076"/>
      <c r="AQ638" s="1087"/>
      <c r="AR638" s="1076"/>
      <c r="AS638" s="1076"/>
      <c r="AT638" s="1086"/>
      <c r="AU638" s="1088"/>
      <c r="AV638" s="1076"/>
    </row>
    <row r="639" spans="1:48" ht="49.5" customHeight="1">
      <c r="A639" s="1076"/>
      <c r="B639" s="1082" t="s">
        <v>12</v>
      </c>
      <c r="C639" s="1083" t="s">
        <v>37</v>
      </c>
      <c r="D639" s="1074"/>
      <c r="E639" s="1074"/>
      <c r="F639" s="1065"/>
      <c r="G639" s="1077"/>
      <c r="H639" s="1077"/>
      <c r="I639" s="1127"/>
      <c r="J639" s="1067"/>
      <c r="K639" s="1235"/>
      <c r="L639" s="1539"/>
      <c r="M639" s="1075"/>
      <c r="N639" s="1081"/>
      <c r="O639" s="1126"/>
      <c r="P639" s="1073"/>
      <c r="Q639" s="1077"/>
      <c r="R639" s="1038"/>
      <c r="S639" s="1039"/>
      <c r="T639" s="1075"/>
      <c r="U639" s="1091"/>
      <c r="V639" s="1076"/>
      <c r="W639" s="1079"/>
      <c r="X639" s="1078"/>
      <c r="Y639" s="1039"/>
      <c r="Z639" s="1134"/>
      <c r="AA639" s="1077"/>
      <c r="AB639" s="1077"/>
      <c r="AC639" s="1073"/>
      <c r="AD639" s="1091"/>
      <c r="AE639" s="1076"/>
      <c r="AF639" s="1085"/>
      <c r="AG639" s="1086"/>
      <c r="AH639" s="1087"/>
      <c r="AI639" s="1087"/>
      <c r="AJ639" s="1088"/>
      <c r="AK639" s="1089"/>
      <c r="AL639" s="1090"/>
      <c r="AM639" s="1086"/>
      <c r="AN639" s="1086"/>
      <c r="AO639" s="1087"/>
      <c r="AP639" s="1076"/>
      <c r="AQ639" s="1087"/>
      <c r="AR639" s="1076"/>
      <c r="AS639" s="1076"/>
      <c r="AT639" s="1086"/>
      <c r="AU639" s="1088"/>
      <c r="AV639" s="1076"/>
    </row>
    <row r="640" spans="1:48" ht="16.5" customHeight="1">
      <c r="A640" s="1108"/>
      <c r="B640" s="1095" t="s">
        <v>8</v>
      </c>
      <c r="C640" s="1186" t="s">
        <v>414</v>
      </c>
      <c r="D640" s="1094"/>
      <c r="E640" s="1094"/>
      <c r="F640" s="1097"/>
      <c r="G640" s="1151"/>
      <c r="H640" s="1151"/>
      <c r="I640" s="1152"/>
      <c r="J640" s="1101"/>
      <c r="K640" s="1287"/>
      <c r="L640" s="1540"/>
      <c r="M640" s="1168"/>
      <c r="N640" s="1113"/>
      <c r="O640" s="1156"/>
      <c r="P640" s="1107"/>
      <c r="Q640" s="1151"/>
      <c r="R640" s="1095"/>
      <c r="S640" s="1096"/>
      <c r="T640" s="1168"/>
      <c r="U640" s="1109"/>
      <c r="V640" s="1108"/>
      <c r="W640" s="1111"/>
      <c r="X640" s="1110"/>
      <c r="Y640" s="1096"/>
      <c r="Z640" s="1286"/>
      <c r="AA640" s="1151"/>
      <c r="AB640" s="1151"/>
      <c r="AC640" s="1107"/>
      <c r="AD640" s="1109"/>
      <c r="AE640" s="1108"/>
      <c r="AF640" s="1115"/>
      <c r="AG640" s="1116"/>
      <c r="AH640" s="1117"/>
      <c r="AI640" s="1117"/>
      <c r="AJ640" s="1118"/>
      <c r="AK640" s="1119"/>
      <c r="AL640" s="1120"/>
      <c r="AM640" s="1116"/>
      <c r="AN640" s="1116"/>
      <c r="AO640" s="1117"/>
      <c r="AP640" s="1108"/>
      <c r="AQ640" s="1117"/>
      <c r="AR640" s="1108"/>
      <c r="AS640" s="1108"/>
      <c r="AT640" s="1116"/>
      <c r="AU640" s="1118"/>
      <c r="AV640" s="1108"/>
    </row>
    <row r="641" spans="1:48" ht="16.2" customHeight="1">
      <c r="A641" s="1541">
        <v>49</v>
      </c>
      <c r="B641" s="1033" t="s">
        <v>25</v>
      </c>
      <c r="C641" s="1036" t="s">
        <v>1785</v>
      </c>
      <c r="D641" s="1170"/>
      <c r="E641" s="1034"/>
      <c r="F641" s="1375" t="s">
        <v>1784</v>
      </c>
      <c r="G641" s="1172" t="s">
        <v>25</v>
      </c>
      <c r="H641" s="1173" t="s">
        <v>1568</v>
      </c>
      <c r="I641" s="1174">
        <v>400.38900000000001</v>
      </c>
      <c r="J641" s="1175" t="s">
        <v>41</v>
      </c>
      <c r="K641" s="1041" t="s">
        <v>1783</v>
      </c>
      <c r="L641" s="1129" t="s">
        <v>46</v>
      </c>
      <c r="M641" s="1176" t="s">
        <v>46</v>
      </c>
      <c r="N641" s="1170" t="s">
        <v>25</v>
      </c>
      <c r="O641" s="1177" t="s">
        <v>26</v>
      </c>
      <c r="P641" s="1048"/>
      <c r="Q641" s="1054">
        <v>98</v>
      </c>
      <c r="R641" s="1033"/>
      <c r="S641" s="1034" t="s">
        <v>15</v>
      </c>
      <c r="T641" s="1053"/>
      <c r="U641" s="1180">
        <v>1</v>
      </c>
      <c r="V641" s="1047" t="s">
        <v>14</v>
      </c>
      <c r="W641" s="1052">
        <v>2</v>
      </c>
      <c r="X641" s="1051"/>
      <c r="Y641" s="1036"/>
      <c r="Z641" s="1203">
        <f>SUM(W641:Y641)</f>
        <v>2</v>
      </c>
      <c r="AA641" s="1170"/>
      <c r="AB641" s="1181"/>
      <c r="AC641" s="1047"/>
      <c r="AD641" s="1055"/>
      <c r="AE641" s="1032"/>
      <c r="AF641" s="1056">
        <f>Resum!F1</f>
        <v>356000</v>
      </c>
      <c r="AG641" s="1057">
        <f>AF641*I641</f>
        <v>142538484</v>
      </c>
      <c r="AH641" s="1058">
        <v>2530000</v>
      </c>
      <c r="AI641" s="1058">
        <f>AH641*Q641*0.85</f>
        <v>210749000</v>
      </c>
      <c r="AJ641" s="1182">
        <f>SUM(AI641:AI651)</f>
        <v>228314000</v>
      </c>
      <c r="AK641" s="1060">
        <v>350000</v>
      </c>
      <c r="AL641" s="1058">
        <f t="shared" si="48"/>
        <v>700000</v>
      </c>
      <c r="AM641" s="1057">
        <f>SUM(AL641:AL651)</f>
        <v>1277100</v>
      </c>
      <c r="AN641" s="1057">
        <f>AM641+AJ641+AG641</f>
        <v>372129584</v>
      </c>
      <c r="AO641" s="1058"/>
      <c r="AP641" s="1548">
        <f>(AG641+AI641)*15%</f>
        <v>52993122.600000001</v>
      </c>
      <c r="AQ641" s="1058">
        <f>(AG641+AI641)*1%</f>
        <v>3532874.84</v>
      </c>
      <c r="AR641" s="1548">
        <f>(AG641+AI641)*5%</f>
        <v>17664374.199999999</v>
      </c>
      <c r="AS641" s="1058">
        <f>0.5%*(AG641+AI641)*(3)</f>
        <v>5299312.26</v>
      </c>
      <c r="AT641" s="1057">
        <f>+AS641+AR641+AQ641+AP641+AO641</f>
        <v>79489683.900000006</v>
      </c>
      <c r="AU641" s="2015">
        <f>ROUND(AT641+AN641,-3)</f>
        <v>451619000</v>
      </c>
      <c r="AV641" s="1041"/>
    </row>
    <row r="642" spans="1:48" ht="16.5" customHeight="1">
      <c r="A642" s="1073"/>
      <c r="B642" s="1038" t="s">
        <v>16</v>
      </c>
      <c r="C642" s="1071" t="s">
        <v>1782</v>
      </c>
      <c r="D642" s="1074"/>
      <c r="E642" s="1063"/>
      <c r="F642" s="1138"/>
      <c r="G642" s="1074" t="s">
        <v>16</v>
      </c>
      <c r="H642" s="1074" t="s">
        <v>22</v>
      </c>
      <c r="I642" s="1127"/>
      <c r="J642" s="1128"/>
      <c r="K642" s="1067"/>
      <c r="L642" s="1139"/>
      <c r="M642" s="1130"/>
      <c r="N642" s="1074" t="s">
        <v>16</v>
      </c>
      <c r="O642" s="1123" t="s">
        <v>21</v>
      </c>
      <c r="P642" s="1075"/>
      <c r="Q642" s="1081">
        <v>9.8000000000000007</v>
      </c>
      <c r="R642" s="1038"/>
      <c r="S642" s="1074"/>
      <c r="T642" s="1080"/>
      <c r="U642" s="1091">
        <v>2</v>
      </c>
      <c r="V642" s="1073" t="s">
        <v>34</v>
      </c>
      <c r="W642" s="1079"/>
      <c r="X642" s="1078">
        <v>3</v>
      </c>
      <c r="Y642" s="1039"/>
      <c r="Z642" s="1134">
        <f>SUM(W642:Y642)</f>
        <v>3</v>
      </c>
      <c r="AA642" s="1074"/>
      <c r="AB642" s="1126"/>
      <c r="AC642" s="1073"/>
      <c r="AD642" s="1084"/>
      <c r="AE642" s="1062"/>
      <c r="AF642" s="1085"/>
      <c r="AG642" s="1086"/>
      <c r="AH642" s="1087">
        <v>250000</v>
      </c>
      <c r="AI642" s="1087">
        <f>AH642*Q642*0.7</f>
        <v>1715000</v>
      </c>
      <c r="AJ642" s="1088"/>
      <c r="AK642" s="1089">
        <v>82500</v>
      </c>
      <c r="AL642" s="1090">
        <f>AK642*X642</f>
        <v>247500</v>
      </c>
      <c r="AM642" s="1086"/>
      <c r="AN642" s="1086"/>
      <c r="AO642" s="1087"/>
      <c r="AP642" s="1076"/>
      <c r="AQ642" s="1087"/>
      <c r="AR642" s="1076"/>
      <c r="AS642" s="1076"/>
      <c r="AT642" s="1086"/>
      <c r="AU642" s="1088"/>
      <c r="AV642" s="1067"/>
    </row>
    <row r="643" spans="1:48" ht="16.5" customHeight="1">
      <c r="A643" s="1073"/>
      <c r="B643" s="1038" t="s">
        <v>18</v>
      </c>
      <c r="C643" s="1039" t="s">
        <v>38</v>
      </c>
      <c r="D643" s="1074"/>
      <c r="E643" s="1074"/>
      <c r="F643" s="1138"/>
      <c r="G643" s="1074" t="s">
        <v>18</v>
      </c>
      <c r="H643" s="1074" t="s">
        <v>19</v>
      </c>
      <c r="I643" s="1127"/>
      <c r="J643" s="1128"/>
      <c r="K643" s="1067"/>
      <c r="L643" s="1139"/>
      <c r="M643" s="1130"/>
      <c r="N643" s="1074" t="s">
        <v>18</v>
      </c>
      <c r="O643" s="1123" t="s">
        <v>17</v>
      </c>
      <c r="P643" s="1075">
        <v>1</v>
      </c>
      <c r="Q643" s="1081"/>
      <c r="R643" s="1038"/>
      <c r="S643" s="1074"/>
      <c r="T643" s="1080"/>
      <c r="U643" s="1184">
        <v>3</v>
      </c>
      <c r="V643" s="1185" t="s">
        <v>808</v>
      </c>
      <c r="W643" s="1079"/>
      <c r="X643" s="1078"/>
      <c r="Y643" s="1039">
        <v>8</v>
      </c>
      <c r="Z643" s="1134">
        <f>SUM(W643:Y643)</f>
        <v>8</v>
      </c>
      <c r="AA643" s="1074"/>
      <c r="AB643" s="1126"/>
      <c r="AC643" s="1073"/>
      <c r="AD643" s="1084"/>
      <c r="AE643" s="1062"/>
      <c r="AF643" s="1085"/>
      <c r="AG643" s="1086"/>
      <c r="AH643" s="1087">
        <v>2500000</v>
      </c>
      <c r="AI643" s="1087">
        <f>AH643*P643*0.5</f>
        <v>1250000</v>
      </c>
      <c r="AJ643" s="1088"/>
      <c r="AK643" s="1089">
        <v>41200</v>
      </c>
      <c r="AL643" s="1090">
        <f>AK643*Y643</f>
        <v>329600</v>
      </c>
      <c r="AM643" s="1086"/>
      <c r="AN643" s="1086"/>
      <c r="AO643" s="1087"/>
      <c r="AP643" s="1076"/>
      <c r="AQ643" s="1087"/>
      <c r="AR643" s="1076"/>
      <c r="AS643" s="1076"/>
      <c r="AT643" s="1086"/>
      <c r="AU643" s="1088"/>
      <c r="AV643" s="1067"/>
    </row>
    <row r="644" spans="1:48" ht="49.5" customHeight="1">
      <c r="A644" s="1073"/>
      <c r="B644" s="1038" t="s">
        <v>12</v>
      </c>
      <c r="C644" s="1083" t="s">
        <v>210</v>
      </c>
      <c r="D644" s="1077"/>
      <c r="E644" s="1126"/>
      <c r="F644" s="1138"/>
      <c r="G644" s="1074"/>
      <c r="H644" s="1077"/>
      <c r="I644" s="1127"/>
      <c r="J644" s="1128"/>
      <c r="K644" s="1067"/>
      <c r="L644" s="1139"/>
      <c r="M644" s="1130"/>
      <c r="N644" s="1074" t="s">
        <v>12</v>
      </c>
      <c r="O644" s="1131" t="s">
        <v>11</v>
      </c>
      <c r="P644" s="1075">
        <v>2</v>
      </c>
      <c r="Q644" s="1081"/>
      <c r="R644" s="1122"/>
      <c r="S644" s="1063"/>
      <c r="T644" s="1080"/>
      <c r="U644" s="1184"/>
      <c r="V644" s="1185"/>
      <c r="W644" s="1079"/>
      <c r="X644" s="1078"/>
      <c r="Y644" s="1039"/>
      <c r="Z644" s="1183"/>
      <c r="AA644" s="1074"/>
      <c r="AB644" s="1126"/>
      <c r="AC644" s="1073"/>
      <c r="AD644" s="1084"/>
      <c r="AE644" s="1062"/>
      <c r="AF644" s="1085"/>
      <c r="AG644" s="1086"/>
      <c r="AH644" s="1087">
        <v>2500000</v>
      </c>
      <c r="AI644" s="1087">
        <f>AH644*P644*0.75</f>
        <v>3750000</v>
      </c>
      <c r="AJ644" s="1088"/>
      <c r="AK644" s="1089"/>
      <c r="AL644" s="1090">
        <f t="shared" si="48"/>
        <v>0</v>
      </c>
      <c r="AM644" s="1086"/>
      <c r="AN644" s="1086"/>
      <c r="AO644" s="1087"/>
      <c r="AP644" s="1076"/>
      <c r="AQ644" s="1087"/>
      <c r="AR644" s="1076"/>
      <c r="AS644" s="1076"/>
      <c r="AT644" s="1086"/>
      <c r="AU644" s="1088"/>
      <c r="AV644" s="1067"/>
    </row>
    <row r="645" spans="1:48" ht="16.5" customHeight="1">
      <c r="A645" s="1073"/>
      <c r="B645" s="1038" t="s">
        <v>8</v>
      </c>
      <c r="C645" s="1083" t="s">
        <v>1781</v>
      </c>
      <c r="D645" s="1077"/>
      <c r="E645" s="1126"/>
      <c r="F645" s="1138"/>
      <c r="G645" s="1074"/>
      <c r="H645" s="1077"/>
      <c r="I645" s="1127"/>
      <c r="J645" s="1128"/>
      <c r="K645" s="1067"/>
      <c r="L645" s="1139"/>
      <c r="M645" s="1130"/>
      <c r="N645" s="1074" t="s">
        <v>8</v>
      </c>
      <c r="O645" s="1131" t="s">
        <v>1796</v>
      </c>
      <c r="P645" s="1075"/>
      <c r="Q645" s="1081">
        <v>64</v>
      </c>
      <c r="R645" s="1122"/>
      <c r="S645" s="1063"/>
      <c r="T645" s="1080"/>
      <c r="U645" s="1184"/>
      <c r="V645" s="1185"/>
      <c r="W645" s="1079"/>
      <c r="X645" s="1078"/>
      <c r="Y645" s="1039"/>
      <c r="Z645" s="1183"/>
      <c r="AA645" s="1074"/>
      <c r="AB645" s="1126"/>
      <c r="AC645" s="1073"/>
      <c r="AD645" s="1084"/>
      <c r="AE645" s="1062"/>
      <c r="AF645" s="1085"/>
      <c r="AG645" s="1086"/>
      <c r="AH645" s="1087">
        <v>300000</v>
      </c>
      <c r="AI645" s="1087">
        <f>AH645*Q645*0.5</f>
        <v>9600000</v>
      </c>
      <c r="AJ645" s="1088"/>
      <c r="AK645" s="1089"/>
      <c r="AL645" s="1090"/>
      <c r="AM645" s="1086"/>
      <c r="AN645" s="1086"/>
      <c r="AO645" s="1087"/>
      <c r="AP645" s="1076"/>
      <c r="AQ645" s="1087"/>
      <c r="AR645" s="1076"/>
      <c r="AS645" s="1076"/>
      <c r="AT645" s="1086"/>
      <c r="AU645" s="1088"/>
      <c r="AV645" s="1067"/>
    </row>
    <row r="646" spans="1:48" ht="16.5" customHeight="1">
      <c r="A646" s="1073"/>
      <c r="B646" s="1038"/>
      <c r="C646" s="1083"/>
      <c r="D646" s="1077"/>
      <c r="E646" s="1126"/>
      <c r="F646" s="1138"/>
      <c r="G646" s="1074"/>
      <c r="H646" s="1077"/>
      <c r="I646" s="1127"/>
      <c r="J646" s="1128"/>
      <c r="K646" s="1067"/>
      <c r="L646" s="1139"/>
      <c r="M646" s="1130"/>
      <c r="N646" s="1074" t="s">
        <v>54</v>
      </c>
      <c r="O646" s="1131" t="s">
        <v>17</v>
      </c>
      <c r="P646" s="1075">
        <v>1</v>
      </c>
      <c r="Q646" s="1081"/>
      <c r="R646" s="1122"/>
      <c r="S646" s="1063"/>
      <c r="T646" s="1080"/>
      <c r="U646" s="1184"/>
      <c r="V646" s="1185"/>
      <c r="W646" s="1079"/>
      <c r="X646" s="1078"/>
      <c r="Y646" s="1039"/>
      <c r="Z646" s="1183"/>
      <c r="AA646" s="1074"/>
      <c r="AB646" s="1126"/>
      <c r="AC646" s="1073"/>
      <c r="AD646" s="1084"/>
      <c r="AE646" s="1062"/>
      <c r="AF646" s="1085"/>
      <c r="AG646" s="1086"/>
      <c r="AH646" s="1087">
        <v>2500000</v>
      </c>
      <c r="AI646" s="1087">
        <f>AH646*P646*0.5</f>
        <v>1250000</v>
      </c>
      <c r="AJ646" s="1088"/>
      <c r="AK646" s="1089"/>
      <c r="AL646" s="1090"/>
      <c r="AM646" s="1086"/>
      <c r="AN646" s="1086"/>
      <c r="AO646" s="1087"/>
      <c r="AP646" s="1076"/>
      <c r="AQ646" s="1087"/>
      <c r="AR646" s="1076"/>
      <c r="AS646" s="1076"/>
      <c r="AT646" s="1086"/>
      <c r="AU646" s="1088"/>
      <c r="AV646" s="1067"/>
    </row>
    <row r="647" spans="1:48" ht="16.5" customHeight="1">
      <c r="A647" s="1073"/>
      <c r="B647" s="1038"/>
      <c r="C647" s="1083"/>
      <c r="D647" s="1077"/>
      <c r="E647" s="1126"/>
      <c r="F647" s="1138"/>
      <c r="G647" s="1074"/>
      <c r="H647" s="1077"/>
      <c r="I647" s="1127"/>
      <c r="J647" s="1128"/>
      <c r="K647" s="1067"/>
      <c r="L647" s="1139"/>
      <c r="M647" s="1130"/>
      <c r="N647" s="1542" t="s">
        <v>1780</v>
      </c>
      <c r="O647" s="1131"/>
      <c r="P647" s="1075"/>
      <c r="Q647" s="1081"/>
      <c r="R647" s="1122"/>
      <c r="S647" s="1063"/>
      <c r="T647" s="1080"/>
      <c r="U647" s="1184"/>
      <c r="V647" s="1185"/>
      <c r="W647" s="1079"/>
      <c r="X647" s="1078"/>
      <c r="Y647" s="1039"/>
      <c r="Z647" s="1183"/>
      <c r="AA647" s="1074"/>
      <c r="AB647" s="1126"/>
      <c r="AC647" s="1073"/>
      <c r="AD647" s="1084"/>
      <c r="AE647" s="1062"/>
      <c r="AF647" s="1085"/>
      <c r="AG647" s="1086"/>
      <c r="AH647" s="1087"/>
      <c r="AI647" s="1087"/>
      <c r="AJ647" s="1088"/>
      <c r="AK647" s="1089"/>
      <c r="AL647" s="1090"/>
      <c r="AM647" s="1086"/>
      <c r="AN647" s="1086"/>
      <c r="AO647" s="1087"/>
      <c r="AP647" s="1076"/>
      <c r="AQ647" s="1087"/>
      <c r="AR647" s="1076"/>
      <c r="AS647" s="1076"/>
      <c r="AT647" s="1086"/>
      <c r="AU647" s="1088"/>
      <c r="AV647" s="1067"/>
    </row>
    <row r="648" spans="1:48" ht="16.5" customHeight="1">
      <c r="A648" s="1073"/>
      <c r="B648" s="1038"/>
      <c r="C648" s="1083"/>
      <c r="D648" s="1077"/>
      <c r="E648" s="1126"/>
      <c r="F648" s="1138"/>
      <c r="G648" s="1074"/>
      <c r="H648" s="1077"/>
      <c r="I648" s="1127"/>
      <c r="J648" s="1128"/>
      <c r="K648" s="1067"/>
      <c r="L648" s="1139"/>
      <c r="M648" s="1130"/>
      <c r="N648" s="1122" t="s">
        <v>25</v>
      </c>
      <c r="O648" s="1293" t="s">
        <v>26</v>
      </c>
      <c r="P648" s="1075"/>
      <c r="Q648" s="1081">
        <v>105</v>
      </c>
      <c r="R648" s="1122"/>
      <c r="S648" s="1063"/>
      <c r="T648" s="1080"/>
      <c r="U648" s="1184"/>
      <c r="V648" s="1185"/>
      <c r="W648" s="1079"/>
      <c r="X648" s="1078"/>
      <c r="Y648" s="1039"/>
      <c r="Z648" s="1183"/>
      <c r="AA648" s="1074"/>
      <c r="AB648" s="1126"/>
      <c r="AC648" s="1073"/>
      <c r="AD648" s="1084"/>
      <c r="AE648" s="1062"/>
      <c r="AF648" s="1085"/>
      <c r="AG648" s="1086"/>
      <c r="AH648" s="1087"/>
      <c r="AI648" s="1087"/>
      <c r="AJ648" s="1088"/>
      <c r="AK648" s="1089"/>
      <c r="AL648" s="1090"/>
      <c r="AM648" s="1086"/>
      <c r="AN648" s="1086"/>
      <c r="AO648" s="1087"/>
      <c r="AP648" s="1076"/>
      <c r="AQ648" s="1087"/>
      <c r="AR648" s="1076"/>
      <c r="AS648" s="1076"/>
      <c r="AT648" s="1086"/>
      <c r="AU648" s="1088"/>
      <c r="AV648" s="1067"/>
    </row>
    <row r="649" spans="1:48" ht="16.5" customHeight="1">
      <c r="A649" s="1073"/>
      <c r="B649" s="1038"/>
      <c r="C649" s="1083"/>
      <c r="D649" s="1077"/>
      <c r="E649" s="1126"/>
      <c r="F649" s="1138"/>
      <c r="G649" s="1074"/>
      <c r="H649" s="1077"/>
      <c r="I649" s="1127"/>
      <c r="J649" s="1128"/>
      <c r="K649" s="1067"/>
      <c r="L649" s="1139"/>
      <c r="M649" s="1130"/>
      <c r="N649" s="1074" t="s">
        <v>16</v>
      </c>
      <c r="O649" s="1123" t="s">
        <v>21</v>
      </c>
      <c r="P649" s="1075"/>
      <c r="Q649" s="1081">
        <v>12.25</v>
      </c>
      <c r="R649" s="1122"/>
      <c r="S649" s="1063"/>
      <c r="T649" s="1080"/>
      <c r="U649" s="1184"/>
      <c r="V649" s="1185"/>
      <c r="W649" s="1079"/>
      <c r="X649" s="1078"/>
      <c r="Y649" s="1039"/>
      <c r="Z649" s="1183"/>
      <c r="AA649" s="1074"/>
      <c r="AB649" s="1126"/>
      <c r="AC649" s="1073"/>
      <c r="AD649" s="1084"/>
      <c r="AE649" s="1062"/>
      <c r="AF649" s="1085"/>
      <c r="AG649" s="1086"/>
      <c r="AH649" s="1087"/>
      <c r="AI649" s="1087"/>
      <c r="AJ649" s="1088"/>
      <c r="AK649" s="1089"/>
      <c r="AL649" s="1090"/>
      <c r="AM649" s="1086"/>
      <c r="AN649" s="1086"/>
      <c r="AO649" s="1087"/>
      <c r="AP649" s="1076"/>
      <c r="AQ649" s="1087"/>
      <c r="AR649" s="1076"/>
      <c r="AS649" s="1076"/>
      <c r="AT649" s="1086"/>
      <c r="AU649" s="1088"/>
      <c r="AV649" s="1067"/>
    </row>
    <row r="650" spans="1:48" ht="16.5" customHeight="1">
      <c r="A650" s="1073"/>
      <c r="B650" s="1038"/>
      <c r="C650" s="1083"/>
      <c r="D650" s="1077"/>
      <c r="E650" s="1126"/>
      <c r="F650" s="1138"/>
      <c r="G650" s="1074"/>
      <c r="H650" s="1077"/>
      <c r="I650" s="1127"/>
      <c r="J650" s="1128"/>
      <c r="K650" s="1067"/>
      <c r="L650" s="1139"/>
      <c r="M650" s="1130"/>
      <c r="N650" s="1074" t="s">
        <v>18</v>
      </c>
      <c r="O650" s="1123" t="s">
        <v>17</v>
      </c>
      <c r="P650" s="1075">
        <v>1</v>
      </c>
      <c r="Q650" s="1081"/>
      <c r="R650" s="1122"/>
      <c r="S650" s="1063"/>
      <c r="T650" s="1080"/>
      <c r="U650" s="1184"/>
      <c r="V650" s="1185"/>
      <c r="W650" s="1079"/>
      <c r="X650" s="1078"/>
      <c r="Y650" s="1039"/>
      <c r="Z650" s="1183"/>
      <c r="AA650" s="1074"/>
      <c r="AB650" s="1126"/>
      <c r="AC650" s="1073"/>
      <c r="AD650" s="1084"/>
      <c r="AE650" s="1062"/>
      <c r="AF650" s="1085"/>
      <c r="AG650" s="1086"/>
      <c r="AH650" s="1087"/>
      <c r="AI650" s="1087"/>
      <c r="AJ650" s="1088"/>
      <c r="AK650" s="1089"/>
      <c r="AL650" s="1090"/>
      <c r="AM650" s="1086"/>
      <c r="AN650" s="1086"/>
      <c r="AO650" s="1087"/>
      <c r="AP650" s="1076"/>
      <c r="AQ650" s="1087"/>
      <c r="AR650" s="1076"/>
      <c r="AS650" s="1076"/>
      <c r="AT650" s="1086"/>
      <c r="AU650" s="1088"/>
      <c r="AV650" s="1067"/>
    </row>
    <row r="651" spans="1:48" ht="16.5" customHeight="1">
      <c r="A651" s="1107"/>
      <c r="B651" s="1095"/>
      <c r="C651" s="1105"/>
      <c r="D651" s="1151"/>
      <c r="E651" s="1156"/>
      <c r="F651" s="1150"/>
      <c r="G651" s="1094"/>
      <c r="H651" s="1151"/>
      <c r="I651" s="1152"/>
      <c r="J651" s="1153"/>
      <c r="K651" s="1101"/>
      <c r="L651" s="1154"/>
      <c r="M651" s="1155"/>
      <c r="N651" s="1094" t="s">
        <v>12</v>
      </c>
      <c r="O651" s="2017" t="s">
        <v>11</v>
      </c>
      <c r="P651" s="1168">
        <v>1</v>
      </c>
      <c r="Q651" s="1113"/>
      <c r="R651" s="1546"/>
      <c r="S651" s="1167"/>
      <c r="T651" s="1112"/>
      <c r="U651" s="1188"/>
      <c r="V651" s="1189"/>
      <c r="W651" s="1111"/>
      <c r="X651" s="1110"/>
      <c r="Y651" s="1096"/>
      <c r="Z651" s="1166"/>
      <c r="AA651" s="1094"/>
      <c r="AB651" s="1156"/>
      <c r="AC651" s="1107"/>
      <c r="AD651" s="1114"/>
      <c r="AE651" s="1093"/>
      <c r="AF651" s="1115"/>
      <c r="AG651" s="1116"/>
      <c r="AH651" s="1117"/>
      <c r="AI651" s="1117"/>
      <c r="AJ651" s="1118"/>
      <c r="AK651" s="1119"/>
      <c r="AL651" s="1120"/>
      <c r="AM651" s="1116"/>
      <c r="AN651" s="1116"/>
      <c r="AO651" s="1117"/>
      <c r="AP651" s="1108"/>
      <c r="AQ651" s="1117"/>
      <c r="AR651" s="1108"/>
      <c r="AS651" s="1108"/>
      <c r="AT651" s="1116"/>
      <c r="AU651" s="1118"/>
      <c r="AV651" s="1101"/>
    </row>
    <row r="652" spans="1:48" ht="16.5" customHeight="1">
      <c r="A652" s="1169">
        <v>50</v>
      </c>
      <c r="B652" s="1033" t="s">
        <v>25</v>
      </c>
      <c r="C652" s="1036" t="s">
        <v>1779</v>
      </c>
      <c r="D652" s="1170"/>
      <c r="E652" s="1034"/>
      <c r="F652" s="1375" t="s">
        <v>1778</v>
      </c>
      <c r="G652" s="1172" t="s">
        <v>25</v>
      </c>
      <c r="H652" s="1173" t="s">
        <v>42</v>
      </c>
      <c r="I652" s="1174">
        <v>283</v>
      </c>
      <c r="J652" s="1175" t="s">
        <v>28</v>
      </c>
      <c r="K652" s="1041" t="s">
        <v>1777</v>
      </c>
      <c r="L652" s="1129" t="s">
        <v>46</v>
      </c>
      <c r="M652" s="1176" t="s">
        <v>46</v>
      </c>
      <c r="N652" s="1170" t="s">
        <v>25</v>
      </c>
      <c r="O652" s="1177" t="s">
        <v>26</v>
      </c>
      <c r="P652" s="1288"/>
      <c r="Q652" s="1054">
        <v>94.5</v>
      </c>
      <c r="R652" s="1033"/>
      <c r="S652" s="1034" t="s">
        <v>15</v>
      </c>
      <c r="T652" s="1053"/>
      <c r="U652" s="1180">
        <v>1</v>
      </c>
      <c r="V652" s="1047" t="s">
        <v>14</v>
      </c>
      <c r="W652" s="1052">
        <v>2</v>
      </c>
      <c r="X652" s="1051"/>
      <c r="Y652" s="1036"/>
      <c r="Z652" s="1134">
        <f>SUM(W652:Y652)</f>
        <v>2</v>
      </c>
      <c r="AA652" s="1170"/>
      <c r="AB652" s="1181"/>
      <c r="AC652" s="1047"/>
      <c r="AD652" s="1055"/>
      <c r="AE652" s="1032"/>
      <c r="AF652" s="1056">
        <f>Resum!F1*1.1</f>
        <v>391600.00000000006</v>
      </c>
      <c r="AG652" s="1086">
        <f>AF652*I652</f>
        <v>110822800.00000001</v>
      </c>
      <c r="AH652" s="1058">
        <v>1800000</v>
      </c>
      <c r="AI652" s="1087">
        <f>AH652*Q652*0.9</f>
        <v>153090000</v>
      </c>
      <c r="AJ652" s="1182">
        <f>SUM(AI652:AI658)</f>
        <v>185679500</v>
      </c>
      <c r="AK652" s="1089">
        <v>350000</v>
      </c>
      <c r="AL652" s="1087">
        <f t="shared" si="48"/>
        <v>700000</v>
      </c>
      <c r="AM652" s="1057">
        <f>SUM(AL652:AL658)</f>
        <v>1148500</v>
      </c>
      <c r="AN652" s="1086">
        <f>AM652+AJ652+AG652</f>
        <v>297650800</v>
      </c>
      <c r="AO652" s="1058"/>
      <c r="AP652" s="1136">
        <f>(AG652+AI652)*15%</f>
        <v>39586920</v>
      </c>
      <c r="AQ652" s="1087">
        <f>(AG652+AI652)*1%</f>
        <v>2639128</v>
      </c>
      <c r="AR652" s="1136">
        <f>(AG652+AI652)*5%</f>
        <v>13195640</v>
      </c>
      <c r="AS652" s="1087">
        <f>0.5%*(AG652+AI652)*(3)</f>
        <v>3958692</v>
      </c>
      <c r="AT652" s="1086">
        <f>+AS652+AR652+AQ652+AP652+AO652</f>
        <v>59380380</v>
      </c>
      <c r="AU652" s="1137">
        <f>ROUND(AT652+AN652,-3)</f>
        <v>357031000</v>
      </c>
      <c r="AV652" s="1041"/>
    </row>
    <row r="653" spans="1:48" ht="16.5" customHeight="1">
      <c r="A653" s="1073"/>
      <c r="B653" s="1038" t="s">
        <v>16</v>
      </c>
      <c r="C653" s="1071" t="s">
        <v>1776</v>
      </c>
      <c r="D653" s="1074"/>
      <c r="E653" s="1063"/>
      <c r="F653" s="1138"/>
      <c r="G653" s="1074" t="s">
        <v>16</v>
      </c>
      <c r="H653" s="1074" t="s">
        <v>22</v>
      </c>
      <c r="I653" s="1127"/>
      <c r="J653" s="1128"/>
      <c r="K653" s="1067"/>
      <c r="L653" s="1139"/>
      <c r="M653" s="1130"/>
      <c r="N653" s="1074" t="s">
        <v>16</v>
      </c>
      <c r="O653" s="1123" t="s">
        <v>21</v>
      </c>
      <c r="P653" s="1075"/>
      <c r="Q653" s="1081">
        <v>6</v>
      </c>
      <c r="R653" s="1038"/>
      <c r="S653" s="1074"/>
      <c r="T653" s="1080"/>
      <c r="U653" s="1091">
        <v>2</v>
      </c>
      <c r="V653" s="1073" t="s">
        <v>344</v>
      </c>
      <c r="W653" s="1079">
        <v>2</v>
      </c>
      <c r="X653" s="1078"/>
      <c r="Y653" s="1039"/>
      <c r="Z653" s="1134">
        <f>SUM(W653:Y653)</f>
        <v>2</v>
      </c>
      <c r="AA653" s="1074"/>
      <c r="AB653" s="1126"/>
      <c r="AC653" s="1073"/>
      <c r="AD653" s="1084"/>
      <c r="AE653" s="1062"/>
      <c r="AF653" s="1085"/>
      <c r="AG653" s="1086"/>
      <c r="AH653" s="1087">
        <v>250000</v>
      </c>
      <c r="AI653" s="1087">
        <f>AH653*Q653*0.7</f>
        <v>1050000</v>
      </c>
      <c r="AJ653" s="1088"/>
      <c r="AK653" s="1089">
        <v>150000</v>
      </c>
      <c r="AL653" s="1090">
        <f t="shared" si="48"/>
        <v>300000</v>
      </c>
      <c r="AM653" s="1086"/>
      <c r="AN653" s="1086"/>
      <c r="AO653" s="1087"/>
      <c r="AP653" s="1076"/>
      <c r="AQ653" s="1087"/>
      <c r="AR653" s="1076"/>
      <c r="AS653" s="1076"/>
      <c r="AT653" s="1086"/>
      <c r="AU653" s="1088"/>
      <c r="AV653" s="1067"/>
    </row>
    <row r="654" spans="1:48" ht="16.5" customHeight="1">
      <c r="A654" s="1073"/>
      <c r="B654" s="1038" t="s">
        <v>18</v>
      </c>
      <c r="C654" s="1039" t="s">
        <v>404</v>
      </c>
      <c r="D654" s="1074"/>
      <c r="E654" s="1074"/>
      <c r="F654" s="1138"/>
      <c r="G654" s="1074" t="s">
        <v>18</v>
      </c>
      <c r="H654" s="1074" t="s">
        <v>19</v>
      </c>
      <c r="I654" s="1127"/>
      <c r="J654" s="1128"/>
      <c r="K654" s="1067"/>
      <c r="L654" s="1139"/>
      <c r="M654" s="1130"/>
      <c r="N654" s="1074" t="s">
        <v>18</v>
      </c>
      <c r="O654" s="1123" t="s">
        <v>1544</v>
      </c>
      <c r="P654" s="1075"/>
      <c r="Q654" s="1081">
        <v>7</v>
      </c>
      <c r="R654" s="1038"/>
      <c r="S654" s="1074"/>
      <c r="T654" s="1080"/>
      <c r="U654" s="1184">
        <v>3</v>
      </c>
      <c r="V654" s="1185" t="s">
        <v>265</v>
      </c>
      <c r="W654" s="1079"/>
      <c r="X654" s="1078">
        <v>1</v>
      </c>
      <c r="Y654" s="1039"/>
      <c r="Z654" s="1134">
        <f>SUM(W654:Y654)</f>
        <v>1</v>
      </c>
      <c r="AA654" s="1074"/>
      <c r="AB654" s="1063"/>
      <c r="AC654" s="1073"/>
      <c r="AD654" s="1084"/>
      <c r="AE654" s="1062"/>
      <c r="AF654" s="1085"/>
      <c r="AG654" s="1086"/>
      <c r="AH654" s="1087">
        <v>125000</v>
      </c>
      <c r="AI654" s="1087">
        <f>AH654*Q654*0.5</f>
        <v>437500</v>
      </c>
      <c r="AJ654" s="1088"/>
      <c r="AK654" s="1089">
        <v>66000</v>
      </c>
      <c r="AL654" s="1090">
        <f>AK654*X654</f>
        <v>66000</v>
      </c>
      <c r="AM654" s="1086"/>
      <c r="AN654" s="1086"/>
      <c r="AO654" s="1087"/>
      <c r="AP654" s="1076"/>
      <c r="AQ654" s="1087"/>
      <c r="AR654" s="1076"/>
      <c r="AS654" s="1076"/>
      <c r="AT654" s="1086"/>
      <c r="AU654" s="1088"/>
      <c r="AV654" s="1067"/>
    </row>
    <row r="655" spans="1:48" ht="49.5" customHeight="1">
      <c r="A655" s="1073"/>
      <c r="B655" s="1082" t="s">
        <v>12</v>
      </c>
      <c r="C655" s="1083" t="s">
        <v>1775</v>
      </c>
      <c r="D655" s="1077"/>
      <c r="E655" s="1126"/>
      <c r="F655" s="1138"/>
      <c r="G655" s="1074"/>
      <c r="H655" s="1077"/>
      <c r="I655" s="1127"/>
      <c r="J655" s="1128"/>
      <c r="K655" s="1067"/>
      <c r="L655" s="1139"/>
      <c r="M655" s="1130"/>
      <c r="N655" s="1074" t="s">
        <v>12</v>
      </c>
      <c r="O655" s="1131" t="s">
        <v>62</v>
      </c>
      <c r="P655" s="1075"/>
      <c r="Q655" s="1081">
        <v>66</v>
      </c>
      <c r="R655" s="1038"/>
      <c r="S655" s="1063"/>
      <c r="T655" s="1144"/>
      <c r="U655" s="1145">
        <v>4</v>
      </c>
      <c r="V655" s="1146" t="s">
        <v>1577</v>
      </c>
      <c r="W655" s="1314"/>
      <c r="X655" s="1315">
        <v>1</v>
      </c>
      <c r="Y655" s="1316"/>
      <c r="Z655" s="1134">
        <f>SUM(W655:Y655)</f>
        <v>1</v>
      </c>
      <c r="AA655" s="1074"/>
      <c r="AB655" s="1063"/>
      <c r="AC655" s="1075"/>
      <c r="AD655" s="1084"/>
      <c r="AE655" s="1062"/>
      <c r="AF655" s="1085"/>
      <c r="AG655" s="1086"/>
      <c r="AH655" s="1087">
        <v>610000</v>
      </c>
      <c r="AI655" s="1087">
        <f>AH655*Q655*0.6</f>
        <v>24156000</v>
      </c>
      <c r="AJ655" s="1088"/>
      <c r="AK655" s="1089">
        <v>82500</v>
      </c>
      <c r="AL655" s="1090">
        <f>AK655*X655</f>
        <v>82500</v>
      </c>
      <c r="AM655" s="1086"/>
      <c r="AN655" s="1086"/>
      <c r="AO655" s="1087"/>
      <c r="AP655" s="1076"/>
      <c r="AQ655" s="1087"/>
      <c r="AR655" s="1076"/>
      <c r="AS655" s="1076"/>
      <c r="AT655" s="1086"/>
      <c r="AU655" s="1088"/>
      <c r="AV655" s="1067"/>
    </row>
    <row r="656" spans="1:48" ht="16.5" customHeight="1">
      <c r="A656" s="1073"/>
      <c r="B656" s="1038" t="s">
        <v>8</v>
      </c>
      <c r="C656" s="1244" t="s">
        <v>1774</v>
      </c>
      <c r="D656" s="1074"/>
      <c r="E656" s="1204"/>
      <c r="F656" s="1138"/>
      <c r="G656" s="1074"/>
      <c r="H656" s="1077"/>
      <c r="I656" s="1127"/>
      <c r="J656" s="1128"/>
      <c r="K656" s="1067"/>
      <c r="L656" s="1139"/>
      <c r="M656" s="1130"/>
      <c r="N656" s="1074" t="s">
        <v>8</v>
      </c>
      <c r="O656" s="1191" t="s">
        <v>21</v>
      </c>
      <c r="P656" s="1075"/>
      <c r="Q656" s="1031">
        <v>28.4</v>
      </c>
      <c r="R656" s="1038"/>
      <c r="S656" s="1063"/>
      <c r="T656" s="1144"/>
      <c r="U656" s="1145"/>
      <c r="V656" s="1146"/>
      <c r="W656" s="1314"/>
      <c r="X656" s="1315"/>
      <c r="Y656" s="1316"/>
      <c r="Z656" s="1183"/>
      <c r="AA656" s="1074"/>
      <c r="AB656" s="1063"/>
      <c r="AC656" s="1075"/>
      <c r="AD656" s="1084"/>
      <c r="AE656" s="1062"/>
      <c r="AF656" s="1085"/>
      <c r="AG656" s="1086"/>
      <c r="AH656" s="1087">
        <v>150000</v>
      </c>
      <c r="AI656" s="1087">
        <f>AH656*Q656*0.6</f>
        <v>2556000</v>
      </c>
      <c r="AJ656" s="1088"/>
      <c r="AK656" s="1089"/>
      <c r="AL656" s="1090"/>
      <c r="AM656" s="1086"/>
      <c r="AN656" s="1086"/>
      <c r="AO656" s="1087"/>
      <c r="AP656" s="1076"/>
      <c r="AQ656" s="1087"/>
      <c r="AR656" s="1076"/>
      <c r="AS656" s="1076"/>
      <c r="AT656" s="1086"/>
      <c r="AU656" s="1088"/>
      <c r="AV656" s="1067"/>
    </row>
    <row r="657" spans="1:48" ht="16.5" customHeight="1">
      <c r="A657" s="1073"/>
      <c r="B657" s="1038"/>
      <c r="C657" s="1244"/>
      <c r="D657" s="1074"/>
      <c r="E657" s="1204"/>
      <c r="F657" s="1233"/>
      <c r="G657" s="1074"/>
      <c r="H657" s="1077"/>
      <c r="I657" s="1234"/>
      <c r="J657" s="1081"/>
      <c r="K657" s="1235"/>
      <c r="L657" s="1543"/>
      <c r="M657" s="1237"/>
      <c r="N657" s="1074" t="s">
        <v>54</v>
      </c>
      <c r="O657" s="1131" t="s">
        <v>52</v>
      </c>
      <c r="P657" s="1075"/>
      <c r="Q657" s="1081">
        <v>18</v>
      </c>
      <c r="R657" s="1038"/>
      <c r="S657" s="1063"/>
      <c r="T657" s="1144"/>
      <c r="U657" s="1145"/>
      <c r="V657" s="1146"/>
      <c r="W657" s="1314"/>
      <c r="X657" s="1315"/>
      <c r="Y657" s="1316"/>
      <c r="Z657" s="1183"/>
      <c r="AA657" s="1074"/>
      <c r="AB657" s="1063"/>
      <c r="AC657" s="1075"/>
      <c r="AD657" s="1091"/>
      <c r="AE657" s="1076"/>
      <c r="AF657" s="1085"/>
      <c r="AG657" s="1086"/>
      <c r="AH657" s="1087">
        <v>210000</v>
      </c>
      <c r="AI657" s="1087">
        <f t="shared" ref="AI657" si="52">AH657*Q657*0.5</f>
        <v>1890000</v>
      </c>
      <c r="AJ657" s="1088"/>
      <c r="AK657" s="1089"/>
      <c r="AL657" s="1090"/>
      <c r="AM657" s="1086"/>
      <c r="AN657" s="1086"/>
      <c r="AO657" s="1087"/>
      <c r="AP657" s="1076"/>
      <c r="AQ657" s="1087"/>
      <c r="AR657" s="1076"/>
      <c r="AS657" s="1076"/>
      <c r="AT657" s="1086"/>
      <c r="AU657" s="1088"/>
      <c r="AV657" s="1235"/>
    </row>
    <row r="658" spans="1:48" ht="16.5" customHeight="1">
      <c r="A658" s="1073"/>
      <c r="B658" s="1038"/>
      <c r="C658" s="1244"/>
      <c r="D658" s="1074"/>
      <c r="E658" s="1204"/>
      <c r="F658" s="1233"/>
      <c r="G658" s="1074"/>
      <c r="H658" s="1077"/>
      <c r="I658" s="1234"/>
      <c r="J658" s="1081"/>
      <c r="K658" s="1235"/>
      <c r="L658" s="1543"/>
      <c r="M658" s="1237"/>
      <c r="N658" s="1074" t="s">
        <v>53</v>
      </c>
      <c r="O658" s="1131" t="s">
        <v>11</v>
      </c>
      <c r="P658" s="1075">
        <v>2</v>
      </c>
      <c r="Q658" s="1081"/>
      <c r="R658" s="1038"/>
      <c r="S658" s="1063"/>
      <c r="T658" s="1144"/>
      <c r="U658" s="1145"/>
      <c r="V658" s="1146"/>
      <c r="W658" s="1314"/>
      <c r="X658" s="1315"/>
      <c r="Y658" s="1316"/>
      <c r="Z658" s="1166"/>
      <c r="AA658" s="1074"/>
      <c r="AB658" s="1063"/>
      <c r="AC658" s="1075"/>
      <c r="AD658" s="1091"/>
      <c r="AE658" s="1076"/>
      <c r="AF658" s="1085"/>
      <c r="AG658" s="1116"/>
      <c r="AH658" s="1087">
        <v>2500000</v>
      </c>
      <c r="AI658" s="1117">
        <f>AH658*P658*0.5</f>
        <v>2500000</v>
      </c>
      <c r="AJ658" s="1088"/>
      <c r="AK658" s="1119"/>
      <c r="AL658" s="1120"/>
      <c r="AM658" s="1086"/>
      <c r="AN658" s="1116"/>
      <c r="AO658" s="1087"/>
      <c r="AP658" s="1108"/>
      <c r="AQ658" s="1117"/>
      <c r="AR658" s="1108"/>
      <c r="AS658" s="1108"/>
      <c r="AT658" s="1116"/>
      <c r="AU658" s="1118"/>
      <c r="AV658" s="1235"/>
    </row>
    <row r="659" spans="1:48" ht="16.5" customHeight="1">
      <c r="A659" s="1169">
        <v>51</v>
      </c>
      <c r="B659" s="1033" t="s">
        <v>25</v>
      </c>
      <c r="C659" s="1036" t="s">
        <v>1773</v>
      </c>
      <c r="D659" s="1034"/>
      <c r="E659" s="1199"/>
      <c r="F659" s="1375" t="s">
        <v>1772</v>
      </c>
      <c r="G659" s="1172" t="s">
        <v>25</v>
      </c>
      <c r="H659" s="1173" t="s">
        <v>1540</v>
      </c>
      <c r="I659" s="1174">
        <v>268.44099999999997</v>
      </c>
      <c r="J659" s="1175" t="s">
        <v>41</v>
      </c>
      <c r="K659" s="1041" t="s">
        <v>1771</v>
      </c>
      <c r="L659" s="1129" t="s">
        <v>46</v>
      </c>
      <c r="M659" s="1176" t="s">
        <v>46</v>
      </c>
      <c r="N659" s="1170" t="s">
        <v>25</v>
      </c>
      <c r="O659" s="1177" t="s">
        <v>26</v>
      </c>
      <c r="P659" s="1048"/>
      <c r="Q659" s="1054">
        <v>36</v>
      </c>
      <c r="R659" s="1033"/>
      <c r="S659" s="1034" t="s">
        <v>15</v>
      </c>
      <c r="T659" s="1053"/>
      <c r="U659" s="1180">
        <v>1</v>
      </c>
      <c r="V659" s="1047" t="s">
        <v>14</v>
      </c>
      <c r="W659" s="1052"/>
      <c r="X659" s="1051">
        <v>5</v>
      </c>
      <c r="Y659" s="1036"/>
      <c r="Z659" s="1134">
        <f>SUM(W659:Y659)</f>
        <v>5</v>
      </c>
      <c r="AA659" s="1170"/>
      <c r="AB659" s="1181"/>
      <c r="AC659" s="1047"/>
      <c r="AD659" s="1055"/>
      <c r="AE659" s="1032"/>
      <c r="AF659" s="1056">
        <f>Resum!F1</f>
        <v>356000</v>
      </c>
      <c r="AG659" s="1086">
        <f>AF659*I659</f>
        <v>95564995.999999985</v>
      </c>
      <c r="AH659" s="1058">
        <v>1800000</v>
      </c>
      <c r="AI659" s="1087">
        <f>AH659*Q659*0.8</f>
        <v>51840000</v>
      </c>
      <c r="AJ659" s="1182">
        <f>SUM(AI659:AI664)</f>
        <v>70133000</v>
      </c>
      <c r="AK659" s="1089">
        <v>231000</v>
      </c>
      <c r="AL659" s="1087">
        <f>AK659*X659</f>
        <v>1155000</v>
      </c>
      <c r="AM659" s="1057">
        <f>SUM(AL659:AL664)</f>
        <v>1550000</v>
      </c>
      <c r="AN659" s="1086">
        <f>AM659+AJ659+AG659</f>
        <v>167247996</v>
      </c>
      <c r="AO659" s="1058">
        <f>150000*30*3</f>
        <v>13500000</v>
      </c>
      <c r="AP659" s="1136">
        <f>(AG659+AI659)*15%</f>
        <v>22110749.399999999</v>
      </c>
      <c r="AQ659" s="1087">
        <f>(AG659+AI659)*1%</f>
        <v>1474049.96</v>
      </c>
      <c r="AR659" s="1136">
        <f>(AG659+AI659)*5%</f>
        <v>7370249.8000000007</v>
      </c>
      <c r="AS659" s="1087">
        <f>0.5%*(AG659+AI659)*(3)</f>
        <v>2211074.94</v>
      </c>
      <c r="AT659" s="1086">
        <f>+AS659+AR659+AQ659+AP659+AO659</f>
        <v>46666124.099999994</v>
      </c>
      <c r="AU659" s="1137">
        <f>ROUND(AT659+AN659,-3)</f>
        <v>213914000</v>
      </c>
      <c r="AV659" s="1041"/>
    </row>
    <row r="660" spans="1:48" ht="16.5" customHeight="1">
      <c r="A660" s="1073"/>
      <c r="B660" s="1038" t="s">
        <v>16</v>
      </c>
      <c r="C660" s="1071" t="s">
        <v>1770</v>
      </c>
      <c r="D660" s="1074"/>
      <c r="E660" s="1204"/>
      <c r="F660" s="1138"/>
      <c r="G660" s="1074" t="s">
        <v>16</v>
      </c>
      <c r="H660" s="1074" t="s">
        <v>22</v>
      </c>
      <c r="I660" s="1127"/>
      <c r="J660" s="1128"/>
      <c r="K660" s="1067"/>
      <c r="L660" s="1139"/>
      <c r="M660" s="1130"/>
      <c r="N660" s="1074" t="s">
        <v>16</v>
      </c>
      <c r="O660" s="1131" t="s">
        <v>1097</v>
      </c>
      <c r="P660" s="1075"/>
      <c r="Q660" s="1081">
        <v>2</v>
      </c>
      <c r="R660" s="1038"/>
      <c r="S660" s="1074"/>
      <c r="T660" s="1080"/>
      <c r="U660" s="1091">
        <v>2</v>
      </c>
      <c r="V660" s="1073" t="s">
        <v>10</v>
      </c>
      <c r="W660" s="1079"/>
      <c r="X660" s="1078">
        <v>10</v>
      </c>
      <c r="Y660" s="1039"/>
      <c r="Z660" s="1134">
        <f>SUM(W660:Y660)</f>
        <v>10</v>
      </c>
      <c r="AA660" s="1074"/>
      <c r="AB660" s="1126"/>
      <c r="AC660" s="1073"/>
      <c r="AD660" s="1084"/>
      <c r="AE660" s="1062"/>
      <c r="AF660" s="1085"/>
      <c r="AG660" s="1086"/>
      <c r="AH660" s="1087">
        <v>120000</v>
      </c>
      <c r="AI660" s="1087">
        <f>AH660*Q660*0.7</f>
        <v>168000</v>
      </c>
      <c r="AJ660" s="1088"/>
      <c r="AK660" s="1089">
        <v>35000</v>
      </c>
      <c r="AL660" s="1090">
        <f t="shared" si="48"/>
        <v>0</v>
      </c>
      <c r="AM660" s="1086"/>
      <c r="AN660" s="1086"/>
      <c r="AO660" s="1087"/>
      <c r="AP660" s="1076"/>
      <c r="AQ660" s="1087"/>
      <c r="AR660" s="1076"/>
      <c r="AS660" s="1076"/>
      <c r="AT660" s="1086"/>
      <c r="AU660" s="1088"/>
      <c r="AV660" s="1067"/>
    </row>
    <row r="661" spans="1:48" ht="16.5" customHeight="1">
      <c r="A661" s="1073"/>
      <c r="B661" s="1038" t="s">
        <v>18</v>
      </c>
      <c r="C661" s="1039" t="s">
        <v>38</v>
      </c>
      <c r="D661" s="1074"/>
      <c r="E661" s="1204"/>
      <c r="F661" s="1138"/>
      <c r="G661" s="1074" t="s">
        <v>18</v>
      </c>
      <c r="H661" s="1074" t="s">
        <v>19</v>
      </c>
      <c r="I661" s="1127"/>
      <c r="J661" s="1128"/>
      <c r="K661" s="1067"/>
      <c r="L661" s="1139"/>
      <c r="M661" s="1130"/>
      <c r="N661" s="1074" t="s">
        <v>18</v>
      </c>
      <c r="O661" s="1131" t="s">
        <v>17</v>
      </c>
      <c r="P661" s="1075">
        <v>2</v>
      </c>
      <c r="Q661" s="1081"/>
      <c r="R661" s="1038"/>
      <c r="S661" s="1074"/>
      <c r="T661" s="1080"/>
      <c r="U661" s="1184">
        <v>3</v>
      </c>
      <c r="V661" s="1185" t="s">
        <v>808</v>
      </c>
      <c r="W661" s="1079">
        <v>3</v>
      </c>
      <c r="X661" s="1078"/>
      <c r="Y661" s="1039"/>
      <c r="Z661" s="1134">
        <f>SUM(W661:Y661)</f>
        <v>3</v>
      </c>
      <c r="AA661" s="1074"/>
      <c r="AB661" s="1063"/>
      <c r="AC661" s="1073"/>
      <c r="AD661" s="1084"/>
      <c r="AE661" s="1062"/>
      <c r="AF661" s="1085"/>
      <c r="AG661" s="1086"/>
      <c r="AH661" s="1087">
        <v>2500000</v>
      </c>
      <c r="AI661" s="1087">
        <f>AH661*P661*0.75</f>
        <v>3750000</v>
      </c>
      <c r="AJ661" s="1088"/>
      <c r="AK661" s="1300">
        <v>125000</v>
      </c>
      <c r="AL661" s="1090">
        <f t="shared" si="48"/>
        <v>375000</v>
      </c>
      <c r="AM661" s="1086"/>
      <c r="AN661" s="1086"/>
      <c r="AO661" s="1087"/>
      <c r="AP661" s="1076"/>
      <c r="AQ661" s="1087"/>
      <c r="AR661" s="1076"/>
      <c r="AS661" s="1076"/>
      <c r="AT661" s="1086"/>
      <c r="AU661" s="1088"/>
      <c r="AV661" s="1067"/>
    </row>
    <row r="662" spans="1:48" ht="49.5" customHeight="1">
      <c r="A662" s="1073"/>
      <c r="B662" s="1082" t="s">
        <v>12</v>
      </c>
      <c r="C662" s="1083" t="s">
        <v>210</v>
      </c>
      <c r="D662" s="1074"/>
      <c r="E662" s="1204"/>
      <c r="F662" s="1138"/>
      <c r="G662" s="1074"/>
      <c r="H662" s="1077"/>
      <c r="I662" s="1127"/>
      <c r="J662" s="1128"/>
      <c r="K662" s="1067"/>
      <c r="L662" s="1139"/>
      <c r="M662" s="1130"/>
      <c r="N662" s="1074" t="s">
        <v>12</v>
      </c>
      <c r="O662" s="1131" t="s">
        <v>11</v>
      </c>
      <c r="P662" s="1075">
        <v>2</v>
      </c>
      <c r="Q662" s="1081"/>
      <c r="R662" s="1122"/>
      <c r="S662" s="1063"/>
      <c r="T662" s="1144"/>
      <c r="U662" s="1145">
        <v>4</v>
      </c>
      <c r="V662" s="1146" t="s">
        <v>6</v>
      </c>
      <c r="W662" s="1314"/>
      <c r="X662" s="1315">
        <v>4</v>
      </c>
      <c r="Y662" s="1544"/>
      <c r="Z662" s="1134">
        <f>SUM(W662:Y662)</f>
        <v>4</v>
      </c>
      <c r="AA662" s="1074"/>
      <c r="AB662" s="1063"/>
      <c r="AC662" s="1075"/>
      <c r="AD662" s="1084"/>
      <c r="AE662" s="1062"/>
      <c r="AF662" s="1085"/>
      <c r="AG662" s="1086"/>
      <c r="AH662" s="1087">
        <v>2500000</v>
      </c>
      <c r="AI662" s="1087">
        <f>AH662*P662*0.75</f>
        <v>3750000</v>
      </c>
      <c r="AJ662" s="1088"/>
      <c r="AK662" s="1089">
        <v>5000</v>
      </c>
      <c r="AL662" s="1090">
        <f>AK662*X662</f>
        <v>20000</v>
      </c>
      <c r="AM662" s="1086"/>
      <c r="AN662" s="1086"/>
      <c r="AO662" s="1087"/>
      <c r="AP662" s="1076"/>
      <c r="AQ662" s="1087"/>
      <c r="AR662" s="1076"/>
      <c r="AS662" s="1076"/>
      <c r="AT662" s="1086"/>
      <c r="AU662" s="1088"/>
      <c r="AV662" s="1067"/>
    </row>
    <row r="663" spans="1:48" ht="16.5" customHeight="1">
      <c r="A663" s="1073"/>
      <c r="B663" s="1082" t="s">
        <v>8</v>
      </c>
      <c r="C663" s="1244" t="s">
        <v>1769</v>
      </c>
      <c r="D663" s="1074"/>
      <c r="E663" s="1204"/>
      <c r="F663" s="1138"/>
      <c r="G663" s="1074"/>
      <c r="H663" s="1077"/>
      <c r="I663" s="1127"/>
      <c r="J663" s="1128"/>
      <c r="K663" s="1067"/>
      <c r="L663" s="1139"/>
      <c r="M663" s="1130"/>
      <c r="N663" s="1074" t="s">
        <v>8</v>
      </c>
      <c r="O663" s="1131" t="s">
        <v>175</v>
      </c>
      <c r="P663" s="1075"/>
      <c r="Q663" s="1081">
        <v>85</v>
      </c>
      <c r="R663" s="1122"/>
      <c r="S663" s="1063"/>
      <c r="T663" s="1080"/>
      <c r="U663" s="1545">
        <v>5</v>
      </c>
      <c r="V663" s="1185" t="s">
        <v>5</v>
      </c>
      <c r="W663" s="1079">
        <v>1</v>
      </c>
      <c r="X663" s="1078"/>
      <c r="Y663" s="1039"/>
      <c r="Z663" s="1134">
        <f>SUM(W663:Y663)</f>
        <v>1</v>
      </c>
      <c r="AA663" s="1074"/>
      <c r="AB663" s="1063"/>
      <c r="AC663" s="1075"/>
      <c r="AD663" s="1084"/>
      <c r="AE663" s="1062"/>
      <c r="AF663" s="1085"/>
      <c r="AG663" s="1086"/>
      <c r="AH663" s="1087">
        <v>250000</v>
      </c>
      <c r="AI663" s="1087">
        <f>AH663*Q663*0.5</f>
        <v>10625000</v>
      </c>
      <c r="AJ663" s="1088"/>
      <c r="AK663" s="1089"/>
      <c r="AL663" s="1090">
        <f t="shared" si="48"/>
        <v>0</v>
      </c>
      <c r="AM663" s="1086"/>
      <c r="AN663" s="1086"/>
      <c r="AO663" s="1087"/>
      <c r="AP663" s="1076"/>
      <c r="AQ663" s="1087"/>
      <c r="AR663" s="1076"/>
      <c r="AS663" s="1076"/>
      <c r="AT663" s="1086"/>
      <c r="AU663" s="1088"/>
      <c r="AV663" s="1067"/>
    </row>
    <row r="664" spans="1:48" ht="16.5" customHeight="1">
      <c r="A664" s="1073"/>
      <c r="B664" s="1082"/>
      <c r="C664" s="1083"/>
      <c r="D664" s="1074"/>
      <c r="E664" s="1204"/>
      <c r="F664" s="1138"/>
      <c r="G664" s="1074"/>
      <c r="H664" s="1077"/>
      <c r="I664" s="1127"/>
      <c r="J664" s="1128"/>
      <c r="K664" s="1067"/>
      <c r="L664" s="1154"/>
      <c r="M664" s="1130"/>
      <c r="N664" s="1074"/>
      <c r="O664" s="1126"/>
      <c r="P664" s="1073"/>
      <c r="Q664" s="1077"/>
      <c r="R664" s="1122"/>
      <c r="S664" s="1063"/>
      <c r="T664" s="1080"/>
      <c r="U664" s="1545"/>
      <c r="V664" s="1185"/>
      <c r="W664" s="1079"/>
      <c r="X664" s="1078"/>
      <c r="Y664" s="1039"/>
      <c r="Z664" s="1183"/>
      <c r="AA664" s="1074"/>
      <c r="AB664" s="1063"/>
      <c r="AC664" s="1075"/>
      <c r="AD664" s="1084"/>
      <c r="AE664" s="1062"/>
      <c r="AF664" s="1085"/>
      <c r="AG664" s="1116"/>
      <c r="AH664" s="1087"/>
      <c r="AI664" s="1117"/>
      <c r="AJ664" s="1088"/>
      <c r="AK664" s="1089"/>
      <c r="AL664" s="1120"/>
      <c r="AM664" s="1086"/>
      <c r="AN664" s="1116"/>
      <c r="AO664" s="1087"/>
      <c r="AP664" s="1108"/>
      <c r="AQ664" s="1117"/>
      <c r="AR664" s="1108"/>
      <c r="AS664" s="1108"/>
      <c r="AT664" s="1116"/>
      <c r="AU664" s="1118"/>
      <c r="AV664" s="1101"/>
    </row>
    <row r="665" spans="1:48" ht="16.5" customHeight="1">
      <c r="A665" s="1169">
        <v>52</v>
      </c>
      <c r="B665" s="1033" t="s">
        <v>25</v>
      </c>
      <c r="C665" s="1036" t="s">
        <v>1768</v>
      </c>
      <c r="D665" s="1034"/>
      <c r="E665" s="1199"/>
      <c r="F665" s="1375" t="s">
        <v>1767</v>
      </c>
      <c r="G665" s="1172" t="s">
        <v>25</v>
      </c>
      <c r="H665" s="1173" t="s">
        <v>1540</v>
      </c>
      <c r="I665" s="1174">
        <v>1237</v>
      </c>
      <c r="J665" s="1175" t="s">
        <v>41</v>
      </c>
      <c r="K665" s="1041" t="s">
        <v>1766</v>
      </c>
      <c r="L665" s="1129" t="s">
        <v>46</v>
      </c>
      <c r="M665" s="1176" t="s">
        <v>46</v>
      </c>
      <c r="N665" s="1170" t="s">
        <v>25</v>
      </c>
      <c r="O665" s="1177" t="s">
        <v>26</v>
      </c>
      <c r="P665" s="1048"/>
      <c r="Q665" s="1054">
        <v>139.5</v>
      </c>
      <c r="R665" s="1033"/>
      <c r="S665" s="1034" t="s">
        <v>15</v>
      </c>
      <c r="T665" s="1053"/>
      <c r="U665" s="1180">
        <v>1</v>
      </c>
      <c r="V665" s="1047" t="s">
        <v>3</v>
      </c>
      <c r="W665" s="1052"/>
      <c r="X665" s="1051"/>
      <c r="Y665" s="1036">
        <v>3</v>
      </c>
      <c r="Z665" s="1203">
        <f t="shared" ref="Z665:Z682" si="53">SUM(W665:Y665)</f>
        <v>3</v>
      </c>
      <c r="AA665" s="1170"/>
      <c r="AB665" s="1181"/>
      <c r="AC665" s="1047"/>
      <c r="AD665" s="1055"/>
      <c r="AE665" s="1032"/>
      <c r="AF665" s="1056">
        <f>Resum!F1</f>
        <v>356000</v>
      </c>
      <c r="AG665" s="1086">
        <f>AF665*I665</f>
        <v>440372000</v>
      </c>
      <c r="AH665" s="1058">
        <v>1800000</v>
      </c>
      <c r="AI665" s="1087">
        <f>AH665*Q665*0.7</f>
        <v>175770000</v>
      </c>
      <c r="AJ665" s="1182">
        <f>SUM(AI665:AI692)</f>
        <v>720492000</v>
      </c>
      <c r="AK665" s="1060">
        <v>20000</v>
      </c>
      <c r="AL665" s="1090">
        <f>AK665*Y665</f>
        <v>60000</v>
      </c>
      <c r="AM665" s="1057">
        <f>SUM(AL665:AL694)</f>
        <v>6443270</v>
      </c>
      <c r="AN665" s="1086">
        <f>AM665+AJ665+AG665</f>
        <v>1167307270</v>
      </c>
      <c r="AO665" s="1058"/>
      <c r="AP665" s="1136">
        <f>(AG665+AI673)*10%</f>
        <v>68325200</v>
      </c>
      <c r="AQ665" s="1087">
        <f>(AG665+AI665)*0.5%</f>
        <v>3080710</v>
      </c>
      <c r="AR665" s="1136">
        <f>(AG665+AI665)*5%</f>
        <v>30807100</v>
      </c>
      <c r="AS665" s="1087">
        <f>0.5%*(AG665+AI665)*(3)</f>
        <v>9242130</v>
      </c>
      <c r="AT665" s="1086">
        <f>+AS665+AR665+AQ665+AP665+AO665</f>
        <v>111455140</v>
      </c>
      <c r="AU665" s="1137">
        <f>ROUND(AT665+AN665,-3)</f>
        <v>1278762000</v>
      </c>
      <c r="AV665" s="1041"/>
    </row>
    <row r="666" spans="1:48" ht="16.5" customHeight="1">
      <c r="A666" s="1073"/>
      <c r="B666" s="1038" t="s">
        <v>16</v>
      </c>
      <c r="C666" s="1071" t="s">
        <v>1765</v>
      </c>
      <c r="D666" s="1074"/>
      <c r="E666" s="1204"/>
      <c r="F666" s="1138"/>
      <c r="G666" s="1074" t="s">
        <v>16</v>
      </c>
      <c r="H666" s="1074" t="s">
        <v>22</v>
      </c>
      <c r="I666" s="1127"/>
      <c r="J666" s="1128"/>
      <c r="K666" s="1067"/>
      <c r="L666" s="1139"/>
      <c r="M666" s="1130"/>
      <c r="N666" s="1074" t="s">
        <v>16</v>
      </c>
      <c r="O666" s="1123" t="s">
        <v>1764</v>
      </c>
      <c r="P666" s="1075"/>
      <c r="Q666" s="1081">
        <v>6</v>
      </c>
      <c r="R666" s="1038"/>
      <c r="S666" s="1074"/>
      <c r="T666" s="1080"/>
      <c r="U666" s="1091">
        <v>2</v>
      </c>
      <c r="V666" s="1073" t="s">
        <v>14</v>
      </c>
      <c r="W666" s="1079">
        <v>8</v>
      </c>
      <c r="X666" s="1078"/>
      <c r="Y666" s="1039"/>
      <c r="Z666" s="1134">
        <f t="shared" si="53"/>
        <v>8</v>
      </c>
      <c r="AA666" s="1074"/>
      <c r="AB666" s="1126"/>
      <c r="AC666" s="1073"/>
      <c r="AD666" s="1084"/>
      <c r="AE666" s="1062"/>
      <c r="AF666" s="1085"/>
      <c r="AG666" s="1086"/>
      <c r="AH666" s="1087">
        <v>250000</v>
      </c>
      <c r="AI666" s="1087">
        <f>AH666*Q666*0.7</f>
        <v>1050000</v>
      </c>
      <c r="AJ666" s="1088"/>
      <c r="AK666" s="1089">
        <v>350000</v>
      </c>
      <c r="AL666" s="1087">
        <f t="shared" si="48"/>
        <v>2800000</v>
      </c>
      <c r="AM666" s="1086"/>
      <c r="AN666" s="1086"/>
      <c r="AO666" s="1087"/>
      <c r="AP666" s="1076"/>
      <c r="AQ666" s="1087"/>
      <c r="AR666" s="1076"/>
      <c r="AS666" s="1076"/>
      <c r="AT666" s="1086"/>
      <c r="AU666" s="1088"/>
      <c r="AV666" s="1067"/>
    </row>
    <row r="667" spans="1:48" ht="16.5" customHeight="1">
      <c r="A667" s="1073"/>
      <c r="B667" s="1038"/>
      <c r="C667" s="1039" t="s">
        <v>38</v>
      </c>
      <c r="D667" s="1074"/>
      <c r="E667" s="1204"/>
      <c r="F667" s="1138"/>
      <c r="G667" s="1074"/>
      <c r="H667" s="1074"/>
      <c r="I667" s="1127"/>
      <c r="J667" s="1128"/>
      <c r="K667" s="1067"/>
      <c r="L667" s="1139"/>
      <c r="M667" s="1130"/>
      <c r="N667" s="1074" t="s">
        <v>18</v>
      </c>
      <c r="O667" s="1123" t="s">
        <v>21</v>
      </c>
      <c r="P667" s="1075"/>
      <c r="Q667" s="1081">
        <v>9</v>
      </c>
      <c r="R667" s="1038"/>
      <c r="S667" s="1074"/>
      <c r="T667" s="1080"/>
      <c r="U667" s="1091">
        <v>2</v>
      </c>
      <c r="V667" s="1073" t="s">
        <v>14</v>
      </c>
      <c r="W667" s="1079"/>
      <c r="X667" s="1078">
        <v>2</v>
      </c>
      <c r="Y667" s="1039"/>
      <c r="Z667" s="1134"/>
      <c r="AA667" s="1074"/>
      <c r="AB667" s="1126"/>
      <c r="AC667" s="1073"/>
      <c r="AD667" s="1084"/>
      <c r="AE667" s="1062"/>
      <c r="AF667" s="1085"/>
      <c r="AG667" s="1086"/>
      <c r="AH667" s="1087">
        <v>180000</v>
      </c>
      <c r="AI667" s="1087">
        <f t="shared" ref="AI667" si="54">AH667*Q667*0.75</f>
        <v>1215000</v>
      </c>
      <c r="AJ667" s="1088"/>
      <c r="AK667" s="1089">
        <v>231000</v>
      </c>
      <c r="AL667" s="1087">
        <f>AK667*X667</f>
        <v>462000</v>
      </c>
      <c r="AM667" s="1086"/>
      <c r="AN667" s="1086"/>
      <c r="AO667" s="1087"/>
      <c r="AP667" s="1076"/>
      <c r="AQ667" s="1087"/>
      <c r="AR667" s="1076"/>
      <c r="AS667" s="1076"/>
      <c r="AT667" s="1086"/>
      <c r="AU667" s="1088"/>
      <c r="AV667" s="1067"/>
    </row>
    <row r="668" spans="1:48" ht="49.5" customHeight="1">
      <c r="A668" s="1073"/>
      <c r="B668" s="1038" t="s">
        <v>18</v>
      </c>
      <c r="C668" s="1083" t="s">
        <v>210</v>
      </c>
      <c r="D668" s="1074"/>
      <c r="E668" s="1204"/>
      <c r="F668" s="1138"/>
      <c r="G668" s="1074" t="s">
        <v>18</v>
      </c>
      <c r="H668" s="1074" t="s">
        <v>19</v>
      </c>
      <c r="I668" s="1127"/>
      <c r="J668" s="1128"/>
      <c r="K668" s="1067"/>
      <c r="L668" s="1139"/>
      <c r="M668" s="1130"/>
      <c r="N668" s="1074" t="s">
        <v>12</v>
      </c>
      <c r="O668" s="1131" t="s">
        <v>17</v>
      </c>
      <c r="P668" s="1075">
        <v>1</v>
      </c>
      <c r="Q668" s="1081"/>
      <c r="R668" s="1122"/>
      <c r="S668" s="1063"/>
      <c r="T668" s="1080"/>
      <c r="U668" s="1091">
        <v>3</v>
      </c>
      <c r="V668" s="1211" t="s">
        <v>139</v>
      </c>
      <c r="W668" s="1079">
        <v>2</v>
      </c>
      <c r="X668" s="1078"/>
      <c r="Y668" s="1039"/>
      <c r="Z668" s="1134">
        <f t="shared" si="53"/>
        <v>2</v>
      </c>
      <c r="AA668" s="1074"/>
      <c r="AB668" s="1126"/>
      <c r="AC668" s="1073"/>
      <c r="AD668" s="1084"/>
      <c r="AE668" s="1062"/>
      <c r="AF668" s="1085"/>
      <c r="AG668" s="1086"/>
      <c r="AH668" s="1087">
        <v>2500000</v>
      </c>
      <c r="AI668" s="1087">
        <f>AH668*P668*0.5</f>
        <v>1250000</v>
      </c>
      <c r="AJ668" s="1088"/>
      <c r="AK668" s="1089">
        <v>75000</v>
      </c>
      <c r="AL668" s="1090">
        <f t="shared" si="48"/>
        <v>150000</v>
      </c>
      <c r="AM668" s="1086"/>
      <c r="AN668" s="1086"/>
      <c r="AO668" s="1087"/>
      <c r="AP668" s="1076"/>
      <c r="AQ668" s="1087"/>
      <c r="AR668" s="1076"/>
      <c r="AS668" s="1076"/>
      <c r="AT668" s="1086"/>
      <c r="AU668" s="1088"/>
      <c r="AV668" s="1067"/>
    </row>
    <row r="669" spans="1:48" ht="16.5" customHeight="1">
      <c r="A669" s="1073"/>
      <c r="B669" s="1082" t="s">
        <v>12</v>
      </c>
      <c r="C669" s="1244" t="s">
        <v>1763</v>
      </c>
      <c r="D669" s="1074"/>
      <c r="E669" s="1204"/>
      <c r="F669" s="1138"/>
      <c r="G669" s="1074"/>
      <c r="H669" s="1077"/>
      <c r="I669" s="1127"/>
      <c r="J669" s="1128"/>
      <c r="K669" s="1067"/>
      <c r="L669" s="1139"/>
      <c r="M669" s="1130"/>
      <c r="N669" s="1074" t="s">
        <v>8</v>
      </c>
      <c r="O669" s="1131" t="s">
        <v>11</v>
      </c>
      <c r="P669" s="1075">
        <v>1</v>
      </c>
      <c r="Q669" s="1081"/>
      <c r="R669" s="1122"/>
      <c r="S669" s="1063"/>
      <c r="T669" s="1080"/>
      <c r="U669" s="1091">
        <v>4</v>
      </c>
      <c r="V669" s="1185" t="s">
        <v>808</v>
      </c>
      <c r="W669" s="1079">
        <v>2</v>
      </c>
      <c r="X669" s="1078"/>
      <c r="Y669" s="1039"/>
      <c r="Z669" s="1134">
        <f t="shared" si="53"/>
        <v>2</v>
      </c>
      <c r="AA669" s="1074"/>
      <c r="AB669" s="1063"/>
      <c r="AC669" s="1075"/>
      <c r="AD669" s="1084"/>
      <c r="AE669" s="1062"/>
      <c r="AF669" s="1085"/>
      <c r="AG669" s="1086"/>
      <c r="AH669" s="1087">
        <v>2500000</v>
      </c>
      <c r="AI669" s="1087">
        <f>AH669*P669*0.75</f>
        <v>1875000</v>
      </c>
      <c r="AJ669" s="1088"/>
      <c r="AK669" s="1300">
        <v>125000</v>
      </c>
      <c r="AL669" s="1090">
        <f t="shared" si="48"/>
        <v>250000</v>
      </c>
      <c r="AM669" s="1086"/>
      <c r="AN669" s="1086"/>
      <c r="AO669" s="1087"/>
      <c r="AP669" s="1076"/>
      <c r="AQ669" s="1087"/>
      <c r="AR669" s="1076"/>
      <c r="AS669" s="1076"/>
      <c r="AT669" s="1086"/>
      <c r="AU669" s="1088"/>
      <c r="AV669" s="1067"/>
    </row>
    <row r="670" spans="1:48" ht="16.5" customHeight="1">
      <c r="A670" s="1073"/>
      <c r="B670" s="1082"/>
      <c r="C670" s="1204"/>
      <c r="D670" s="1074"/>
      <c r="E670" s="1204"/>
      <c r="F670" s="1138"/>
      <c r="G670" s="1074"/>
      <c r="H670" s="1077"/>
      <c r="I670" s="1127"/>
      <c r="J670" s="1128"/>
      <c r="K670" s="1067"/>
      <c r="L670" s="1139"/>
      <c r="M670" s="1130"/>
      <c r="N670" s="1074" t="s">
        <v>54</v>
      </c>
      <c r="O670" s="1131" t="s">
        <v>7</v>
      </c>
      <c r="P670" s="1075"/>
      <c r="Q670" s="1081">
        <v>55</v>
      </c>
      <c r="R670" s="1122"/>
      <c r="S670" s="1063"/>
      <c r="T670" s="1080"/>
      <c r="U670" s="1091"/>
      <c r="V670" s="1185" t="s">
        <v>808</v>
      </c>
      <c r="W670" s="1079"/>
      <c r="X670" s="1078"/>
      <c r="Y670" s="1039">
        <v>2</v>
      </c>
      <c r="Z670" s="1134"/>
      <c r="AA670" s="1074"/>
      <c r="AB670" s="1063"/>
      <c r="AC670" s="1075"/>
      <c r="AD670" s="1084"/>
      <c r="AE670" s="1062"/>
      <c r="AF670" s="1085"/>
      <c r="AG670" s="1086"/>
      <c r="AH670" s="1087">
        <v>200000</v>
      </c>
      <c r="AI670" s="1087">
        <f>AH670*Q670*0.5</f>
        <v>5500000</v>
      </c>
      <c r="AJ670" s="1088"/>
      <c r="AK670" s="1089">
        <v>41200</v>
      </c>
      <c r="AL670" s="1090">
        <f>AK670*Y670</f>
        <v>82400</v>
      </c>
      <c r="AM670" s="1086"/>
      <c r="AN670" s="1086"/>
      <c r="AO670" s="1087"/>
      <c r="AP670" s="1076"/>
      <c r="AQ670" s="1087"/>
      <c r="AR670" s="1076"/>
      <c r="AS670" s="1076"/>
      <c r="AT670" s="1086"/>
      <c r="AU670" s="1088"/>
      <c r="AV670" s="1067"/>
    </row>
    <row r="671" spans="1:48" ht="16.5" customHeight="1">
      <c r="A671" s="1073"/>
      <c r="B671" s="1038" t="s">
        <v>8</v>
      </c>
      <c r="D671" s="1074"/>
      <c r="E671" s="1204"/>
      <c r="F671" s="1138"/>
      <c r="G671" s="1074"/>
      <c r="H671" s="1077"/>
      <c r="I671" s="1127"/>
      <c r="J671" s="1128"/>
      <c r="K671" s="1067"/>
      <c r="L671" s="1139"/>
      <c r="M671" s="1130"/>
      <c r="N671" s="1074"/>
      <c r="O671" s="1131"/>
      <c r="P671" s="1075"/>
      <c r="Q671" s="1081"/>
      <c r="R671" s="1122"/>
      <c r="S671" s="1063"/>
      <c r="T671" s="1080"/>
      <c r="U671" s="1091">
        <v>5</v>
      </c>
      <c r="V671" s="1185" t="s">
        <v>137</v>
      </c>
      <c r="W671" s="1079"/>
      <c r="X671" s="1078"/>
      <c r="Y671" s="1039">
        <v>1</v>
      </c>
      <c r="Z671" s="1134">
        <f t="shared" si="53"/>
        <v>1</v>
      </c>
      <c r="AA671" s="1074"/>
      <c r="AB671" s="1063"/>
      <c r="AC671" s="1075"/>
      <c r="AD671" s="1084"/>
      <c r="AE671" s="1062"/>
      <c r="AF671" s="1085"/>
      <c r="AG671" s="1086"/>
      <c r="AH671" s="1087"/>
      <c r="AI671" s="1087"/>
      <c r="AJ671" s="1088"/>
      <c r="AK671" s="1089">
        <v>41250</v>
      </c>
      <c r="AL671" s="1090">
        <f>AK671*Y671</f>
        <v>41250</v>
      </c>
      <c r="AM671" s="1086"/>
      <c r="AN671" s="1086"/>
      <c r="AO671" s="1087"/>
      <c r="AP671" s="1076"/>
      <c r="AQ671" s="1087"/>
      <c r="AR671" s="1076"/>
      <c r="AS671" s="1076"/>
      <c r="AT671" s="1086"/>
      <c r="AU671" s="1088"/>
      <c r="AV671" s="1067"/>
    </row>
    <row r="672" spans="1:48" ht="16.5" customHeight="1">
      <c r="A672" s="1073"/>
      <c r="B672" s="1082"/>
      <c r="C672" s="1083"/>
      <c r="D672" s="1074"/>
      <c r="E672" s="1204"/>
      <c r="F672" s="1138"/>
      <c r="G672" s="1074"/>
      <c r="H672" s="1077"/>
      <c r="I672" s="1127"/>
      <c r="J672" s="1128"/>
      <c r="K672" s="1067"/>
      <c r="L672" s="1139"/>
      <c r="M672" s="1130"/>
      <c r="N672" s="1542" t="s">
        <v>1760</v>
      </c>
      <c r="O672" s="1131"/>
      <c r="P672" s="1075"/>
      <c r="Q672" s="1081"/>
      <c r="R672" s="1122"/>
      <c r="S672" s="1063"/>
      <c r="T672" s="1080"/>
      <c r="U672" s="1091">
        <v>6</v>
      </c>
      <c r="V672" s="1185" t="s">
        <v>34</v>
      </c>
      <c r="W672" s="1079"/>
      <c r="X672" s="1078"/>
      <c r="Y672" s="1039">
        <v>1</v>
      </c>
      <c r="Z672" s="1134">
        <f t="shared" si="53"/>
        <v>1</v>
      </c>
      <c r="AA672" s="1074"/>
      <c r="AB672" s="1063"/>
      <c r="AC672" s="1075"/>
      <c r="AD672" s="1084"/>
      <c r="AE672" s="1062"/>
      <c r="AF672" s="1085"/>
      <c r="AG672" s="1086"/>
      <c r="AH672" s="1087"/>
      <c r="AI672" s="1087"/>
      <c r="AJ672" s="1088"/>
      <c r="AK672" s="1089">
        <v>41250</v>
      </c>
      <c r="AL672" s="1090">
        <f>AK672*Y672</f>
        <v>41250</v>
      </c>
      <c r="AM672" s="1086"/>
      <c r="AN672" s="1086"/>
      <c r="AO672" s="1087"/>
      <c r="AP672" s="1076"/>
      <c r="AQ672" s="1087"/>
      <c r="AR672" s="1076"/>
      <c r="AS672" s="1076"/>
      <c r="AT672" s="1086"/>
      <c r="AU672" s="1088"/>
      <c r="AV672" s="1067"/>
    </row>
    <row r="673" spans="1:48" ht="16.5" customHeight="1">
      <c r="A673" s="1073"/>
      <c r="B673" s="1082"/>
      <c r="C673" s="1083"/>
      <c r="D673" s="1074"/>
      <c r="E673" s="1204"/>
      <c r="F673" s="1138"/>
      <c r="G673" s="1074"/>
      <c r="H673" s="1077"/>
      <c r="I673" s="1127"/>
      <c r="J673" s="1128"/>
      <c r="K673" s="1067"/>
      <c r="L673" s="1139"/>
      <c r="M673" s="1130"/>
      <c r="N673" s="1170" t="s">
        <v>25</v>
      </c>
      <c r="O673" s="1177" t="s">
        <v>26</v>
      </c>
      <c r="P673" s="1075"/>
      <c r="Q673" s="1081">
        <v>138</v>
      </c>
      <c r="R673" s="1122"/>
      <c r="S673" s="1063"/>
      <c r="T673" s="1080"/>
      <c r="U673" s="1091">
        <v>7</v>
      </c>
      <c r="V673" s="1185" t="s">
        <v>1134</v>
      </c>
      <c r="W673" s="1079">
        <v>56</v>
      </c>
      <c r="X673" s="1078"/>
      <c r="Y673" s="1039"/>
      <c r="Z673" s="1134">
        <f t="shared" si="53"/>
        <v>56</v>
      </c>
      <c r="AA673" s="1074"/>
      <c r="AB673" s="1063"/>
      <c r="AC673" s="1075"/>
      <c r="AD673" s="1084"/>
      <c r="AE673" s="1062"/>
      <c r="AF673" s="1085"/>
      <c r="AG673" s="1086"/>
      <c r="AH673" s="1087">
        <v>2200000</v>
      </c>
      <c r="AI673" s="1087">
        <f>AH673*Q673*0.8</f>
        <v>242880000</v>
      </c>
      <c r="AJ673" s="1088"/>
      <c r="AK673" s="1089">
        <v>25000</v>
      </c>
      <c r="AL673" s="1090">
        <f t="shared" si="48"/>
        <v>1400000</v>
      </c>
      <c r="AM673" s="1086"/>
      <c r="AN673" s="1086"/>
      <c r="AO673" s="1087"/>
      <c r="AP673" s="1076"/>
      <c r="AQ673" s="1087"/>
      <c r="AR673" s="1076"/>
      <c r="AS673" s="1076"/>
      <c r="AT673" s="1086"/>
      <c r="AU673" s="1088"/>
      <c r="AV673" s="1067"/>
    </row>
    <row r="674" spans="1:48" ht="16.5" customHeight="1">
      <c r="A674" s="1073"/>
      <c r="B674" s="1082"/>
      <c r="C674" s="1083"/>
      <c r="D674" s="1074"/>
      <c r="E674" s="1204"/>
      <c r="F674" s="1138"/>
      <c r="G674" s="1074"/>
      <c r="H674" s="1077"/>
      <c r="I674" s="1127"/>
      <c r="J674" s="1128"/>
      <c r="K674" s="1067"/>
      <c r="L674" s="1139"/>
      <c r="M674" s="1130"/>
      <c r="N674" s="1074" t="s">
        <v>16</v>
      </c>
      <c r="O674" s="1123" t="s">
        <v>21</v>
      </c>
      <c r="P674" s="1075"/>
      <c r="Q674" s="1081">
        <v>6</v>
      </c>
      <c r="R674" s="1122"/>
      <c r="S674" s="1063"/>
      <c r="T674" s="1080"/>
      <c r="U674" s="1091">
        <v>8</v>
      </c>
      <c r="V674" s="1185" t="s">
        <v>1368</v>
      </c>
      <c r="W674" s="1079">
        <v>21</v>
      </c>
      <c r="X674" s="1078"/>
      <c r="Y674" s="1039"/>
      <c r="Z674" s="1134">
        <f t="shared" si="53"/>
        <v>21</v>
      </c>
      <c r="AA674" s="1074"/>
      <c r="AB674" s="1063"/>
      <c r="AC674" s="1075"/>
      <c r="AD674" s="1084"/>
      <c r="AE674" s="1062"/>
      <c r="AF674" s="1085"/>
      <c r="AG674" s="1086"/>
      <c r="AH674" s="1087">
        <v>350000</v>
      </c>
      <c r="AI674" s="1087">
        <f>AH674*Q674*0.7</f>
        <v>1470000</v>
      </c>
      <c r="AJ674" s="1088"/>
      <c r="AK674" s="1089">
        <v>5000</v>
      </c>
      <c r="AL674" s="1090">
        <f t="shared" si="48"/>
        <v>105000</v>
      </c>
      <c r="AM674" s="1086"/>
      <c r="AN674" s="1086"/>
      <c r="AO674" s="1087"/>
      <c r="AP674" s="1076"/>
      <c r="AQ674" s="1087"/>
      <c r="AR674" s="1076"/>
      <c r="AS674" s="1076"/>
      <c r="AT674" s="1086"/>
      <c r="AU674" s="1088"/>
      <c r="AV674" s="1067"/>
    </row>
    <row r="675" spans="1:48" ht="16.5" customHeight="1">
      <c r="A675" s="1073"/>
      <c r="B675" s="1082"/>
      <c r="C675" s="1083"/>
      <c r="D675" s="1074"/>
      <c r="E675" s="1204"/>
      <c r="F675" s="1138"/>
      <c r="G675" s="1074"/>
      <c r="H675" s="1077"/>
      <c r="I675" s="1127"/>
      <c r="J675" s="1128"/>
      <c r="K675" s="1067"/>
      <c r="L675" s="1139"/>
      <c r="M675" s="1130"/>
      <c r="N675" s="1074" t="s">
        <v>18</v>
      </c>
      <c r="O675" s="1123" t="s">
        <v>17</v>
      </c>
      <c r="P675" s="1075">
        <v>1</v>
      </c>
      <c r="Q675" s="1081"/>
      <c r="R675" s="1122"/>
      <c r="S675" s="1063"/>
      <c r="T675" s="1080"/>
      <c r="U675" s="1091">
        <v>9</v>
      </c>
      <c r="V675" s="1185" t="s">
        <v>1736</v>
      </c>
      <c r="W675" s="1079">
        <v>13</v>
      </c>
      <c r="X675" s="1078"/>
      <c r="Y675" s="1039"/>
      <c r="Z675" s="1134">
        <f t="shared" si="53"/>
        <v>13</v>
      </c>
      <c r="AA675" s="1074"/>
      <c r="AB675" s="1063"/>
      <c r="AC675" s="1075"/>
      <c r="AD675" s="1084"/>
      <c r="AE675" s="1062"/>
      <c r="AF675" s="1085"/>
      <c r="AG675" s="1086"/>
      <c r="AH675" s="1087">
        <v>2500000</v>
      </c>
      <c r="AI675" s="1087">
        <f>AH675*P675*0.5</f>
        <v>1250000</v>
      </c>
      <c r="AJ675" s="1088"/>
      <c r="AK675" s="1089">
        <v>60000</v>
      </c>
      <c r="AL675" s="1090">
        <f t="shared" si="48"/>
        <v>780000</v>
      </c>
      <c r="AM675" s="1086"/>
      <c r="AN675" s="1086"/>
      <c r="AO675" s="1087"/>
      <c r="AP675" s="1076"/>
      <c r="AQ675" s="1087"/>
      <c r="AR675" s="1076"/>
      <c r="AS675" s="1076"/>
      <c r="AT675" s="1086"/>
      <c r="AU675" s="1088"/>
      <c r="AV675" s="1067"/>
    </row>
    <row r="676" spans="1:48" ht="16.5" customHeight="1">
      <c r="A676" s="1073"/>
      <c r="B676" s="1082"/>
      <c r="C676" s="1083"/>
      <c r="D676" s="1074"/>
      <c r="E676" s="1204"/>
      <c r="F676" s="1138"/>
      <c r="G676" s="1074"/>
      <c r="H676" s="1077"/>
      <c r="I676" s="1127"/>
      <c r="J676" s="1128"/>
      <c r="K676" s="1067"/>
      <c r="L676" s="1139"/>
      <c r="M676" s="1130"/>
      <c r="N676" s="1074" t="s">
        <v>12</v>
      </c>
      <c r="O676" s="1131" t="s">
        <v>11</v>
      </c>
      <c r="P676" s="1075">
        <v>1</v>
      </c>
      <c r="Q676" s="1081"/>
      <c r="R676" s="1122"/>
      <c r="S676" s="1063"/>
      <c r="T676" s="1080"/>
      <c r="U676" s="1091">
        <v>10</v>
      </c>
      <c r="V676" s="1185" t="s">
        <v>1762</v>
      </c>
      <c r="W676" s="1079">
        <v>2</v>
      </c>
      <c r="X676" s="1078"/>
      <c r="Y676" s="1039"/>
      <c r="Z676" s="1134">
        <f t="shared" si="53"/>
        <v>2</v>
      </c>
      <c r="AA676" s="1074"/>
      <c r="AB676" s="1063"/>
      <c r="AC676" s="1075"/>
      <c r="AD676" s="1084"/>
      <c r="AE676" s="1062"/>
      <c r="AF676" s="1085"/>
      <c r="AG676" s="1086"/>
      <c r="AH676" s="1087">
        <v>2500000</v>
      </c>
      <c r="AI676" s="1087">
        <f>AH676*P676*0.75</f>
        <v>1875000</v>
      </c>
      <c r="AJ676" s="1088"/>
      <c r="AK676" s="1089"/>
      <c r="AL676" s="1090">
        <f t="shared" si="48"/>
        <v>0</v>
      </c>
      <c r="AM676" s="1086"/>
      <c r="AN676" s="1086"/>
      <c r="AO676" s="1087"/>
      <c r="AP676" s="1076"/>
      <c r="AQ676" s="1087"/>
      <c r="AR676" s="1076"/>
      <c r="AS676" s="1076"/>
      <c r="AT676" s="1086"/>
      <c r="AU676" s="1088"/>
      <c r="AV676" s="1067"/>
    </row>
    <row r="677" spans="1:48" ht="16.5" customHeight="1">
      <c r="A677" s="1073"/>
      <c r="B677" s="1082"/>
      <c r="C677" s="1083"/>
      <c r="D677" s="1074"/>
      <c r="E677" s="1204"/>
      <c r="F677" s="1138"/>
      <c r="G677" s="1074"/>
      <c r="H677" s="1077"/>
      <c r="I677" s="1127"/>
      <c r="J677" s="1128"/>
      <c r="K677" s="1067"/>
      <c r="L677" s="1139"/>
      <c r="M677" s="1130"/>
      <c r="N677" s="1074"/>
      <c r="O677" s="1131"/>
      <c r="P677" s="1075"/>
      <c r="Q677" s="1081"/>
      <c r="R677" s="1122"/>
      <c r="S677" s="1063"/>
      <c r="T677" s="1080"/>
      <c r="U677" s="1091">
        <v>11</v>
      </c>
      <c r="V677" s="1185" t="s">
        <v>4</v>
      </c>
      <c r="W677" s="1079">
        <v>2</v>
      </c>
      <c r="X677" s="1078"/>
      <c r="Y677" s="1039"/>
      <c r="Z677" s="1134">
        <f t="shared" si="53"/>
        <v>2</v>
      </c>
      <c r="AA677" s="1074"/>
      <c r="AB677" s="1063"/>
      <c r="AC677" s="1075"/>
      <c r="AD677" s="1084"/>
      <c r="AE677" s="1062"/>
      <c r="AF677" s="1085"/>
      <c r="AG677" s="1086"/>
      <c r="AH677" s="1087"/>
      <c r="AI677" s="1087"/>
      <c r="AJ677" s="1088"/>
      <c r="AK677" s="1089">
        <v>250</v>
      </c>
      <c r="AL677" s="1090">
        <f t="shared" si="48"/>
        <v>500</v>
      </c>
      <c r="AM677" s="1086"/>
      <c r="AN677" s="1086"/>
      <c r="AO677" s="1087"/>
      <c r="AP677" s="1076"/>
      <c r="AQ677" s="1087"/>
      <c r="AR677" s="1076"/>
      <c r="AS677" s="1076"/>
      <c r="AT677" s="1086"/>
      <c r="AU677" s="1088"/>
      <c r="AV677" s="1067"/>
    </row>
    <row r="678" spans="1:48" ht="16.5" customHeight="1">
      <c r="A678" s="1073"/>
      <c r="B678" s="1082"/>
      <c r="C678" s="1083"/>
      <c r="D678" s="1074"/>
      <c r="E678" s="1204"/>
      <c r="F678" s="1138"/>
      <c r="G678" s="1074"/>
      <c r="H678" s="1077"/>
      <c r="I678" s="1127"/>
      <c r="J678" s="1128"/>
      <c r="K678" s="1067"/>
      <c r="L678" s="1139"/>
      <c r="M678" s="1130"/>
      <c r="N678" s="1074"/>
      <c r="O678" s="1131"/>
      <c r="P678" s="1075"/>
      <c r="Q678" s="1081"/>
      <c r="R678" s="1122"/>
      <c r="S678" s="1063"/>
      <c r="T678" s="1080"/>
      <c r="U678" s="1091">
        <v>12</v>
      </c>
      <c r="V678" s="1185" t="s">
        <v>244</v>
      </c>
      <c r="W678" s="1079">
        <v>29</v>
      </c>
      <c r="X678" s="1078"/>
      <c r="Y678" s="1039"/>
      <c r="Z678" s="1134">
        <f t="shared" si="53"/>
        <v>29</v>
      </c>
      <c r="AA678" s="1074"/>
      <c r="AB678" s="1063"/>
      <c r="AC678" s="1075"/>
      <c r="AD678" s="1084"/>
      <c r="AE678" s="1062"/>
      <c r="AF678" s="1085"/>
      <c r="AG678" s="1086"/>
      <c r="AH678" s="1087"/>
      <c r="AI678" s="1087"/>
      <c r="AJ678" s="1088"/>
      <c r="AK678" s="1300">
        <v>6000</v>
      </c>
      <c r="AL678" s="1090">
        <f t="shared" si="48"/>
        <v>174000</v>
      </c>
      <c r="AM678" s="1086"/>
      <c r="AN678" s="1086"/>
      <c r="AO678" s="1087"/>
      <c r="AP678" s="1076"/>
      <c r="AQ678" s="1087"/>
      <c r="AR678" s="1076"/>
      <c r="AS678" s="1076"/>
      <c r="AT678" s="1086"/>
      <c r="AU678" s="1088"/>
      <c r="AV678" s="1067"/>
    </row>
    <row r="679" spans="1:48" ht="16.5" customHeight="1">
      <c r="A679" s="1073"/>
      <c r="B679" s="1082"/>
      <c r="C679" s="1083"/>
      <c r="D679" s="1074"/>
      <c r="E679" s="1204"/>
      <c r="F679" s="1138"/>
      <c r="G679" s="1074"/>
      <c r="H679" s="1077"/>
      <c r="I679" s="1127"/>
      <c r="J679" s="1128"/>
      <c r="K679" s="1067"/>
      <c r="L679" s="1139"/>
      <c r="M679" s="1130"/>
      <c r="N679" s="1542" t="s">
        <v>1759</v>
      </c>
      <c r="O679" s="1131"/>
      <c r="P679" s="1075"/>
      <c r="Q679" s="1081"/>
      <c r="R679" s="1122"/>
      <c r="S679" s="1063"/>
      <c r="T679" s="1080"/>
      <c r="U679" s="1091">
        <v>13</v>
      </c>
      <c r="V679" s="1185" t="s">
        <v>48</v>
      </c>
      <c r="W679" s="1079">
        <v>2</v>
      </c>
      <c r="X679" s="1078"/>
      <c r="Y679" s="1039"/>
      <c r="Z679" s="1134">
        <f t="shared" si="53"/>
        <v>2</v>
      </c>
      <c r="AA679" s="1074"/>
      <c r="AB679" s="1063"/>
      <c r="AC679" s="1075"/>
      <c r="AD679" s="1084"/>
      <c r="AE679" s="1062"/>
      <c r="AF679" s="1085"/>
      <c r="AG679" s="1086"/>
      <c r="AH679" s="1087"/>
      <c r="AI679" s="1087"/>
      <c r="AJ679" s="1088"/>
      <c r="AK679" s="1089">
        <v>15000</v>
      </c>
      <c r="AL679" s="1090">
        <f t="shared" si="48"/>
        <v>30000</v>
      </c>
      <c r="AM679" s="1086"/>
      <c r="AN679" s="1086"/>
      <c r="AO679" s="1087"/>
      <c r="AP679" s="1076"/>
      <c r="AQ679" s="1087"/>
      <c r="AR679" s="1076"/>
      <c r="AS679" s="1076"/>
      <c r="AT679" s="1086"/>
      <c r="AU679" s="1088"/>
      <c r="AV679" s="1067"/>
    </row>
    <row r="680" spans="1:48" ht="16.5" customHeight="1">
      <c r="A680" s="1073"/>
      <c r="B680" s="1082"/>
      <c r="C680" s="1083"/>
      <c r="D680" s="1074"/>
      <c r="E680" s="1204"/>
      <c r="F680" s="1138"/>
      <c r="G680" s="1074"/>
      <c r="H680" s="1077"/>
      <c r="I680" s="1127"/>
      <c r="J680" s="1128"/>
      <c r="K680" s="1067"/>
      <c r="L680" s="1139"/>
      <c r="M680" s="1130"/>
      <c r="N680" s="1170" t="s">
        <v>25</v>
      </c>
      <c r="O680" s="1177" t="s">
        <v>26</v>
      </c>
      <c r="P680" s="1075"/>
      <c r="Q680" s="1081">
        <v>133</v>
      </c>
      <c r="R680" s="1122"/>
      <c r="S680" s="1063"/>
      <c r="T680" s="1080"/>
      <c r="U680" s="1091">
        <v>14</v>
      </c>
      <c r="V680" s="1185" t="s">
        <v>1761</v>
      </c>
      <c r="W680" s="1079">
        <v>13</v>
      </c>
      <c r="X680" s="1078"/>
      <c r="Y680" s="1039"/>
      <c r="Z680" s="1134">
        <f t="shared" si="53"/>
        <v>13</v>
      </c>
      <c r="AA680" s="1074"/>
      <c r="AB680" s="1063"/>
      <c r="AC680" s="1075"/>
      <c r="AD680" s="1084"/>
      <c r="AE680" s="1062"/>
      <c r="AF680" s="1085"/>
      <c r="AG680" s="1086"/>
      <c r="AH680" s="1087">
        <v>2200000</v>
      </c>
      <c r="AI680" s="1087">
        <f>AH680*Q680*0.8</f>
        <v>234080000</v>
      </c>
      <c r="AJ680" s="1088"/>
      <c r="AK680" s="1089">
        <v>350</v>
      </c>
      <c r="AL680" s="1090">
        <f t="shared" si="48"/>
        <v>4550</v>
      </c>
      <c r="AM680" s="1086"/>
      <c r="AN680" s="1086"/>
      <c r="AO680" s="1087"/>
      <c r="AP680" s="1076"/>
      <c r="AQ680" s="1087"/>
      <c r="AR680" s="1076"/>
      <c r="AS680" s="1076"/>
      <c r="AT680" s="1086"/>
      <c r="AU680" s="1088"/>
      <c r="AV680" s="1067"/>
    </row>
    <row r="681" spans="1:48" ht="16.5" customHeight="1">
      <c r="A681" s="1073"/>
      <c r="B681" s="1082"/>
      <c r="C681" s="1083"/>
      <c r="D681" s="1074"/>
      <c r="E681" s="1204"/>
      <c r="F681" s="1138"/>
      <c r="G681" s="1074"/>
      <c r="H681" s="1077"/>
      <c r="I681" s="1127"/>
      <c r="J681" s="1128"/>
      <c r="K681" s="1067"/>
      <c r="L681" s="1139"/>
      <c r="M681" s="1130"/>
      <c r="N681" s="1074" t="s">
        <v>16</v>
      </c>
      <c r="O681" s="1123" t="s">
        <v>52</v>
      </c>
      <c r="P681" s="1075"/>
      <c r="Q681" s="1081">
        <v>30</v>
      </c>
      <c r="R681" s="1122"/>
      <c r="S681" s="1063"/>
      <c r="T681" s="1080"/>
      <c r="U681" s="1091">
        <v>15</v>
      </c>
      <c r="V681" s="1185" t="s">
        <v>133</v>
      </c>
      <c r="W681" s="1079">
        <v>16</v>
      </c>
      <c r="X681" s="1078"/>
      <c r="Y681" s="1039"/>
      <c r="Z681" s="1134">
        <f t="shared" si="53"/>
        <v>16</v>
      </c>
      <c r="AA681" s="1074"/>
      <c r="AB681" s="1063"/>
      <c r="AC681" s="1075"/>
      <c r="AD681" s="1084"/>
      <c r="AE681" s="1062"/>
      <c r="AF681" s="1085"/>
      <c r="AG681" s="1086"/>
      <c r="AH681" s="1087">
        <v>210000</v>
      </c>
      <c r="AI681" s="1087">
        <f>AH681*Q681*0.7</f>
        <v>4410000</v>
      </c>
      <c r="AJ681" s="1088"/>
      <c r="AK681" s="1089">
        <v>2645</v>
      </c>
      <c r="AL681" s="1090">
        <f t="shared" si="48"/>
        <v>42320</v>
      </c>
      <c r="AM681" s="1086"/>
      <c r="AN681" s="1086"/>
      <c r="AO681" s="1087"/>
      <c r="AP681" s="1076"/>
      <c r="AQ681" s="1087"/>
      <c r="AR681" s="1076"/>
      <c r="AS681" s="1076"/>
      <c r="AT681" s="1086"/>
      <c r="AU681" s="1088"/>
      <c r="AV681" s="1067"/>
    </row>
    <row r="682" spans="1:48" ht="16.5" customHeight="1">
      <c r="A682" s="1073"/>
      <c r="B682" s="1082"/>
      <c r="C682" s="1083"/>
      <c r="D682" s="1074"/>
      <c r="E682" s="1204"/>
      <c r="F682" s="1138"/>
      <c r="G682" s="1074"/>
      <c r="H682" s="1077"/>
      <c r="I682" s="1127"/>
      <c r="J682" s="1128"/>
      <c r="K682" s="1067"/>
      <c r="L682" s="1139"/>
      <c r="M682" s="1130"/>
      <c r="N682" s="1074" t="s">
        <v>18</v>
      </c>
      <c r="O682" s="1123" t="s">
        <v>21</v>
      </c>
      <c r="P682" s="1075"/>
      <c r="Q682" s="1081">
        <v>14</v>
      </c>
      <c r="R682" s="1122"/>
      <c r="S682" s="1063"/>
      <c r="T682" s="1080"/>
      <c r="U682" s="1091">
        <v>16</v>
      </c>
      <c r="V682" s="1185" t="s">
        <v>1588</v>
      </c>
      <c r="W682" s="1079">
        <v>2</v>
      </c>
      <c r="X682" s="1078"/>
      <c r="Y682" s="1039"/>
      <c r="Z682" s="1134">
        <f t="shared" si="53"/>
        <v>2</v>
      </c>
      <c r="AA682" s="1074"/>
      <c r="AB682" s="1063"/>
      <c r="AC682" s="1075"/>
      <c r="AD682" s="1084"/>
      <c r="AE682" s="1062"/>
      <c r="AF682" s="1085"/>
      <c r="AG682" s="1086"/>
      <c r="AH682" s="1087">
        <v>350000</v>
      </c>
      <c r="AI682" s="1087">
        <f>AH682*Q682*0.7</f>
        <v>3430000</v>
      </c>
      <c r="AJ682" s="1088"/>
      <c r="AK682" s="1089">
        <v>10000</v>
      </c>
      <c r="AL682" s="1090">
        <f t="shared" si="48"/>
        <v>20000</v>
      </c>
      <c r="AM682" s="1086"/>
      <c r="AN682" s="1086"/>
      <c r="AO682" s="1087"/>
      <c r="AP682" s="1076"/>
      <c r="AQ682" s="1087"/>
      <c r="AR682" s="1076"/>
      <c r="AS682" s="1076"/>
      <c r="AT682" s="1086"/>
      <c r="AU682" s="1088"/>
      <c r="AV682" s="1067"/>
    </row>
    <row r="683" spans="1:48" ht="16.5" customHeight="1">
      <c r="A683" s="1073"/>
      <c r="B683" s="1082"/>
      <c r="C683" s="1083"/>
      <c r="D683" s="1074"/>
      <c r="E683" s="1204"/>
      <c r="F683" s="1138"/>
      <c r="G683" s="1074"/>
      <c r="H683" s="1077"/>
      <c r="I683" s="1127"/>
      <c r="J683" s="1128"/>
      <c r="K683" s="1067"/>
      <c r="L683" s="1139"/>
      <c r="M683" s="1130"/>
      <c r="N683" s="1074" t="s">
        <v>12</v>
      </c>
      <c r="O683" s="1131" t="s">
        <v>17</v>
      </c>
      <c r="P683" s="1075">
        <v>1</v>
      </c>
      <c r="Q683" s="1081"/>
      <c r="R683" s="1122"/>
      <c r="S683" s="1063"/>
      <c r="T683" s="1080"/>
      <c r="U683" s="1184"/>
      <c r="V683" s="1185"/>
      <c r="W683" s="1079"/>
      <c r="X683" s="1078"/>
      <c r="Y683" s="1039"/>
      <c r="Z683" s="1183"/>
      <c r="AA683" s="1074"/>
      <c r="AB683" s="1063"/>
      <c r="AC683" s="1075"/>
      <c r="AD683" s="1084"/>
      <c r="AE683" s="1062"/>
      <c r="AF683" s="1085"/>
      <c r="AG683" s="1086"/>
      <c r="AH683" s="1087">
        <v>2500000</v>
      </c>
      <c r="AI683" s="1087">
        <f>AH683*P683*0.5</f>
        <v>1250000</v>
      </c>
      <c r="AJ683" s="1088"/>
      <c r="AK683" s="1089"/>
      <c r="AL683" s="1090"/>
      <c r="AM683" s="1086"/>
      <c r="AN683" s="1086"/>
      <c r="AO683" s="1087"/>
      <c r="AP683" s="1076"/>
      <c r="AQ683" s="1087"/>
      <c r="AR683" s="1076"/>
      <c r="AS683" s="1076"/>
      <c r="AT683" s="1086"/>
      <c r="AU683" s="1088"/>
      <c r="AV683" s="1067"/>
    </row>
    <row r="684" spans="1:48" ht="16.5" customHeight="1">
      <c r="A684" s="1073"/>
      <c r="B684" s="1082"/>
      <c r="C684" s="1083"/>
      <c r="D684" s="1074"/>
      <c r="E684" s="1204"/>
      <c r="F684" s="1138"/>
      <c r="G684" s="1074"/>
      <c r="H684" s="1077"/>
      <c r="I684" s="1127"/>
      <c r="J684" s="1128"/>
      <c r="K684" s="1067"/>
      <c r="L684" s="1139"/>
      <c r="M684" s="1130"/>
      <c r="N684" s="1074" t="s">
        <v>8</v>
      </c>
      <c r="O684" s="1131" t="s">
        <v>11</v>
      </c>
      <c r="P684" s="1075">
        <v>1</v>
      </c>
      <c r="Q684" s="1081"/>
      <c r="R684" s="1122"/>
      <c r="S684" s="1063"/>
      <c r="T684" s="1080"/>
      <c r="U684" s="1184"/>
      <c r="V684" s="1185"/>
      <c r="W684" s="1079"/>
      <c r="X684" s="1078"/>
      <c r="Y684" s="1039"/>
      <c r="Z684" s="1183"/>
      <c r="AA684" s="1074"/>
      <c r="AB684" s="1063"/>
      <c r="AC684" s="1075"/>
      <c r="AD684" s="1084"/>
      <c r="AE684" s="1062"/>
      <c r="AF684" s="1085"/>
      <c r="AG684" s="1086"/>
      <c r="AH684" s="1087">
        <v>2500000</v>
      </c>
      <c r="AI684" s="1087">
        <f>AH684*P684*0.75</f>
        <v>1875000</v>
      </c>
      <c r="AJ684" s="1088"/>
      <c r="AK684" s="1089"/>
      <c r="AL684" s="1090"/>
      <c r="AM684" s="1086"/>
      <c r="AN684" s="1086"/>
      <c r="AO684" s="1087"/>
      <c r="AP684" s="1076"/>
      <c r="AQ684" s="1087"/>
      <c r="AR684" s="1076"/>
      <c r="AS684" s="1076"/>
      <c r="AT684" s="1086"/>
      <c r="AU684" s="1088"/>
      <c r="AV684" s="1067"/>
    </row>
    <row r="685" spans="1:48" ht="16.5" customHeight="1">
      <c r="A685" s="1073"/>
      <c r="B685" s="1082"/>
      <c r="C685" s="1083"/>
      <c r="D685" s="1074"/>
      <c r="E685" s="1204"/>
      <c r="F685" s="1138"/>
      <c r="G685" s="1074"/>
      <c r="H685" s="1077"/>
      <c r="I685" s="1127"/>
      <c r="J685" s="1128"/>
      <c r="K685" s="1067"/>
      <c r="L685" s="1139"/>
      <c r="M685" s="1130"/>
      <c r="N685" s="1074" t="s">
        <v>54</v>
      </c>
      <c r="O685" s="1131" t="s">
        <v>7</v>
      </c>
      <c r="P685" s="1075"/>
      <c r="Q685" s="1081">
        <v>144</v>
      </c>
      <c r="R685" s="1122"/>
      <c r="S685" s="1063"/>
      <c r="T685" s="1080"/>
      <c r="U685" s="1184"/>
      <c r="V685" s="1185"/>
      <c r="W685" s="1079"/>
      <c r="X685" s="1078"/>
      <c r="Y685" s="1039"/>
      <c r="Z685" s="1183"/>
      <c r="AA685" s="1074"/>
      <c r="AB685" s="1063"/>
      <c r="AC685" s="1075"/>
      <c r="AD685" s="1084"/>
      <c r="AE685" s="1062"/>
      <c r="AF685" s="1085"/>
      <c r="AG685" s="1086"/>
      <c r="AH685" s="1087">
        <v>200000</v>
      </c>
      <c r="AI685" s="1087">
        <f>AH685*Q685*0.3</f>
        <v>8640000</v>
      </c>
      <c r="AJ685" s="1088"/>
      <c r="AK685" s="1089"/>
      <c r="AL685" s="1090"/>
      <c r="AM685" s="1086"/>
      <c r="AN685" s="1086"/>
      <c r="AO685" s="1087"/>
      <c r="AP685" s="1076"/>
      <c r="AQ685" s="1087"/>
      <c r="AR685" s="1076"/>
      <c r="AS685" s="1076"/>
      <c r="AT685" s="1086"/>
      <c r="AU685" s="1088"/>
      <c r="AV685" s="1067"/>
    </row>
    <row r="686" spans="1:48" ht="16.5" customHeight="1">
      <c r="A686" s="1073"/>
      <c r="B686" s="1082"/>
      <c r="C686" s="1083"/>
      <c r="D686" s="1074"/>
      <c r="E686" s="1204"/>
      <c r="F686" s="1138"/>
      <c r="G686" s="1074"/>
      <c r="H686" s="1077"/>
      <c r="I686" s="1127"/>
      <c r="J686" s="1128"/>
      <c r="K686" s="1067"/>
      <c r="L686" s="1139"/>
      <c r="M686" s="1130"/>
      <c r="N686" s="1074"/>
      <c r="O686" s="1131"/>
      <c r="P686" s="1075"/>
      <c r="Q686" s="1081"/>
      <c r="R686" s="1122"/>
      <c r="S686" s="1063"/>
      <c r="T686" s="1080"/>
      <c r="U686" s="1184"/>
      <c r="V686" s="1185"/>
      <c r="W686" s="1079"/>
      <c r="X686" s="1078"/>
      <c r="Y686" s="1039"/>
      <c r="Z686" s="1183"/>
      <c r="AA686" s="1074"/>
      <c r="AB686" s="1063"/>
      <c r="AC686" s="1075"/>
      <c r="AD686" s="1084"/>
      <c r="AE686" s="1062"/>
      <c r="AF686" s="1085"/>
      <c r="AG686" s="1086"/>
      <c r="AH686" s="1087"/>
      <c r="AI686" s="1087"/>
      <c r="AJ686" s="1088"/>
      <c r="AK686" s="1089"/>
      <c r="AL686" s="1090"/>
      <c r="AM686" s="1086"/>
      <c r="AN686" s="1086"/>
      <c r="AO686" s="1087"/>
      <c r="AP686" s="1076"/>
      <c r="AQ686" s="1087"/>
      <c r="AR686" s="1076"/>
      <c r="AS686" s="1076"/>
      <c r="AT686" s="1086"/>
      <c r="AU686" s="1088"/>
      <c r="AV686" s="1067"/>
    </row>
    <row r="687" spans="1:48" ht="16.5" customHeight="1">
      <c r="A687" s="1073"/>
      <c r="B687" s="1082"/>
      <c r="C687" s="1083"/>
      <c r="D687" s="1074"/>
      <c r="E687" s="1204"/>
      <c r="F687" s="1138"/>
      <c r="G687" s="1074"/>
      <c r="H687" s="1077"/>
      <c r="I687" s="1127"/>
      <c r="J687" s="1128"/>
      <c r="K687" s="1067"/>
      <c r="L687" s="1139"/>
      <c r="M687" s="1130"/>
      <c r="N687" s="1074"/>
      <c r="O687" s="1131"/>
      <c r="P687" s="1075"/>
      <c r="Q687" s="1081"/>
      <c r="R687" s="1122"/>
      <c r="S687" s="1063"/>
      <c r="T687" s="1080"/>
      <c r="U687" s="1184"/>
      <c r="V687" s="1185"/>
      <c r="W687" s="1079"/>
      <c r="X687" s="1078"/>
      <c r="Y687" s="1039"/>
      <c r="Z687" s="1183"/>
      <c r="AA687" s="1074"/>
      <c r="AB687" s="1063"/>
      <c r="AC687" s="1075"/>
      <c r="AD687" s="1084"/>
      <c r="AE687" s="1062"/>
      <c r="AF687" s="1085"/>
      <c r="AG687" s="1086"/>
      <c r="AH687" s="1087"/>
      <c r="AI687" s="1087"/>
      <c r="AJ687" s="1088"/>
      <c r="AK687" s="1089"/>
      <c r="AL687" s="1090"/>
      <c r="AM687" s="1086"/>
      <c r="AN687" s="1086"/>
      <c r="AO687" s="1087"/>
      <c r="AP687" s="1076"/>
      <c r="AQ687" s="1087"/>
      <c r="AR687" s="1076"/>
      <c r="AS687" s="1076"/>
      <c r="AT687" s="1086"/>
      <c r="AU687" s="1088"/>
      <c r="AV687" s="1067"/>
    </row>
    <row r="688" spans="1:48" ht="16.5" customHeight="1">
      <c r="A688" s="1073"/>
      <c r="B688" s="1082"/>
      <c r="C688" s="1083"/>
      <c r="D688" s="1074"/>
      <c r="E688" s="1204"/>
      <c r="F688" s="1138"/>
      <c r="G688" s="1074"/>
      <c r="H688" s="1077"/>
      <c r="I688" s="1127"/>
      <c r="J688" s="1128"/>
      <c r="K688" s="1067"/>
      <c r="L688" s="1139"/>
      <c r="M688" s="1130"/>
      <c r="N688" s="1542" t="s">
        <v>1758</v>
      </c>
      <c r="O688" s="1131"/>
      <c r="P688" s="1075"/>
      <c r="Q688" s="1081"/>
      <c r="R688" s="1122"/>
      <c r="S688" s="1063"/>
      <c r="T688" s="1080"/>
      <c r="U688" s="1184"/>
      <c r="V688" s="1185"/>
      <c r="W688" s="1079"/>
      <c r="X688" s="1078"/>
      <c r="Y688" s="1039"/>
      <c r="Z688" s="1183"/>
      <c r="AA688" s="1074"/>
      <c r="AB688" s="1063"/>
      <c r="AC688" s="1075"/>
      <c r="AD688" s="1084"/>
      <c r="AE688" s="1062"/>
      <c r="AF688" s="1085"/>
      <c r="AG688" s="1086"/>
      <c r="AH688" s="1087"/>
      <c r="AI688" s="1087"/>
      <c r="AJ688" s="1088"/>
      <c r="AK688" s="1089"/>
      <c r="AL688" s="1090"/>
      <c r="AM688" s="1086"/>
      <c r="AN688" s="1086"/>
      <c r="AO688" s="1087"/>
      <c r="AP688" s="1076"/>
      <c r="AQ688" s="1087"/>
      <c r="AR688" s="1076"/>
      <c r="AS688" s="1076"/>
      <c r="AT688" s="1086"/>
      <c r="AU688" s="1088"/>
      <c r="AV688" s="1067"/>
    </row>
    <row r="689" spans="1:48" ht="16.5" customHeight="1">
      <c r="A689" s="1073"/>
      <c r="B689" s="1082"/>
      <c r="C689" s="1083"/>
      <c r="D689" s="1074"/>
      <c r="E689" s="1204"/>
      <c r="F689" s="1138"/>
      <c r="G689" s="1074"/>
      <c r="H689" s="1077"/>
      <c r="I689" s="1127"/>
      <c r="J689" s="1128"/>
      <c r="K689" s="1067"/>
      <c r="L689" s="1139"/>
      <c r="M689" s="1130"/>
      <c r="N689" s="1170" t="s">
        <v>25</v>
      </c>
      <c r="O689" s="1177" t="s">
        <v>62</v>
      </c>
      <c r="P689" s="1075"/>
      <c r="Q689" s="1081">
        <v>98</v>
      </c>
      <c r="R689" s="1122"/>
      <c r="S689" s="1063"/>
      <c r="T689" s="1080"/>
      <c r="U689" s="1184"/>
      <c r="V689" s="1185"/>
      <c r="W689" s="1079"/>
      <c r="X689" s="1078"/>
      <c r="Y689" s="1039"/>
      <c r="Z689" s="1183"/>
      <c r="AA689" s="1074"/>
      <c r="AB689" s="1063"/>
      <c r="AC689" s="1075"/>
      <c r="AD689" s="1084"/>
      <c r="AE689" s="1062"/>
      <c r="AF689" s="1085"/>
      <c r="AG689" s="1086"/>
      <c r="AH689" s="1087">
        <v>430000</v>
      </c>
      <c r="AI689" s="1087">
        <f t="shared" ref="AI689:AI690" si="55">AH689*Q689*0.7</f>
        <v>29497999.999999996</v>
      </c>
      <c r="AJ689" s="1088"/>
      <c r="AK689" s="1089"/>
      <c r="AL689" s="1090"/>
      <c r="AM689" s="1086"/>
      <c r="AN689" s="1086"/>
      <c r="AO689" s="1087"/>
      <c r="AP689" s="1076"/>
      <c r="AQ689" s="1087"/>
      <c r="AR689" s="1076"/>
      <c r="AS689" s="1076"/>
      <c r="AT689" s="1086"/>
      <c r="AU689" s="1088"/>
      <c r="AV689" s="1067"/>
    </row>
    <row r="690" spans="1:48" ht="16.5" customHeight="1">
      <c r="A690" s="1073"/>
      <c r="B690" s="1082"/>
      <c r="C690" s="1083"/>
      <c r="D690" s="1074"/>
      <c r="E690" s="1204"/>
      <c r="F690" s="1138"/>
      <c r="G690" s="1074"/>
      <c r="H690" s="1077"/>
      <c r="I690" s="1127"/>
      <c r="J690" s="1128"/>
      <c r="K690" s="1067"/>
      <c r="L690" s="1139"/>
      <c r="M690" s="1130"/>
      <c r="N690" s="1074" t="s">
        <v>16</v>
      </c>
      <c r="O690" s="1123" t="s">
        <v>21</v>
      </c>
      <c r="P690" s="1075"/>
      <c r="Q690" s="1081">
        <v>7</v>
      </c>
      <c r="R690" s="1122"/>
      <c r="S690" s="1063"/>
      <c r="T690" s="1080"/>
      <c r="U690" s="1184"/>
      <c r="V690" s="1185"/>
      <c r="W690" s="1079"/>
      <c r="X690" s="1078"/>
      <c r="Y690" s="1039"/>
      <c r="Z690" s="1183"/>
      <c r="AA690" s="1074"/>
      <c r="AB690" s="1063"/>
      <c r="AC690" s="1075"/>
      <c r="AD690" s="1084"/>
      <c r="AE690" s="1062"/>
      <c r="AF690" s="1085"/>
      <c r="AG690" s="1086"/>
      <c r="AH690" s="1087">
        <v>10000</v>
      </c>
      <c r="AI690" s="1087">
        <f t="shared" si="55"/>
        <v>49000</v>
      </c>
      <c r="AJ690" s="1088"/>
      <c r="AK690" s="1089"/>
      <c r="AL690" s="1090"/>
      <c r="AM690" s="1086"/>
      <c r="AN690" s="1086"/>
      <c r="AO690" s="1087"/>
      <c r="AP690" s="1076"/>
      <c r="AQ690" s="1087"/>
      <c r="AR690" s="1076"/>
      <c r="AS690" s="1076"/>
      <c r="AT690" s="1086"/>
      <c r="AU690" s="1088"/>
      <c r="AV690" s="1067"/>
    </row>
    <row r="691" spans="1:48" ht="33" customHeight="1">
      <c r="A691" s="1073"/>
      <c r="B691" s="1082"/>
      <c r="C691" s="1083"/>
      <c r="D691" s="1074"/>
      <c r="E691" s="1204"/>
      <c r="F691" s="1138"/>
      <c r="G691" s="1074"/>
      <c r="H691" s="1077"/>
      <c r="I691" s="1127"/>
      <c r="J691" s="1128"/>
      <c r="K691" s="1067"/>
      <c r="L691" s="1139"/>
      <c r="M691" s="1130"/>
      <c r="N691" s="1074" t="s">
        <v>18</v>
      </c>
      <c r="O691" s="1123" t="s">
        <v>17</v>
      </c>
      <c r="P691" s="1075">
        <v>1</v>
      </c>
      <c r="Q691" s="1081"/>
      <c r="R691" s="1122"/>
      <c r="S691" s="1063"/>
      <c r="T691" s="1080"/>
      <c r="U691" s="1184"/>
      <c r="V691" s="1185"/>
      <c r="W691" s="1079"/>
      <c r="X691" s="1078"/>
      <c r="Y691" s="1039"/>
      <c r="Z691" s="1183"/>
      <c r="AA691" s="1074"/>
      <c r="AB691" s="1063"/>
      <c r="AC691" s="1075"/>
      <c r="AD691" s="1084"/>
      <c r="AE691" s="1062"/>
      <c r="AF691" s="1085"/>
      <c r="AG691" s="1086"/>
      <c r="AH691" s="1087">
        <v>2500000</v>
      </c>
      <c r="AI691" s="1087">
        <f>AH691*P691*0.5</f>
        <v>1250000</v>
      </c>
      <c r="AJ691" s="1088"/>
      <c r="AK691" s="1089"/>
      <c r="AL691" s="1090"/>
      <c r="AM691" s="1086"/>
      <c r="AN691" s="1086"/>
      <c r="AO691" s="1087"/>
      <c r="AP691" s="1076"/>
      <c r="AQ691" s="1087"/>
      <c r="AR691" s="1076"/>
      <c r="AS691" s="1076"/>
      <c r="AT691" s="1086"/>
      <c r="AU691" s="1088"/>
      <c r="AV691" s="1067"/>
    </row>
    <row r="692" spans="1:48" ht="16.5" customHeight="1">
      <c r="A692" s="1073"/>
      <c r="B692" s="1082"/>
      <c r="C692" s="1083"/>
      <c r="D692" s="1074"/>
      <c r="E692" s="1204"/>
      <c r="F692" s="1138"/>
      <c r="G692" s="1074"/>
      <c r="H692" s="1077"/>
      <c r="I692" s="1127"/>
      <c r="J692" s="1128"/>
      <c r="K692" s="1067"/>
      <c r="L692" s="1139"/>
      <c r="M692" s="1130"/>
      <c r="N692" s="1038" t="s">
        <v>12</v>
      </c>
      <c r="O692" s="1131" t="s">
        <v>11</v>
      </c>
      <c r="P692" s="1075">
        <v>1</v>
      </c>
      <c r="Q692" s="1134"/>
      <c r="R692" s="1546"/>
      <c r="S692" s="1167"/>
      <c r="T692" s="1080"/>
      <c r="U692" s="1184"/>
      <c r="V692" s="1185"/>
      <c r="W692" s="1079"/>
      <c r="X692" s="1078"/>
      <c r="Y692" s="1039"/>
      <c r="Z692" s="1183"/>
      <c r="AA692" s="1074"/>
      <c r="AB692" s="1063"/>
      <c r="AC692" s="1075"/>
      <c r="AD692" s="1084"/>
      <c r="AE692" s="1062"/>
      <c r="AF692" s="1085"/>
      <c r="AG692" s="1086"/>
      <c r="AH692" s="1087">
        <v>2500000</v>
      </c>
      <c r="AI692" s="1087">
        <f>AH692*P692*0.75</f>
        <v>1875000</v>
      </c>
      <c r="AJ692" s="1088"/>
      <c r="AK692" s="1089"/>
      <c r="AL692" s="1090"/>
      <c r="AM692" s="1086"/>
      <c r="AN692" s="1086"/>
      <c r="AO692" s="1087"/>
      <c r="AP692" s="1076"/>
      <c r="AQ692" s="1087"/>
      <c r="AR692" s="1076"/>
      <c r="AS692" s="1076"/>
      <c r="AT692" s="1086"/>
      <c r="AU692" s="1088"/>
      <c r="AV692" s="1067"/>
    </row>
    <row r="693" spans="1:48" ht="16.5" customHeight="1">
      <c r="A693" s="1073"/>
      <c r="B693" s="1082"/>
      <c r="C693" s="1083"/>
      <c r="D693" s="1074"/>
      <c r="E693" s="1204"/>
      <c r="F693" s="1138"/>
      <c r="G693" s="1074"/>
      <c r="H693" s="1077"/>
      <c r="I693" s="1127"/>
      <c r="J693" s="1128"/>
      <c r="K693" s="1067"/>
      <c r="L693" s="1139"/>
      <c r="M693" s="1130"/>
      <c r="N693" s="1074"/>
      <c r="O693" s="1257"/>
      <c r="P693" s="1073"/>
      <c r="Q693" s="1077"/>
      <c r="R693" s="1122"/>
      <c r="S693" s="1063"/>
      <c r="T693" s="1080"/>
      <c r="U693" s="1184"/>
      <c r="V693" s="1185"/>
      <c r="W693" s="1079"/>
      <c r="X693" s="1078"/>
      <c r="Y693" s="1039"/>
      <c r="Z693" s="1183"/>
      <c r="AA693" s="1074"/>
      <c r="AB693" s="1063"/>
      <c r="AC693" s="1075"/>
      <c r="AD693" s="1084"/>
      <c r="AE693" s="1062"/>
      <c r="AF693" s="1085"/>
      <c r="AG693" s="1086"/>
      <c r="AH693" s="1087"/>
      <c r="AI693" s="1087"/>
      <c r="AJ693" s="1088"/>
      <c r="AK693" s="1089"/>
      <c r="AL693" s="1090"/>
      <c r="AM693" s="1086"/>
      <c r="AN693" s="1086"/>
      <c r="AO693" s="1087"/>
      <c r="AP693" s="1076"/>
      <c r="AQ693" s="1087"/>
      <c r="AR693" s="1076"/>
      <c r="AS693" s="1076"/>
      <c r="AT693" s="1086"/>
      <c r="AU693" s="1088"/>
      <c r="AV693" s="1067"/>
    </row>
    <row r="694" spans="1:48" ht="16.5" customHeight="1">
      <c r="A694" s="1107"/>
      <c r="B694" s="1098"/>
      <c r="C694" s="1105"/>
      <c r="D694" s="1094"/>
      <c r="E694" s="1149"/>
      <c r="F694" s="1150"/>
      <c r="G694" s="1094"/>
      <c r="H694" s="1151"/>
      <c r="I694" s="1152"/>
      <c r="J694" s="1153"/>
      <c r="K694" s="1101"/>
      <c r="L694" s="1154"/>
      <c r="M694" s="1155"/>
      <c r="N694" s="1094"/>
      <c r="O694" s="1156"/>
      <c r="P694" s="1107"/>
      <c r="Q694" s="1151"/>
      <c r="R694" s="1546"/>
      <c r="S694" s="1167"/>
      <c r="T694" s="1112"/>
      <c r="U694" s="1188"/>
      <c r="V694" s="1189"/>
      <c r="W694" s="1111"/>
      <c r="X694" s="1110"/>
      <c r="Y694" s="1096"/>
      <c r="Z694" s="1166"/>
      <c r="AA694" s="1094"/>
      <c r="AB694" s="1167"/>
      <c r="AC694" s="1168"/>
      <c r="AD694" s="1114"/>
      <c r="AE694" s="1093"/>
      <c r="AF694" s="1115"/>
      <c r="AG694" s="1116"/>
      <c r="AH694" s="1117"/>
      <c r="AI694" s="1117"/>
      <c r="AJ694" s="1118"/>
      <c r="AK694" s="1119"/>
      <c r="AL694" s="1120"/>
      <c r="AM694" s="1116"/>
      <c r="AN694" s="1116"/>
      <c r="AO694" s="1117"/>
      <c r="AP694" s="1108"/>
      <c r="AQ694" s="1117"/>
      <c r="AR694" s="1108"/>
      <c r="AS694" s="1108"/>
      <c r="AT694" s="1116"/>
      <c r="AU694" s="1118"/>
      <c r="AV694" s="1101"/>
    </row>
    <row r="695" spans="1:48" ht="16.5" customHeight="1">
      <c r="A695" s="1121">
        <v>53</v>
      </c>
      <c r="B695" s="1122" t="s">
        <v>25</v>
      </c>
      <c r="C695" s="1039" t="s">
        <v>1757</v>
      </c>
      <c r="D695" s="1074"/>
      <c r="E695" s="1204"/>
      <c r="F695" s="1138" t="s">
        <v>1756</v>
      </c>
      <c r="G695" s="1125" t="s">
        <v>25</v>
      </c>
      <c r="H695" s="1126" t="s">
        <v>1540</v>
      </c>
      <c r="I695" s="1127">
        <v>642.01900000000001</v>
      </c>
      <c r="J695" s="1128" t="s">
        <v>41</v>
      </c>
      <c r="K695" s="1067" t="s">
        <v>1755</v>
      </c>
      <c r="L695" s="1139" t="s">
        <v>46</v>
      </c>
      <c r="M695" s="1130" t="s">
        <v>46</v>
      </c>
      <c r="N695" s="1123" t="s">
        <v>25</v>
      </c>
      <c r="O695" s="1131" t="s">
        <v>26</v>
      </c>
      <c r="P695" s="1075"/>
      <c r="Q695" s="1081">
        <v>57.72</v>
      </c>
      <c r="R695" s="1122"/>
      <c r="S695" s="1074" t="s">
        <v>15</v>
      </c>
      <c r="T695" s="1080"/>
      <c r="U695" s="1091">
        <v>1</v>
      </c>
      <c r="V695" s="1185" t="s">
        <v>1745</v>
      </c>
      <c r="W695" s="1079">
        <v>5</v>
      </c>
      <c r="X695" s="1078"/>
      <c r="Y695" s="1039"/>
      <c r="Z695" s="1134">
        <f t="shared" ref="Z695:Z705" si="56">SUM(W695:Y695)</f>
        <v>5</v>
      </c>
      <c r="AA695" s="1123"/>
      <c r="AB695" s="1126"/>
      <c r="AC695" s="1073"/>
      <c r="AD695" s="1084"/>
      <c r="AE695" s="1062"/>
      <c r="AF695" s="1085">
        <f>Resum!F1</f>
        <v>356000</v>
      </c>
      <c r="AG695" s="1086">
        <f>AF695*I695</f>
        <v>228558764</v>
      </c>
      <c r="AH695" s="1087">
        <v>2200000</v>
      </c>
      <c r="AI695" s="1087">
        <f>AH695*Q695*0.8</f>
        <v>101587200</v>
      </c>
      <c r="AJ695" s="1182">
        <f>SUM(AI695:AI719)</f>
        <v>395939550</v>
      </c>
      <c r="AK695" s="1089">
        <v>8500</v>
      </c>
      <c r="AL695" s="1090">
        <f t="shared" ref="AL695:AL747" si="57">AK695*W695</f>
        <v>42500</v>
      </c>
      <c r="AM695" s="1086">
        <f>SUM(AL695:AL705)</f>
        <v>2982765</v>
      </c>
      <c r="AN695" s="1086">
        <f>AM695+AJ695+AG695</f>
        <v>627481079</v>
      </c>
      <c r="AO695" s="1087"/>
      <c r="AP695" s="1136">
        <f>(AG695+AI695)*15%</f>
        <v>49521894.600000001</v>
      </c>
      <c r="AQ695" s="1087">
        <f>(AG695+AI695)*1%</f>
        <v>3301459.64</v>
      </c>
      <c r="AR695" s="1136">
        <f>(AG695+AI695)*5%</f>
        <v>16507298.200000001</v>
      </c>
      <c r="AS695" s="1087">
        <f>0.5%*(AG695+AI695)*(3)</f>
        <v>4952189.46</v>
      </c>
      <c r="AT695" s="1086">
        <f>+AS695+AR695+AQ695+AP695+AO695</f>
        <v>74282841.900000006</v>
      </c>
      <c r="AU695" s="1137">
        <f>ROUND(AT695+AN695,-3)</f>
        <v>701764000</v>
      </c>
      <c r="AV695" s="1041"/>
    </row>
    <row r="696" spans="1:48" ht="16.5" customHeight="1">
      <c r="A696" s="1073"/>
      <c r="B696" s="1038" t="s">
        <v>16</v>
      </c>
      <c r="C696" s="1071" t="s">
        <v>1754</v>
      </c>
      <c r="D696" s="1074"/>
      <c r="E696" s="1204"/>
      <c r="F696" s="1138"/>
      <c r="G696" s="1074" t="s">
        <v>16</v>
      </c>
      <c r="H696" s="1074" t="s">
        <v>22</v>
      </c>
      <c r="I696" s="1127"/>
      <c r="J696" s="1128"/>
      <c r="K696" s="1067"/>
      <c r="L696" s="1139"/>
      <c r="M696" s="1130"/>
      <c r="N696" s="1074" t="s">
        <v>16</v>
      </c>
      <c r="O696" s="1123" t="s">
        <v>21</v>
      </c>
      <c r="P696" s="1075"/>
      <c r="Q696" s="1081">
        <v>15.57</v>
      </c>
      <c r="R696" s="1038"/>
      <c r="S696" s="1074"/>
      <c r="T696" s="1080"/>
      <c r="U696" s="1091">
        <v>2</v>
      </c>
      <c r="V696" s="1185" t="s">
        <v>14</v>
      </c>
      <c r="W696" s="1079">
        <v>6</v>
      </c>
      <c r="X696" s="1078"/>
      <c r="Y696" s="1039"/>
      <c r="Z696" s="1134">
        <f t="shared" si="56"/>
        <v>6</v>
      </c>
      <c r="AA696" s="1074"/>
      <c r="AB696" s="1126"/>
      <c r="AC696" s="1073"/>
      <c r="AD696" s="1084"/>
      <c r="AE696" s="1062"/>
      <c r="AF696" s="1085"/>
      <c r="AG696" s="1086"/>
      <c r="AH696" s="1087">
        <v>350000</v>
      </c>
      <c r="AI696" s="1087">
        <f>AH696*Q696*0.7</f>
        <v>3814649.9999999995</v>
      </c>
      <c r="AJ696" s="1088"/>
      <c r="AK696" s="1089">
        <v>350000</v>
      </c>
      <c r="AL696" s="1087">
        <f t="shared" si="57"/>
        <v>2100000</v>
      </c>
      <c r="AM696" s="1086"/>
      <c r="AN696" s="1086"/>
      <c r="AO696" s="1087"/>
      <c r="AP696" s="1076"/>
      <c r="AQ696" s="1087"/>
      <c r="AR696" s="1076"/>
      <c r="AS696" s="1076"/>
      <c r="AT696" s="1086"/>
      <c r="AU696" s="1088"/>
      <c r="AV696" s="1067"/>
    </row>
    <row r="697" spans="1:48" ht="33" customHeight="1">
      <c r="A697" s="1073"/>
      <c r="B697" s="1038" t="s">
        <v>18</v>
      </c>
      <c r="C697" s="1039" t="s">
        <v>60</v>
      </c>
      <c r="D697" s="1074"/>
      <c r="E697" s="1204"/>
      <c r="F697" s="1138"/>
      <c r="G697" s="1074" t="s">
        <v>18</v>
      </c>
      <c r="H697" s="1074" t="s">
        <v>19</v>
      </c>
      <c r="I697" s="1127"/>
      <c r="J697" s="1128"/>
      <c r="K697" s="1067"/>
      <c r="L697" s="1139"/>
      <c r="M697" s="1130"/>
      <c r="N697" s="1074" t="s">
        <v>18</v>
      </c>
      <c r="O697" s="1131" t="s">
        <v>17</v>
      </c>
      <c r="P697" s="1075">
        <v>1</v>
      </c>
      <c r="Q697" s="1081"/>
      <c r="R697" s="1038"/>
      <c r="S697" s="1074"/>
      <c r="T697" s="1080"/>
      <c r="U697" s="1184">
        <v>3</v>
      </c>
      <c r="V697" s="1185" t="s">
        <v>137</v>
      </c>
      <c r="W697" s="1079">
        <v>2</v>
      </c>
      <c r="X697" s="1078"/>
      <c r="Y697" s="1039"/>
      <c r="Z697" s="1134">
        <f t="shared" si="56"/>
        <v>2</v>
      </c>
      <c r="AA697" s="1074"/>
      <c r="AB697" s="1126"/>
      <c r="AC697" s="1073"/>
      <c r="AD697" s="1084"/>
      <c r="AE697" s="1062"/>
      <c r="AF697" s="1085"/>
      <c r="AG697" s="1086"/>
      <c r="AH697" s="1087">
        <v>2500000</v>
      </c>
      <c r="AI697" s="1087">
        <f>AH697*P697*0.5</f>
        <v>1250000</v>
      </c>
      <c r="AJ697" s="1088"/>
      <c r="AK697" s="1089">
        <v>125000</v>
      </c>
      <c r="AL697" s="1090">
        <f t="shared" si="57"/>
        <v>250000</v>
      </c>
      <c r="AM697" s="1086"/>
      <c r="AN697" s="1086"/>
      <c r="AO697" s="1087"/>
      <c r="AP697" s="1076"/>
      <c r="AQ697" s="1087"/>
      <c r="AR697" s="1076"/>
      <c r="AS697" s="1076"/>
      <c r="AT697" s="1086"/>
      <c r="AU697" s="1088"/>
      <c r="AV697" s="1067"/>
    </row>
    <row r="698" spans="1:48" ht="49.5" customHeight="1">
      <c r="A698" s="1073"/>
      <c r="B698" s="1082" t="s">
        <v>12</v>
      </c>
      <c r="C698" s="1083" t="s">
        <v>98</v>
      </c>
      <c r="D698" s="1074"/>
      <c r="E698" s="1204"/>
      <c r="F698" s="1138"/>
      <c r="G698" s="1074"/>
      <c r="H698" s="1077"/>
      <c r="I698" s="1127"/>
      <c r="J698" s="1128"/>
      <c r="K698" s="1067"/>
      <c r="L698" s="1139"/>
      <c r="M698" s="1130"/>
      <c r="N698" s="1074" t="s">
        <v>12</v>
      </c>
      <c r="O698" s="1131" t="s">
        <v>11</v>
      </c>
      <c r="P698" s="1075">
        <v>1</v>
      </c>
      <c r="Q698" s="1081"/>
      <c r="R698" s="1038"/>
      <c r="S698" s="1074"/>
      <c r="T698" s="1080"/>
      <c r="U698" s="1091">
        <v>4</v>
      </c>
      <c r="V698" s="1185" t="s">
        <v>1070</v>
      </c>
      <c r="W698" s="1079"/>
      <c r="X698" s="1078"/>
      <c r="Y698" s="1039">
        <v>41</v>
      </c>
      <c r="Z698" s="1134">
        <f t="shared" si="56"/>
        <v>41</v>
      </c>
      <c r="AA698" s="1074"/>
      <c r="AB698" s="1063"/>
      <c r="AC698" s="1075"/>
      <c r="AD698" s="1084"/>
      <c r="AE698" s="1062"/>
      <c r="AF698" s="1085"/>
      <c r="AG698" s="1086"/>
      <c r="AH698" s="1087">
        <v>2500000</v>
      </c>
      <c r="AI698" s="1087">
        <f>AH698*P698*0.75</f>
        <v>1875000</v>
      </c>
      <c r="AJ698" s="1088"/>
      <c r="AK698" s="1089">
        <v>1000</v>
      </c>
      <c r="AL698" s="1090">
        <f>AK698*Y698</f>
        <v>41000</v>
      </c>
      <c r="AM698" s="1086"/>
      <c r="AN698" s="1086"/>
      <c r="AO698" s="1087"/>
      <c r="AP698" s="1076"/>
      <c r="AQ698" s="1087"/>
      <c r="AR698" s="1076"/>
      <c r="AS698" s="1076"/>
      <c r="AT698" s="1086"/>
      <c r="AU698" s="1088"/>
      <c r="AV698" s="1067"/>
    </row>
    <row r="699" spans="1:48" ht="16.5" customHeight="1">
      <c r="A699" s="1073"/>
      <c r="B699" s="1082" t="s">
        <v>8</v>
      </c>
      <c r="C699" s="1244" t="s">
        <v>1753</v>
      </c>
      <c r="D699" s="1074"/>
      <c r="E699" s="1204"/>
      <c r="F699" s="1138"/>
      <c r="G699" s="1074"/>
      <c r="H699" s="1077"/>
      <c r="I699" s="1127"/>
      <c r="J699" s="1128"/>
      <c r="K699" s="1067"/>
      <c r="L699" s="1139"/>
      <c r="M699" s="1130"/>
      <c r="N699" s="1074"/>
      <c r="O699" s="1191"/>
      <c r="P699" s="1075"/>
      <c r="Q699" s="1081"/>
      <c r="R699" s="1038"/>
      <c r="S699" s="1074"/>
      <c r="T699" s="1080"/>
      <c r="U699" s="1184">
        <v>5</v>
      </c>
      <c r="V699" s="1185" t="s">
        <v>1366</v>
      </c>
      <c r="W699" s="1079">
        <v>15</v>
      </c>
      <c r="X699" s="1078"/>
      <c r="Y699" s="1039"/>
      <c r="Z699" s="1134">
        <f t="shared" si="56"/>
        <v>15</v>
      </c>
      <c r="AA699" s="1074"/>
      <c r="AB699" s="1063"/>
      <c r="AC699" s="1075"/>
      <c r="AD699" s="1084"/>
      <c r="AE699" s="1062"/>
      <c r="AF699" s="1085"/>
      <c r="AG699" s="1086"/>
      <c r="AH699" s="1087"/>
      <c r="AI699" s="1087"/>
      <c r="AJ699" s="1088"/>
      <c r="AK699" s="1089">
        <v>10000</v>
      </c>
      <c r="AL699" s="1090">
        <f t="shared" si="57"/>
        <v>150000</v>
      </c>
      <c r="AM699" s="1086"/>
      <c r="AN699" s="1086"/>
      <c r="AO699" s="1087"/>
      <c r="AP699" s="1076"/>
      <c r="AQ699" s="1087"/>
      <c r="AR699" s="1076"/>
      <c r="AS699" s="1076"/>
      <c r="AT699" s="1086"/>
      <c r="AU699" s="1088"/>
      <c r="AV699" s="1067"/>
    </row>
    <row r="700" spans="1:48" ht="16.5" customHeight="1">
      <c r="A700" s="1073"/>
      <c r="B700" s="1082"/>
      <c r="C700" s="1244"/>
      <c r="D700" s="1074"/>
      <c r="E700" s="1204"/>
      <c r="F700" s="1138"/>
      <c r="G700" s="1074"/>
      <c r="H700" s="1077"/>
      <c r="I700" s="1127"/>
      <c r="J700" s="1128"/>
      <c r="K700" s="1067"/>
      <c r="L700" s="1139"/>
      <c r="M700" s="1130"/>
      <c r="N700" s="1074"/>
      <c r="O700" s="1131"/>
      <c r="P700" s="1075"/>
      <c r="Q700" s="1081"/>
      <c r="R700" s="1038"/>
      <c r="S700" s="1074"/>
      <c r="T700" s="1080"/>
      <c r="U700" s="1091">
        <v>6</v>
      </c>
      <c r="V700" s="1185" t="s">
        <v>1256</v>
      </c>
      <c r="W700" s="1079">
        <v>6</v>
      </c>
      <c r="X700" s="1078"/>
      <c r="Y700" s="1039"/>
      <c r="Z700" s="1134">
        <f t="shared" si="56"/>
        <v>6</v>
      </c>
      <c r="AA700" s="1074"/>
      <c r="AB700" s="1063"/>
      <c r="AC700" s="1075"/>
      <c r="AD700" s="1084"/>
      <c r="AE700" s="1062"/>
      <c r="AF700" s="1085"/>
      <c r="AG700" s="1086"/>
      <c r="AH700" s="1087"/>
      <c r="AI700" s="1087"/>
      <c r="AJ700" s="1088"/>
      <c r="AK700" s="1089">
        <v>10000</v>
      </c>
      <c r="AL700" s="1090">
        <f t="shared" si="57"/>
        <v>60000</v>
      </c>
      <c r="AM700" s="1086"/>
      <c r="AN700" s="1086"/>
      <c r="AO700" s="1087"/>
      <c r="AP700" s="1076"/>
      <c r="AQ700" s="1087"/>
      <c r="AR700" s="1076"/>
      <c r="AS700" s="1076"/>
      <c r="AT700" s="1086"/>
      <c r="AU700" s="1088"/>
      <c r="AV700" s="1067"/>
    </row>
    <row r="701" spans="1:48" ht="16.5" customHeight="1">
      <c r="A701" s="1073"/>
      <c r="B701" s="1082"/>
      <c r="C701" s="1244"/>
      <c r="D701" s="1074"/>
      <c r="E701" s="1204"/>
      <c r="F701" s="1138"/>
      <c r="G701" s="1074"/>
      <c r="H701" s="1077"/>
      <c r="I701" s="1127"/>
      <c r="J701" s="1128"/>
      <c r="K701" s="1067"/>
      <c r="L701" s="1139"/>
      <c r="M701" s="1130"/>
      <c r="N701" s="1547" t="s">
        <v>1752</v>
      </c>
      <c r="O701" s="1293"/>
      <c r="P701" s="1075"/>
      <c r="Q701" s="1081"/>
      <c r="R701" s="1038"/>
      <c r="S701" s="1074"/>
      <c r="T701" s="1080"/>
      <c r="U701" s="1184">
        <v>7</v>
      </c>
      <c r="V701" s="1185" t="s">
        <v>133</v>
      </c>
      <c r="W701" s="1079">
        <v>7</v>
      </c>
      <c r="X701" s="1078"/>
      <c r="Y701" s="1039"/>
      <c r="Z701" s="1134">
        <f t="shared" si="56"/>
        <v>7</v>
      </c>
      <c r="AA701" s="1074"/>
      <c r="AB701" s="1063"/>
      <c r="AC701" s="1075"/>
      <c r="AD701" s="1084"/>
      <c r="AE701" s="1062"/>
      <c r="AF701" s="1085"/>
      <c r="AG701" s="1086"/>
      <c r="AH701" s="1087"/>
      <c r="AI701" s="1087"/>
      <c r="AJ701" s="1088"/>
      <c r="AK701" s="1089">
        <v>2645</v>
      </c>
      <c r="AL701" s="1090">
        <f t="shared" si="57"/>
        <v>18515</v>
      </c>
      <c r="AM701" s="1086"/>
      <c r="AN701" s="1086"/>
      <c r="AO701" s="1087"/>
      <c r="AP701" s="1076"/>
      <c r="AQ701" s="1087"/>
      <c r="AR701" s="1076"/>
      <c r="AS701" s="1076"/>
      <c r="AT701" s="1086"/>
      <c r="AU701" s="1088"/>
      <c r="AV701" s="1067"/>
    </row>
    <row r="702" spans="1:48" ht="16.5" customHeight="1">
      <c r="A702" s="1073"/>
      <c r="B702" s="1082"/>
      <c r="C702" s="1244"/>
      <c r="D702" s="1074"/>
      <c r="E702" s="1204"/>
      <c r="F702" s="1138"/>
      <c r="G702" s="1074"/>
      <c r="H702" s="1077"/>
      <c r="I702" s="1127"/>
      <c r="J702" s="1128"/>
      <c r="K702" s="1067"/>
      <c r="L702" s="1139"/>
      <c r="M702" s="1130"/>
      <c r="N702" s="1122" t="s">
        <v>25</v>
      </c>
      <c r="O702" s="1293" t="s">
        <v>26</v>
      </c>
      <c r="P702" s="1075"/>
      <c r="Q702" s="1081">
        <v>57.6</v>
      </c>
      <c r="R702" s="1038"/>
      <c r="S702" s="1074"/>
      <c r="T702" s="1080"/>
      <c r="U702" s="1091">
        <v>8</v>
      </c>
      <c r="V702" s="1185" t="s">
        <v>344</v>
      </c>
      <c r="W702" s="1079"/>
      <c r="X702" s="1078">
        <v>2</v>
      </c>
      <c r="Y702" s="1039"/>
      <c r="Z702" s="1134">
        <f t="shared" si="56"/>
        <v>2</v>
      </c>
      <c r="AA702" s="1074"/>
      <c r="AB702" s="1063"/>
      <c r="AC702" s="1075"/>
      <c r="AD702" s="1084"/>
      <c r="AE702" s="1062"/>
      <c r="AF702" s="1085"/>
      <c r="AG702" s="1086"/>
      <c r="AH702" s="1087">
        <v>2750000</v>
      </c>
      <c r="AI702" s="1087">
        <f>AH702*Q702*0.85</f>
        <v>134640000</v>
      </c>
      <c r="AJ702" s="1088"/>
      <c r="AK702" s="1089">
        <v>99000</v>
      </c>
      <c r="AL702" s="1090">
        <f>AK702*X702</f>
        <v>198000</v>
      </c>
      <c r="AM702" s="1086"/>
      <c r="AN702" s="1086"/>
      <c r="AO702" s="1087"/>
      <c r="AP702" s="1076"/>
      <c r="AQ702" s="1087"/>
      <c r="AR702" s="1076"/>
      <c r="AS702" s="1076"/>
      <c r="AT702" s="1086"/>
      <c r="AU702" s="1088"/>
      <c r="AV702" s="1067"/>
    </row>
    <row r="703" spans="1:48" ht="16.5" customHeight="1">
      <c r="A703" s="1073"/>
      <c r="B703" s="1082"/>
      <c r="C703" s="1244"/>
      <c r="D703" s="1074"/>
      <c r="E703" s="1204"/>
      <c r="F703" s="1138"/>
      <c r="G703" s="1074"/>
      <c r="H703" s="1077"/>
      <c r="I703" s="1127"/>
      <c r="J703" s="1128"/>
      <c r="K703" s="1067"/>
      <c r="L703" s="1139"/>
      <c r="M703" s="1130"/>
      <c r="N703" s="1074" t="s">
        <v>16</v>
      </c>
      <c r="O703" s="1123" t="s">
        <v>21</v>
      </c>
      <c r="P703" s="1075"/>
      <c r="Q703" s="1081">
        <v>6</v>
      </c>
      <c r="R703" s="1038"/>
      <c r="S703" s="1074"/>
      <c r="T703" s="1080"/>
      <c r="U703" s="1184">
        <v>9</v>
      </c>
      <c r="V703" s="1185" t="s">
        <v>1577</v>
      </c>
      <c r="W703" s="1079"/>
      <c r="X703" s="1078">
        <v>1</v>
      </c>
      <c r="Y703" s="1039"/>
      <c r="Z703" s="1134">
        <f t="shared" si="56"/>
        <v>1</v>
      </c>
      <c r="AA703" s="1074"/>
      <c r="AB703" s="1063"/>
      <c r="AC703" s="1075"/>
      <c r="AD703" s="1084"/>
      <c r="AE703" s="1062"/>
      <c r="AF703" s="1085"/>
      <c r="AG703" s="1086"/>
      <c r="AH703" s="1087">
        <v>250000</v>
      </c>
      <c r="AI703" s="1087">
        <f>AH703*Q703*0.7</f>
        <v>1050000</v>
      </c>
      <c r="AJ703" s="1088"/>
      <c r="AK703" s="1089">
        <v>82500</v>
      </c>
      <c r="AL703" s="1090">
        <f>AK703*X703</f>
        <v>82500</v>
      </c>
      <c r="AM703" s="1086"/>
      <c r="AN703" s="1086"/>
      <c r="AO703" s="1087"/>
      <c r="AP703" s="1076"/>
      <c r="AQ703" s="1087"/>
      <c r="AR703" s="1076"/>
      <c r="AS703" s="1076"/>
      <c r="AT703" s="1086"/>
      <c r="AU703" s="1088"/>
      <c r="AV703" s="1067"/>
    </row>
    <row r="704" spans="1:48" ht="16.5" customHeight="1">
      <c r="A704" s="1073"/>
      <c r="B704" s="1082"/>
      <c r="C704" s="1244"/>
      <c r="D704" s="1074"/>
      <c r="E704" s="1204"/>
      <c r="F704" s="1138"/>
      <c r="G704" s="1074"/>
      <c r="H704" s="1077"/>
      <c r="I704" s="1127"/>
      <c r="J704" s="1128"/>
      <c r="K704" s="1067"/>
      <c r="L704" s="1139"/>
      <c r="M704" s="1130"/>
      <c r="N704" s="1074" t="s">
        <v>18</v>
      </c>
      <c r="O704" s="1131" t="s">
        <v>17</v>
      </c>
      <c r="P704" s="1075">
        <v>1</v>
      </c>
      <c r="Q704" s="1081"/>
      <c r="R704" s="1038"/>
      <c r="S704" s="1074"/>
      <c r="T704" s="1080"/>
      <c r="U704" s="1091">
        <v>10</v>
      </c>
      <c r="V704" s="1185" t="s">
        <v>240</v>
      </c>
      <c r="W704" s="1079">
        <v>4</v>
      </c>
      <c r="X704" s="1078"/>
      <c r="Y704" s="1039"/>
      <c r="Z704" s="1134">
        <f t="shared" si="56"/>
        <v>4</v>
      </c>
      <c r="AA704" s="1074"/>
      <c r="AB704" s="1063"/>
      <c r="AC704" s="1075"/>
      <c r="AD704" s="1084"/>
      <c r="AE704" s="1062"/>
      <c r="AF704" s="1085"/>
      <c r="AG704" s="1086"/>
      <c r="AH704" s="1087">
        <v>2500000</v>
      </c>
      <c r="AI704" s="1087">
        <f>AH704*P704*0.5</f>
        <v>1250000</v>
      </c>
      <c r="AJ704" s="1088"/>
      <c r="AK704" s="1089">
        <v>10000</v>
      </c>
      <c r="AL704" s="1090">
        <f>AK704*W704</f>
        <v>40000</v>
      </c>
      <c r="AM704" s="1086"/>
      <c r="AN704" s="1086"/>
      <c r="AO704" s="1087"/>
      <c r="AP704" s="1076"/>
      <c r="AQ704" s="1087"/>
      <c r="AR704" s="1076"/>
      <c r="AS704" s="1076"/>
      <c r="AT704" s="1086"/>
      <c r="AU704" s="1088"/>
      <c r="AV704" s="1067"/>
    </row>
    <row r="705" spans="1:48" ht="16.5" customHeight="1">
      <c r="A705" s="1073"/>
      <c r="B705" s="1082"/>
      <c r="C705" s="1244"/>
      <c r="D705" s="1074"/>
      <c r="E705" s="1204"/>
      <c r="F705" s="1138"/>
      <c r="G705" s="1074"/>
      <c r="H705" s="1077"/>
      <c r="I705" s="1127"/>
      <c r="J705" s="1128"/>
      <c r="K705" s="1067"/>
      <c r="L705" s="1139"/>
      <c r="M705" s="1130"/>
      <c r="N705" s="1074" t="s">
        <v>12</v>
      </c>
      <c r="O705" s="1131" t="s">
        <v>11</v>
      </c>
      <c r="P705" s="1075">
        <v>1</v>
      </c>
      <c r="Q705" s="1081"/>
      <c r="R705" s="1038"/>
      <c r="S705" s="1074"/>
      <c r="T705" s="1080"/>
      <c r="U705" s="1184">
        <v>11</v>
      </c>
      <c r="V705" s="1185" t="s">
        <v>4</v>
      </c>
      <c r="W705" s="1079">
        <v>1</v>
      </c>
      <c r="X705" s="1078"/>
      <c r="Y705" s="1039"/>
      <c r="Z705" s="1134">
        <f t="shared" si="56"/>
        <v>1</v>
      </c>
      <c r="AA705" s="1074"/>
      <c r="AB705" s="1063"/>
      <c r="AC705" s="1075"/>
      <c r="AD705" s="1084"/>
      <c r="AE705" s="1062"/>
      <c r="AF705" s="1085"/>
      <c r="AG705" s="1086"/>
      <c r="AH705" s="1087">
        <v>2500000</v>
      </c>
      <c r="AI705" s="1087">
        <f t="shared" ref="AI705:AI719" si="58">AH705*P705*0.75</f>
        <v>1875000</v>
      </c>
      <c r="AJ705" s="1088"/>
      <c r="AK705" s="1089">
        <v>250</v>
      </c>
      <c r="AL705" s="1090">
        <f t="shared" si="57"/>
        <v>250</v>
      </c>
      <c r="AM705" s="1086"/>
      <c r="AN705" s="1086"/>
      <c r="AO705" s="1087"/>
      <c r="AP705" s="1076"/>
      <c r="AQ705" s="1087"/>
      <c r="AR705" s="1076"/>
      <c r="AS705" s="1076"/>
      <c r="AT705" s="1086"/>
      <c r="AU705" s="1088"/>
      <c r="AV705" s="1067"/>
    </row>
    <row r="706" spans="1:48" ht="16.5" customHeight="1">
      <c r="A706" s="1073"/>
      <c r="B706" s="1082"/>
      <c r="C706" s="1244"/>
      <c r="D706" s="1074"/>
      <c r="E706" s="1204"/>
      <c r="F706" s="1138"/>
      <c r="G706" s="1074"/>
      <c r="H706" s="1077"/>
      <c r="I706" s="1127"/>
      <c r="J706" s="1128"/>
      <c r="K706" s="1067"/>
      <c r="L706" s="1139"/>
      <c r="M706" s="1130"/>
      <c r="N706" s="1074"/>
      <c r="O706" s="1131"/>
      <c r="P706" s="1075"/>
      <c r="Q706" s="1081"/>
      <c r="R706" s="1038"/>
      <c r="S706" s="1074"/>
      <c r="T706" s="1080"/>
      <c r="U706" s="1184"/>
      <c r="V706" s="1185"/>
      <c r="W706" s="1079"/>
      <c r="X706" s="1078"/>
      <c r="Y706" s="1039"/>
      <c r="Z706" s="1183"/>
      <c r="AA706" s="1074"/>
      <c r="AB706" s="1063"/>
      <c r="AC706" s="1075"/>
      <c r="AD706" s="1084"/>
      <c r="AE706" s="1062"/>
      <c r="AF706" s="1085"/>
      <c r="AG706" s="1086"/>
      <c r="AH706" s="1087"/>
      <c r="AI706" s="1087"/>
      <c r="AJ706" s="1088"/>
      <c r="AK706" s="1089"/>
      <c r="AL706" s="1090"/>
      <c r="AM706" s="1086"/>
      <c r="AN706" s="1086"/>
      <c r="AO706" s="1087"/>
      <c r="AP706" s="1076"/>
      <c r="AQ706" s="1087"/>
      <c r="AR706" s="1076"/>
      <c r="AS706" s="1076"/>
      <c r="AT706" s="1086"/>
      <c r="AU706" s="1088"/>
      <c r="AV706" s="1067"/>
    </row>
    <row r="707" spans="1:48" ht="16.5" customHeight="1">
      <c r="A707" s="1073"/>
      <c r="B707" s="1082"/>
      <c r="C707" s="1244"/>
      <c r="D707" s="1074"/>
      <c r="E707" s="1204"/>
      <c r="F707" s="1138"/>
      <c r="G707" s="1074"/>
      <c r="H707" s="1077"/>
      <c r="I707" s="1127"/>
      <c r="J707" s="1128"/>
      <c r="K707" s="1067"/>
      <c r="L707" s="1139"/>
      <c r="M707" s="1130"/>
      <c r="N707" s="1547" t="s">
        <v>1751</v>
      </c>
      <c r="O707" s="1293"/>
      <c r="P707" s="1075"/>
      <c r="Q707" s="1081"/>
      <c r="R707" s="1038"/>
      <c r="S707" s="1074"/>
      <c r="T707" s="1080"/>
      <c r="U707" s="1184"/>
      <c r="V707" s="1185"/>
      <c r="W707" s="1079"/>
      <c r="X707" s="1078"/>
      <c r="Y707" s="1039"/>
      <c r="Z707" s="1183"/>
      <c r="AA707" s="1074"/>
      <c r="AB707" s="1063"/>
      <c r="AC707" s="1075"/>
      <c r="AD707" s="1084"/>
      <c r="AE707" s="1062"/>
      <c r="AF707" s="1085"/>
      <c r="AG707" s="1086"/>
      <c r="AH707" s="1087"/>
      <c r="AI707" s="1087"/>
      <c r="AJ707" s="1088"/>
      <c r="AK707" s="1089"/>
      <c r="AL707" s="1090"/>
      <c r="AM707" s="1086"/>
      <c r="AN707" s="1086"/>
      <c r="AO707" s="1087"/>
      <c r="AP707" s="1076"/>
      <c r="AQ707" s="1087"/>
      <c r="AR707" s="1076"/>
      <c r="AS707" s="1076"/>
      <c r="AT707" s="1086"/>
      <c r="AU707" s="1088"/>
      <c r="AV707" s="1067"/>
    </row>
    <row r="708" spans="1:48" ht="33" customHeight="1">
      <c r="A708" s="1073"/>
      <c r="B708" s="1082"/>
      <c r="C708" s="1244"/>
      <c r="D708" s="1074"/>
      <c r="E708" s="1204"/>
      <c r="F708" s="1138"/>
      <c r="G708" s="1074"/>
      <c r="H708" s="1077"/>
      <c r="I708" s="1127"/>
      <c r="J708" s="1128"/>
      <c r="K708" s="1067"/>
      <c r="L708" s="1139"/>
      <c r="M708" s="1130"/>
      <c r="N708" s="1122" t="s">
        <v>25</v>
      </c>
      <c r="O708" s="1293" t="s">
        <v>1543</v>
      </c>
      <c r="P708" s="1075"/>
      <c r="Q708" s="1081">
        <v>51.42</v>
      </c>
      <c r="R708" s="1038"/>
      <c r="S708" s="1074"/>
      <c r="T708" s="1080"/>
      <c r="U708" s="1184"/>
      <c r="V708" s="1185"/>
      <c r="W708" s="1079"/>
      <c r="X708" s="1078"/>
      <c r="Y708" s="1039"/>
      <c r="Z708" s="1183"/>
      <c r="AA708" s="1074"/>
      <c r="AB708" s="1063"/>
      <c r="AC708" s="1075"/>
      <c r="AD708" s="1084"/>
      <c r="AE708" s="1062"/>
      <c r="AF708" s="1085"/>
      <c r="AG708" s="1086"/>
      <c r="AH708" s="1087">
        <v>1800000</v>
      </c>
      <c r="AI708" s="1087">
        <f>AH708*Q708*0.6</f>
        <v>55533600</v>
      </c>
      <c r="AJ708" s="1088"/>
      <c r="AK708" s="1089"/>
      <c r="AL708" s="1090"/>
      <c r="AM708" s="1086"/>
      <c r="AN708" s="1086"/>
      <c r="AO708" s="1087"/>
      <c r="AP708" s="1076"/>
      <c r="AQ708" s="1087"/>
      <c r="AR708" s="1076"/>
      <c r="AS708" s="1076"/>
      <c r="AT708" s="1086"/>
      <c r="AU708" s="1088"/>
      <c r="AV708" s="1067"/>
    </row>
    <row r="709" spans="1:48" ht="33" customHeight="1">
      <c r="A709" s="1073"/>
      <c r="B709" s="1082"/>
      <c r="C709" s="1244"/>
      <c r="D709" s="1074"/>
      <c r="E709" s="1204"/>
      <c r="F709" s="1138"/>
      <c r="G709" s="1074"/>
      <c r="H709" s="1077"/>
      <c r="I709" s="1127"/>
      <c r="J709" s="1128"/>
      <c r="K709" s="1067"/>
      <c r="L709" s="1139"/>
      <c r="M709" s="1130"/>
      <c r="N709" s="1074" t="s">
        <v>16</v>
      </c>
      <c r="O709" s="1131" t="s">
        <v>191</v>
      </c>
      <c r="P709" s="1075"/>
      <c r="Q709" s="1081">
        <v>11.34</v>
      </c>
      <c r="R709" s="1038"/>
      <c r="S709" s="1074"/>
      <c r="T709" s="1080"/>
      <c r="U709" s="1184"/>
      <c r="V709" s="1185"/>
      <c r="W709" s="1079"/>
      <c r="X709" s="1078"/>
      <c r="Y709" s="1039"/>
      <c r="Z709" s="1183"/>
      <c r="AA709" s="1074"/>
      <c r="AB709" s="1063"/>
      <c r="AC709" s="1075"/>
      <c r="AD709" s="1084"/>
      <c r="AE709" s="1062"/>
      <c r="AF709" s="1085"/>
      <c r="AG709" s="1086"/>
      <c r="AH709" s="1087">
        <v>450000</v>
      </c>
      <c r="AI709" s="1087">
        <f>AH709*Q709*0.5</f>
        <v>2551500</v>
      </c>
      <c r="AJ709" s="1088"/>
      <c r="AK709" s="1089"/>
      <c r="AL709" s="1090"/>
      <c r="AM709" s="1086"/>
      <c r="AN709" s="1086"/>
      <c r="AO709" s="1087"/>
      <c r="AP709" s="1076"/>
      <c r="AQ709" s="1087"/>
      <c r="AR709" s="1076"/>
      <c r="AS709" s="1076"/>
      <c r="AT709" s="1086"/>
      <c r="AU709" s="1088"/>
      <c r="AV709" s="1067"/>
    </row>
    <row r="710" spans="1:48" ht="16.5" customHeight="1">
      <c r="A710" s="1073"/>
      <c r="B710" s="1082"/>
      <c r="C710" s="1244"/>
      <c r="D710" s="1074"/>
      <c r="E710" s="1204"/>
      <c r="F710" s="1138"/>
      <c r="G710" s="1074"/>
      <c r="H710" s="1077"/>
      <c r="I710" s="1127"/>
      <c r="J710" s="1128"/>
      <c r="K710" s="1067"/>
      <c r="L710" s="1139"/>
      <c r="M710" s="1130"/>
      <c r="N710" s="1074" t="s">
        <v>18</v>
      </c>
      <c r="O710" s="1131" t="s">
        <v>21</v>
      </c>
      <c r="P710" s="1075"/>
      <c r="Q710" s="1081">
        <v>10.199999999999999</v>
      </c>
      <c r="R710" s="1038"/>
      <c r="S710" s="1074"/>
      <c r="T710" s="1080"/>
      <c r="U710" s="1184"/>
      <c r="V710" s="1185"/>
      <c r="W710" s="1079"/>
      <c r="X710" s="1078"/>
      <c r="Y710" s="1039"/>
      <c r="Z710" s="1183"/>
      <c r="AA710" s="1074"/>
      <c r="AB710" s="1063"/>
      <c r="AC710" s="1075"/>
      <c r="AD710" s="1084"/>
      <c r="AE710" s="1062"/>
      <c r="AF710" s="1085"/>
      <c r="AG710" s="1086"/>
      <c r="AH710" s="1087">
        <v>100000</v>
      </c>
      <c r="AI710" s="1087">
        <f>AH710*Q710*0.6</f>
        <v>611999.99999999988</v>
      </c>
      <c r="AJ710" s="1088"/>
      <c r="AK710" s="1089"/>
      <c r="AL710" s="1090"/>
      <c r="AM710" s="1086"/>
      <c r="AN710" s="1086"/>
      <c r="AO710" s="1087"/>
      <c r="AP710" s="1076"/>
      <c r="AQ710" s="1087"/>
      <c r="AR710" s="1076"/>
      <c r="AS710" s="1076"/>
      <c r="AT710" s="1086"/>
      <c r="AU710" s="1088"/>
      <c r="AV710" s="1067"/>
    </row>
    <row r="711" spans="1:48" ht="16.5" customHeight="1">
      <c r="A711" s="1073"/>
      <c r="B711" s="1082"/>
      <c r="C711" s="1244"/>
      <c r="D711" s="1074"/>
      <c r="E711" s="1204"/>
      <c r="F711" s="1138"/>
      <c r="G711" s="1074"/>
      <c r="H711" s="1077"/>
      <c r="I711" s="1127"/>
      <c r="J711" s="1128"/>
      <c r="K711" s="1067"/>
      <c r="L711" s="1139"/>
      <c r="M711" s="1130"/>
      <c r="N711" s="1074" t="s">
        <v>12</v>
      </c>
      <c r="O711" s="1131" t="s">
        <v>17</v>
      </c>
      <c r="P711" s="1075">
        <v>1</v>
      </c>
      <c r="Q711" s="1081"/>
      <c r="R711" s="1038"/>
      <c r="S711" s="1074"/>
      <c r="T711" s="1080"/>
      <c r="U711" s="1184"/>
      <c r="V711" s="1185"/>
      <c r="W711" s="1079"/>
      <c r="X711" s="1078"/>
      <c r="Y711" s="1039"/>
      <c r="Z711" s="1183"/>
      <c r="AA711" s="1074"/>
      <c r="AB711" s="1063"/>
      <c r="AC711" s="1075"/>
      <c r="AD711" s="1084"/>
      <c r="AE711" s="1062"/>
      <c r="AF711" s="1085"/>
      <c r="AG711" s="1086"/>
      <c r="AH711" s="1087">
        <v>2500000</v>
      </c>
      <c r="AI711" s="1087">
        <f>AH711*P711*0.5</f>
        <v>1250000</v>
      </c>
      <c r="AJ711" s="1088"/>
      <c r="AK711" s="1089"/>
      <c r="AL711" s="1090"/>
      <c r="AM711" s="1086"/>
      <c r="AN711" s="1086"/>
      <c r="AO711" s="1087"/>
      <c r="AP711" s="1076"/>
      <c r="AQ711" s="1087"/>
      <c r="AR711" s="1076"/>
      <c r="AS711" s="1076"/>
      <c r="AT711" s="1086"/>
      <c r="AU711" s="1088"/>
      <c r="AV711" s="1067"/>
    </row>
    <row r="712" spans="1:48" ht="16.5" customHeight="1">
      <c r="A712" s="1073"/>
      <c r="B712" s="1082"/>
      <c r="C712" s="1244"/>
      <c r="D712" s="1074"/>
      <c r="E712" s="1204"/>
      <c r="F712" s="1138"/>
      <c r="G712" s="1074"/>
      <c r="H712" s="1077"/>
      <c r="I712" s="1127"/>
      <c r="J712" s="1128"/>
      <c r="K712" s="1067"/>
      <c r="L712" s="1139"/>
      <c r="M712" s="1130"/>
      <c r="N712" s="1074" t="s">
        <v>8</v>
      </c>
      <c r="O712" s="1131" t="s">
        <v>11</v>
      </c>
      <c r="P712" s="1075">
        <v>1</v>
      </c>
      <c r="Q712" s="1081"/>
      <c r="R712" s="1038"/>
      <c r="S712" s="1074"/>
      <c r="T712" s="1080"/>
      <c r="U712" s="1184"/>
      <c r="V712" s="1185"/>
      <c r="W712" s="1079"/>
      <c r="X712" s="1078"/>
      <c r="Y712" s="1039"/>
      <c r="Z712" s="1183"/>
      <c r="AA712" s="1074"/>
      <c r="AB712" s="1063"/>
      <c r="AC712" s="1075"/>
      <c r="AD712" s="1084"/>
      <c r="AE712" s="1062"/>
      <c r="AF712" s="1085"/>
      <c r="AG712" s="1086"/>
      <c r="AH712" s="1087">
        <v>2500000</v>
      </c>
      <c r="AI712" s="1087">
        <f t="shared" si="58"/>
        <v>1875000</v>
      </c>
      <c r="AJ712" s="1088"/>
      <c r="AK712" s="1089"/>
      <c r="AL712" s="1090"/>
      <c r="AM712" s="1086"/>
      <c r="AN712" s="1086"/>
      <c r="AO712" s="1087"/>
      <c r="AP712" s="1076"/>
      <c r="AQ712" s="1087"/>
      <c r="AR712" s="1076"/>
      <c r="AS712" s="1076"/>
      <c r="AT712" s="1086"/>
      <c r="AU712" s="1088"/>
      <c r="AV712" s="1067"/>
    </row>
    <row r="713" spans="1:48" ht="16.5" customHeight="1">
      <c r="A713" s="1073"/>
      <c r="B713" s="1082"/>
      <c r="C713" s="1244"/>
      <c r="D713" s="1074"/>
      <c r="E713" s="1204"/>
      <c r="F713" s="1138"/>
      <c r="G713" s="1074"/>
      <c r="H713" s="1077"/>
      <c r="I713" s="1127"/>
      <c r="J713" s="1128"/>
      <c r="K713" s="1067"/>
      <c r="L713" s="1139"/>
      <c r="M713" s="1130"/>
      <c r="N713" s="1074"/>
      <c r="O713" s="1131"/>
      <c r="P713" s="1075"/>
      <c r="Q713" s="1081"/>
      <c r="R713" s="1038"/>
      <c r="S713" s="1074"/>
      <c r="T713" s="1080"/>
      <c r="U713" s="1184"/>
      <c r="V713" s="1185"/>
      <c r="W713" s="1079"/>
      <c r="X713" s="1078"/>
      <c r="Y713" s="1039"/>
      <c r="Z713" s="1183"/>
      <c r="AA713" s="1074"/>
      <c r="AB713" s="1063"/>
      <c r="AC713" s="1075"/>
      <c r="AD713" s="1084"/>
      <c r="AE713" s="1062"/>
      <c r="AF713" s="1085"/>
      <c r="AG713" s="1086"/>
      <c r="AH713" s="1087"/>
      <c r="AI713" s="1087"/>
      <c r="AJ713" s="1088"/>
      <c r="AK713" s="1089"/>
      <c r="AL713" s="1090"/>
      <c r="AM713" s="1086"/>
      <c r="AN713" s="1086"/>
      <c r="AO713" s="1087"/>
      <c r="AP713" s="1076"/>
      <c r="AQ713" s="1087"/>
      <c r="AR713" s="1076"/>
      <c r="AS713" s="1076"/>
      <c r="AT713" s="1086"/>
      <c r="AU713" s="1088"/>
      <c r="AV713" s="1067"/>
    </row>
    <row r="714" spans="1:48" ht="16.5" customHeight="1">
      <c r="A714" s="1073"/>
      <c r="B714" s="1082"/>
      <c r="C714" s="1244"/>
      <c r="D714" s="1074"/>
      <c r="E714" s="1204"/>
      <c r="F714" s="1138"/>
      <c r="G714" s="1074"/>
      <c r="H714" s="1077"/>
      <c r="I714" s="1127"/>
      <c r="J714" s="1128"/>
      <c r="K714" s="1067"/>
      <c r="L714" s="1139"/>
      <c r="M714" s="1130"/>
      <c r="N714" s="1547" t="s">
        <v>1750</v>
      </c>
      <c r="O714" s="1293"/>
      <c r="P714" s="1075"/>
      <c r="Q714" s="1081"/>
      <c r="R714" s="1038"/>
      <c r="S714" s="1074"/>
      <c r="T714" s="1080"/>
      <c r="U714" s="1184"/>
      <c r="V714" s="1185"/>
      <c r="W714" s="1079"/>
      <c r="X714" s="1078"/>
      <c r="Y714" s="1039"/>
      <c r="Z714" s="1183"/>
      <c r="AA714" s="1074"/>
      <c r="AB714" s="1063"/>
      <c r="AC714" s="1075"/>
      <c r="AD714" s="1084"/>
      <c r="AE714" s="1062"/>
      <c r="AF714" s="1085"/>
      <c r="AG714" s="1086"/>
      <c r="AH714" s="1087"/>
      <c r="AI714" s="1087"/>
      <c r="AJ714" s="1088"/>
      <c r="AK714" s="1089"/>
      <c r="AL714" s="1090"/>
      <c r="AM714" s="1086"/>
      <c r="AN714" s="1086"/>
      <c r="AO714" s="1087"/>
      <c r="AP714" s="1076"/>
      <c r="AQ714" s="1087"/>
      <c r="AR714" s="1076"/>
      <c r="AS714" s="1076"/>
      <c r="AT714" s="1086"/>
      <c r="AU714" s="1088"/>
      <c r="AV714" s="1067"/>
    </row>
    <row r="715" spans="1:48" ht="16.5" customHeight="1">
      <c r="A715" s="1073"/>
      <c r="B715" s="1082"/>
      <c r="C715" s="1244"/>
      <c r="D715" s="1074"/>
      <c r="E715" s="1204"/>
      <c r="F715" s="1138"/>
      <c r="G715" s="1074"/>
      <c r="H715" s="1077"/>
      <c r="I715" s="1127"/>
      <c r="J715" s="1128"/>
      <c r="K715" s="1067"/>
      <c r="L715" s="1139"/>
      <c r="M715" s="1130"/>
      <c r="N715" s="1122" t="s">
        <v>25</v>
      </c>
      <c r="O715" s="1293" t="s">
        <v>26</v>
      </c>
      <c r="P715" s="1075"/>
      <c r="Q715" s="1081">
        <v>38.9</v>
      </c>
      <c r="R715" s="1038"/>
      <c r="S715" s="1074"/>
      <c r="T715" s="1080"/>
      <c r="U715" s="1184"/>
      <c r="V715" s="1185"/>
      <c r="W715" s="1079"/>
      <c r="X715" s="1078"/>
      <c r="Y715" s="1039"/>
      <c r="Z715" s="1183"/>
      <c r="AA715" s="1074"/>
      <c r="AB715" s="1063"/>
      <c r="AC715" s="1075"/>
      <c r="AD715" s="1084"/>
      <c r="AE715" s="1062"/>
      <c r="AF715" s="1085"/>
      <c r="AG715" s="1086"/>
      <c r="AH715" s="1087">
        <v>2530000</v>
      </c>
      <c r="AI715" s="1087">
        <f>AH715*Q715*0.8</f>
        <v>78733600</v>
      </c>
      <c r="AJ715" s="1088"/>
      <c r="AK715" s="1089"/>
      <c r="AL715" s="1090"/>
      <c r="AM715" s="1086"/>
      <c r="AN715" s="1086"/>
      <c r="AO715" s="1087"/>
      <c r="AP715" s="1076"/>
      <c r="AQ715" s="1087"/>
      <c r="AR715" s="1076"/>
      <c r="AS715" s="1076"/>
      <c r="AT715" s="1086"/>
      <c r="AU715" s="1088"/>
      <c r="AV715" s="1067"/>
    </row>
    <row r="716" spans="1:48" ht="33" customHeight="1">
      <c r="A716" s="1073"/>
      <c r="B716" s="1082"/>
      <c r="C716" s="1244"/>
      <c r="D716" s="1074"/>
      <c r="E716" s="1204"/>
      <c r="F716" s="1138"/>
      <c r="G716" s="1074"/>
      <c r="H716" s="1077"/>
      <c r="I716" s="1127"/>
      <c r="J716" s="1128"/>
      <c r="K716" s="1067"/>
      <c r="L716" s="1139"/>
      <c r="M716" s="1130"/>
      <c r="N716" s="1074" t="s">
        <v>16</v>
      </c>
      <c r="O716" s="1131" t="s">
        <v>191</v>
      </c>
      <c r="P716" s="1075"/>
      <c r="Q716" s="1081">
        <v>20.8</v>
      </c>
      <c r="R716" s="1038"/>
      <c r="S716" s="1074"/>
      <c r="T716" s="1080"/>
      <c r="U716" s="1184"/>
      <c r="V716" s="1185"/>
      <c r="W716" s="1079"/>
      <c r="X716" s="1078"/>
      <c r="Y716" s="1039"/>
      <c r="Z716" s="1183"/>
      <c r="AA716" s="1074"/>
      <c r="AB716" s="1063"/>
      <c r="AC716" s="1075"/>
      <c r="AD716" s="1084"/>
      <c r="AE716" s="1062"/>
      <c r="AF716" s="1085"/>
      <c r="AG716" s="1086"/>
      <c r="AH716" s="1087">
        <v>430000</v>
      </c>
      <c r="AI716" s="1087">
        <f>AH716*Q716*0.5</f>
        <v>4472000</v>
      </c>
      <c r="AJ716" s="1088"/>
      <c r="AK716" s="1089"/>
      <c r="AL716" s="1090"/>
      <c r="AM716" s="1086"/>
      <c r="AN716" s="1086"/>
      <c r="AO716" s="1087"/>
      <c r="AP716" s="1076"/>
      <c r="AQ716" s="1087"/>
      <c r="AR716" s="1076"/>
      <c r="AS716" s="1076"/>
      <c r="AT716" s="1086"/>
      <c r="AU716" s="1088"/>
      <c r="AV716" s="1067"/>
    </row>
    <row r="717" spans="1:48" ht="16.5" customHeight="1">
      <c r="A717" s="1073"/>
      <c r="B717" s="1082"/>
      <c r="C717" s="1244"/>
      <c r="D717" s="1074"/>
      <c r="E717" s="1204"/>
      <c r="F717" s="1138"/>
      <c r="G717" s="1074"/>
      <c r="H717" s="1077"/>
      <c r="I717" s="1127"/>
      <c r="J717" s="1128"/>
      <c r="K717" s="1067"/>
      <c r="L717" s="1139"/>
      <c r="M717" s="1130"/>
      <c r="N717" s="1074" t="s">
        <v>18</v>
      </c>
      <c r="O717" s="1131" t="s">
        <v>59</v>
      </c>
      <c r="P717" s="1075"/>
      <c r="Q717" s="1081">
        <v>6</v>
      </c>
      <c r="R717" s="1038"/>
      <c r="S717" s="1074"/>
      <c r="T717" s="1080"/>
      <c r="U717" s="1184"/>
      <c r="V717" s="1185"/>
      <c r="W717" s="1079"/>
      <c r="X717" s="1078"/>
      <c r="Y717" s="1039"/>
      <c r="Z717" s="1183"/>
      <c r="AA717" s="1074"/>
      <c r="AB717" s="1063"/>
      <c r="AC717" s="1075"/>
      <c r="AD717" s="1084"/>
      <c r="AE717" s="1062"/>
      <c r="AF717" s="1085"/>
      <c r="AG717" s="1086"/>
      <c r="AH717" s="1087">
        <v>180000</v>
      </c>
      <c r="AI717" s="1087">
        <f>AH717*Q717*0.5</f>
        <v>540000</v>
      </c>
      <c r="AJ717" s="1088"/>
      <c r="AK717" s="1089"/>
      <c r="AL717" s="1090"/>
      <c r="AM717" s="1086"/>
      <c r="AN717" s="1086"/>
      <c r="AO717" s="1087"/>
      <c r="AP717" s="1076"/>
      <c r="AQ717" s="1087"/>
      <c r="AR717" s="1076"/>
      <c r="AS717" s="1076"/>
      <c r="AT717" s="1086"/>
      <c r="AU717" s="1088"/>
      <c r="AV717" s="1067"/>
    </row>
    <row r="718" spans="1:48" ht="16.5" customHeight="1">
      <c r="A718" s="1073"/>
      <c r="B718" s="1082"/>
      <c r="C718" s="1244"/>
      <c r="D718" s="1074"/>
      <c r="E718" s="1204"/>
      <c r="F718" s="1138"/>
      <c r="G718" s="1074"/>
      <c r="H718" s="1077"/>
      <c r="I718" s="1127"/>
      <c r="J718" s="1128"/>
      <c r="K718" s="1067"/>
      <c r="L718" s="1139"/>
      <c r="M718" s="1130"/>
      <c r="N718" s="1074" t="s">
        <v>12</v>
      </c>
      <c r="O718" s="1131" t="s">
        <v>21</v>
      </c>
      <c r="P718" s="1075"/>
      <c r="Q718" s="1081">
        <v>23.1</v>
      </c>
      <c r="R718" s="1038"/>
      <c r="S718" s="1074"/>
      <c r="T718" s="1080"/>
      <c r="U718" s="1184"/>
      <c r="V718" s="1185"/>
      <c r="W718" s="1079"/>
      <c r="X718" s="1078"/>
      <c r="Y718" s="1039"/>
      <c r="Z718" s="1183"/>
      <c r="AA718" s="1074"/>
      <c r="AB718" s="1063"/>
      <c r="AC718" s="1075"/>
      <c r="AD718" s="1084"/>
      <c r="AE718" s="1062"/>
      <c r="AF718" s="1085"/>
      <c r="AG718" s="1086"/>
      <c r="AH718" s="1087">
        <v>100000</v>
      </c>
      <c r="AI718" s="1087">
        <f>AH718*Q718*0.5</f>
        <v>1155000</v>
      </c>
      <c r="AJ718" s="1088"/>
      <c r="AK718" s="1089"/>
      <c r="AL718" s="1090"/>
      <c r="AM718" s="1086"/>
      <c r="AN718" s="1086"/>
      <c r="AO718" s="1087"/>
      <c r="AP718" s="1076"/>
      <c r="AQ718" s="1087"/>
      <c r="AR718" s="1076"/>
      <c r="AS718" s="1076"/>
      <c r="AT718" s="1086"/>
      <c r="AU718" s="1088"/>
      <c r="AV718" s="1067"/>
    </row>
    <row r="719" spans="1:48" ht="16.5" customHeight="1">
      <c r="A719" s="1073"/>
      <c r="B719" s="1082"/>
      <c r="C719" s="1244"/>
      <c r="D719" s="1074"/>
      <c r="E719" s="1204"/>
      <c r="F719" s="1138"/>
      <c r="G719" s="1074"/>
      <c r="H719" s="1077"/>
      <c r="I719" s="1127"/>
      <c r="J719" s="1128"/>
      <c r="K719" s="1067"/>
      <c r="L719" s="1139"/>
      <c r="M719" s="1130"/>
      <c r="N719" s="1074" t="s">
        <v>8</v>
      </c>
      <c r="O719" s="1131" t="s">
        <v>17</v>
      </c>
      <c r="P719" s="1075">
        <v>1</v>
      </c>
      <c r="Q719" s="1081"/>
      <c r="R719" s="1038"/>
      <c r="S719" s="1074"/>
      <c r="T719" s="1080"/>
      <c r="U719" s="1184"/>
      <c r="V719" s="1185"/>
      <c r="W719" s="1079"/>
      <c r="X719" s="1078"/>
      <c r="Y719" s="1039"/>
      <c r="Z719" s="1183"/>
      <c r="AA719" s="1074"/>
      <c r="AB719" s="1063"/>
      <c r="AC719" s="1075"/>
      <c r="AD719" s="1084"/>
      <c r="AE719" s="1062"/>
      <c r="AF719" s="1085"/>
      <c r="AG719" s="1086"/>
      <c r="AH719" s="1087">
        <v>2500000</v>
      </c>
      <c r="AI719" s="1087">
        <f t="shared" si="58"/>
        <v>1875000</v>
      </c>
      <c r="AJ719" s="1088"/>
      <c r="AK719" s="1089"/>
      <c r="AL719" s="1090"/>
      <c r="AM719" s="1086"/>
      <c r="AN719" s="1086"/>
      <c r="AO719" s="1087"/>
      <c r="AP719" s="1076"/>
      <c r="AQ719" s="1087"/>
      <c r="AR719" s="1076"/>
      <c r="AS719" s="1076"/>
      <c r="AT719" s="1086"/>
      <c r="AU719" s="1088"/>
      <c r="AV719" s="1067"/>
    </row>
    <row r="720" spans="1:48" ht="16.5" customHeight="1">
      <c r="A720" s="1073"/>
      <c r="B720" s="1082"/>
      <c r="C720" s="1244"/>
      <c r="D720" s="1074"/>
      <c r="E720" s="1204"/>
      <c r="F720" s="1138"/>
      <c r="G720" s="1074"/>
      <c r="H720" s="1077"/>
      <c r="I720" s="1127"/>
      <c r="J720" s="1128"/>
      <c r="K720" s="1067"/>
      <c r="L720" s="1139"/>
      <c r="M720" s="1130"/>
      <c r="N720" s="1074" t="s">
        <v>54</v>
      </c>
      <c r="O720" s="1131" t="s">
        <v>11</v>
      </c>
      <c r="P720" s="1075">
        <v>1</v>
      </c>
      <c r="Q720" s="1081"/>
      <c r="R720" s="1038"/>
      <c r="S720" s="1074"/>
      <c r="T720" s="1080"/>
      <c r="U720" s="1184"/>
      <c r="V720" s="1185"/>
      <c r="W720" s="1079"/>
      <c r="X720" s="1078"/>
      <c r="Y720" s="1039"/>
      <c r="Z720" s="1183"/>
      <c r="AA720" s="1074"/>
      <c r="AB720" s="1063"/>
      <c r="AC720" s="1075"/>
      <c r="AD720" s="1084"/>
      <c r="AE720" s="1062"/>
      <c r="AF720" s="1085"/>
      <c r="AG720" s="1116"/>
      <c r="AH720" s="1087"/>
      <c r="AI720" s="1087"/>
      <c r="AJ720" s="1088"/>
      <c r="AK720" s="1089"/>
      <c r="AL720" s="1120"/>
      <c r="AM720" s="1086"/>
      <c r="AN720" s="1116"/>
      <c r="AO720" s="1087"/>
      <c r="AP720" s="1076"/>
      <c r="AQ720" s="1087"/>
      <c r="AR720" s="1076"/>
      <c r="AS720" s="1076"/>
      <c r="AT720" s="1086"/>
      <c r="AU720" s="1118"/>
      <c r="AV720" s="1101"/>
    </row>
    <row r="721" spans="1:48" ht="30">
      <c r="A721" s="1169">
        <v>54</v>
      </c>
      <c r="B721" s="1033" t="s">
        <v>25</v>
      </c>
      <c r="C721" s="1036" t="s">
        <v>1749</v>
      </c>
      <c r="D721" s="1170"/>
      <c r="E721" s="1034"/>
      <c r="F721" s="1375" t="s">
        <v>1748</v>
      </c>
      <c r="G721" s="1172" t="s">
        <v>25</v>
      </c>
      <c r="H721" s="1173" t="s">
        <v>1540</v>
      </c>
      <c r="I721" s="1174">
        <v>382</v>
      </c>
      <c r="J721" s="1175" t="s">
        <v>41</v>
      </c>
      <c r="K721" s="1041" t="s">
        <v>1747</v>
      </c>
      <c r="L721" s="1129" t="s">
        <v>46</v>
      </c>
      <c r="M721" s="1176" t="s">
        <v>46</v>
      </c>
      <c r="N721" s="1034" t="s">
        <v>25</v>
      </c>
      <c r="O721" s="1177" t="s">
        <v>1744</v>
      </c>
      <c r="P721" s="1048"/>
      <c r="Q721" s="1054">
        <v>30.8</v>
      </c>
      <c r="R721" s="1033"/>
      <c r="S721" s="1034" t="s">
        <v>15</v>
      </c>
      <c r="T721" s="1053"/>
      <c r="U721" s="1180">
        <v>1</v>
      </c>
      <c r="V721" s="1319" t="s">
        <v>32</v>
      </c>
      <c r="W721" s="1052">
        <v>1</v>
      </c>
      <c r="X721" s="1051"/>
      <c r="Y721" s="1036"/>
      <c r="Z721" s="1203">
        <f t="shared" ref="Z721:Z726" si="59">SUM(W721:Y721)</f>
        <v>1</v>
      </c>
      <c r="AA721" s="1170"/>
      <c r="AB721" s="1173"/>
      <c r="AC721" s="1047"/>
      <c r="AD721" s="1055"/>
      <c r="AE721" s="1032"/>
      <c r="AF721" s="1056">
        <f>Resum!F1</f>
        <v>356000</v>
      </c>
      <c r="AG721" s="1086">
        <f>AF721*I721</f>
        <v>135992000</v>
      </c>
      <c r="AH721" s="1058">
        <v>250000</v>
      </c>
      <c r="AI721" s="1058">
        <f>AH721*Q721*0.5</f>
        <v>3850000</v>
      </c>
      <c r="AJ721" s="1182">
        <f>SUM(AI721:AI732)</f>
        <v>311643250</v>
      </c>
      <c r="AK721" s="1060">
        <v>25300</v>
      </c>
      <c r="AL721" s="1090">
        <f t="shared" si="57"/>
        <v>25300</v>
      </c>
      <c r="AM721" s="1057">
        <f>SUM(AL721:AL726)</f>
        <v>209500</v>
      </c>
      <c r="AN721" s="1086">
        <f>AM721+AJ721+AG721</f>
        <v>447844750</v>
      </c>
      <c r="AO721" s="1058">
        <f>100000*30*3</f>
        <v>9000000</v>
      </c>
      <c r="AP721" s="1548">
        <f>(AG721+AI724)*15%</f>
        <v>58301362.5</v>
      </c>
      <c r="AQ721" s="1058">
        <f>(AG721+AI724)*1%</f>
        <v>3886757.5</v>
      </c>
      <c r="AR721" s="1548">
        <f>(AG721+AI724)*5%</f>
        <v>19433787.5</v>
      </c>
      <c r="AS721" s="1058">
        <f>0.5%*(AG721+AI724)*(3)</f>
        <v>5830136.25</v>
      </c>
      <c r="AT721" s="1057">
        <f>+AS721+AR721+AQ721+AP721+AO721</f>
        <v>96452043.75</v>
      </c>
      <c r="AU721" s="1137">
        <f>ROUND(AT721+AN721,-3)</f>
        <v>544297000</v>
      </c>
      <c r="AV721" s="1041"/>
    </row>
    <row r="722" spans="1:48" ht="16.5" customHeight="1">
      <c r="A722" s="1073"/>
      <c r="B722" s="1038" t="s">
        <v>16</v>
      </c>
      <c r="C722" s="1071" t="s">
        <v>1746</v>
      </c>
      <c r="D722" s="1074"/>
      <c r="E722" s="1063"/>
      <c r="F722" s="1138"/>
      <c r="G722" s="1074" t="s">
        <v>16</v>
      </c>
      <c r="H722" s="1074" t="s">
        <v>22</v>
      </c>
      <c r="I722" s="1127"/>
      <c r="J722" s="1128"/>
      <c r="K722" s="1067"/>
      <c r="L722" s="1139"/>
      <c r="M722" s="1130"/>
      <c r="N722" s="1074" t="s">
        <v>16</v>
      </c>
      <c r="O722" s="1131" t="s">
        <v>17</v>
      </c>
      <c r="P722" s="1075">
        <v>1</v>
      </c>
      <c r="Q722" s="1081"/>
      <c r="R722" s="1038"/>
      <c r="S722" s="1074"/>
      <c r="T722" s="1080"/>
      <c r="U722" s="1091">
        <v>2</v>
      </c>
      <c r="V722" s="1185" t="s">
        <v>1745</v>
      </c>
      <c r="W722" s="1079">
        <v>1</v>
      </c>
      <c r="X722" s="1078"/>
      <c r="Y722" s="1039"/>
      <c r="Z722" s="1134">
        <f t="shared" si="59"/>
        <v>1</v>
      </c>
      <c r="AA722" s="1074"/>
      <c r="AB722" s="1126"/>
      <c r="AC722" s="1073"/>
      <c r="AD722" s="1084"/>
      <c r="AE722" s="1062"/>
      <c r="AF722" s="1085"/>
      <c r="AG722" s="1086"/>
      <c r="AH722" s="1087">
        <v>2500000</v>
      </c>
      <c r="AI722" s="1087">
        <f>AH722*P722*0.5</f>
        <v>1250000</v>
      </c>
      <c r="AJ722" s="1088"/>
      <c r="AK722" s="1089">
        <v>8500</v>
      </c>
      <c r="AL722" s="1090">
        <f t="shared" si="57"/>
        <v>8500</v>
      </c>
      <c r="AM722" s="1086"/>
      <c r="AN722" s="1086"/>
      <c r="AO722" s="1087"/>
      <c r="AP722" s="1076"/>
      <c r="AQ722" s="1087"/>
      <c r="AR722" s="1076"/>
      <c r="AS722" s="1076"/>
      <c r="AT722" s="1086"/>
      <c r="AU722" s="1088"/>
      <c r="AV722" s="1067"/>
    </row>
    <row r="723" spans="1:48" ht="16.5" customHeight="1">
      <c r="A723" s="1073"/>
      <c r="B723" s="1038" t="s">
        <v>18</v>
      </c>
      <c r="C723" s="1039" t="s">
        <v>38</v>
      </c>
      <c r="D723" s="1074"/>
      <c r="E723" s="1074"/>
      <c r="F723" s="1138"/>
      <c r="G723" s="1074" t="s">
        <v>18</v>
      </c>
      <c r="H723" s="1074" t="s">
        <v>19</v>
      </c>
      <c r="I723" s="1127"/>
      <c r="J723" s="1128"/>
      <c r="K723" s="1067"/>
      <c r="L723" s="1139"/>
      <c r="M723" s="1130"/>
      <c r="N723" s="1074" t="s">
        <v>18</v>
      </c>
      <c r="O723" s="1131" t="s">
        <v>11</v>
      </c>
      <c r="P723" s="1075">
        <v>1</v>
      </c>
      <c r="Q723" s="1081"/>
      <c r="R723" s="1038"/>
      <c r="S723" s="1074"/>
      <c r="T723" s="1080"/>
      <c r="U723" s="1184">
        <v>3</v>
      </c>
      <c r="V723" s="1185" t="s">
        <v>137</v>
      </c>
      <c r="W723" s="1079"/>
      <c r="X723" s="1078">
        <v>1</v>
      </c>
      <c r="Y723" s="1039"/>
      <c r="Z723" s="1134">
        <f t="shared" si="59"/>
        <v>1</v>
      </c>
      <c r="AA723" s="1074"/>
      <c r="AB723" s="1126"/>
      <c r="AC723" s="1073"/>
      <c r="AD723" s="1084"/>
      <c r="AE723" s="1062"/>
      <c r="AF723" s="1085"/>
      <c r="AG723" s="1086"/>
      <c r="AH723" s="1087">
        <v>2500000</v>
      </c>
      <c r="AI723" s="1087">
        <f>AH723*P723*0.75</f>
        <v>1875000</v>
      </c>
      <c r="AJ723" s="1088"/>
      <c r="AK723" s="1089">
        <v>82500</v>
      </c>
      <c r="AL723" s="1090">
        <f>AK723*X723</f>
        <v>82500</v>
      </c>
      <c r="AM723" s="1086"/>
      <c r="AN723" s="1086"/>
      <c r="AO723" s="1087"/>
      <c r="AP723" s="1076"/>
      <c r="AQ723" s="1087"/>
      <c r="AR723" s="1076"/>
      <c r="AS723" s="1076"/>
      <c r="AT723" s="1086"/>
      <c r="AU723" s="1088"/>
      <c r="AV723" s="1067"/>
    </row>
    <row r="724" spans="1:48" ht="49.5" customHeight="1">
      <c r="A724" s="1073"/>
      <c r="B724" s="1082" t="s">
        <v>12</v>
      </c>
      <c r="C724" s="1083" t="s">
        <v>210</v>
      </c>
      <c r="D724" s="1074"/>
      <c r="E724" s="1126"/>
      <c r="F724" s="1138"/>
      <c r="G724" s="1074"/>
      <c r="H724" s="1077"/>
      <c r="I724" s="1127"/>
      <c r="J724" s="1128"/>
      <c r="K724" s="1067"/>
      <c r="L724" s="1139"/>
      <c r="M724" s="1130"/>
      <c r="N724" s="1122" t="s">
        <v>12</v>
      </c>
      <c r="O724" s="1293" t="s">
        <v>26</v>
      </c>
      <c r="P724" s="1075"/>
      <c r="Q724" s="1081">
        <v>117.5</v>
      </c>
      <c r="R724" s="1038"/>
      <c r="S724" s="1074"/>
      <c r="T724" s="1080"/>
      <c r="U724" s="1184">
        <v>4</v>
      </c>
      <c r="V724" s="1211" t="s">
        <v>1743</v>
      </c>
      <c r="W724" s="1079">
        <v>2</v>
      </c>
      <c r="X724" s="1078"/>
      <c r="Y724" s="1039"/>
      <c r="Z724" s="1134">
        <f t="shared" si="59"/>
        <v>2</v>
      </c>
      <c r="AA724" s="1074"/>
      <c r="AB724" s="1126"/>
      <c r="AC724" s="1073"/>
      <c r="AD724" s="1084"/>
      <c r="AE724" s="1062"/>
      <c r="AF724" s="1085"/>
      <c r="AG724" s="1086"/>
      <c r="AH724" s="1087">
        <v>2530000</v>
      </c>
      <c r="AI724" s="1087">
        <f>AH724*Q724*0.85</f>
        <v>252683750</v>
      </c>
      <c r="AJ724" s="1088"/>
      <c r="AK724" s="1300">
        <v>6000</v>
      </c>
      <c r="AL724" s="1090">
        <f t="shared" si="57"/>
        <v>12000</v>
      </c>
      <c r="AM724" s="1086"/>
      <c r="AN724" s="1086"/>
      <c r="AO724" s="1087"/>
      <c r="AP724" s="1076"/>
      <c r="AQ724" s="1087"/>
      <c r="AR724" s="1076"/>
      <c r="AS724" s="1076"/>
      <c r="AT724" s="1086"/>
      <c r="AU724" s="1088"/>
      <c r="AV724" s="1067"/>
    </row>
    <row r="725" spans="1:48" ht="16.5" customHeight="1">
      <c r="A725" s="1073"/>
      <c r="B725" s="1038" t="s">
        <v>8</v>
      </c>
      <c r="C725" s="1244" t="s">
        <v>1740</v>
      </c>
      <c r="D725" s="1074"/>
      <c r="E725" s="1126"/>
      <c r="F725" s="1138"/>
      <c r="G725" s="1074"/>
      <c r="H725" s="1077"/>
      <c r="I725" s="1127"/>
      <c r="J725" s="1128"/>
      <c r="K725" s="1067"/>
      <c r="L725" s="1139"/>
      <c r="M725" s="1130"/>
      <c r="N725" s="1074" t="s">
        <v>8</v>
      </c>
      <c r="O725" s="1123" t="s">
        <v>21</v>
      </c>
      <c r="P725" s="1075"/>
      <c r="Q725" s="1081">
        <v>18</v>
      </c>
      <c r="R725" s="1038"/>
      <c r="S725" s="1074"/>
      <c r="T725" s="1080"/>
      <c r="U725" s="1184">
        <v>5</v>
      </c>
      <c r="V725" s="1185" t="s">
        <v>1366</v>
      </c>
      <c r="W725" s="1079">
        <v>4</v>
      </c>
      <c r="X725" s="1078"/>
      <c r="Y725" s="1039"/>
      <c r="Z725" s="1134">
        <f t="shared" si="59"/>
        <v>4</v>
      </c>
      <c r="AA725" s="1074"/>
      <c r="AB725" s="1126"/>
      <c r="AC725" s="1073"/>
      <c r="AD725" s="1084"/>
      <c r="AE725" s="1062"/>
      <c r="AF725" s="1085"/>
      <c r="AG725" s="1086"/>
      <c r="AH725" s="1087">
        <v>350000</v>
      </c>
      <c r="AI725" s="1087">
        <f>AH725*Q725*0.75</f>
        <v>4725000</v>
      </c>
      <c r="AJ725" s="1088"/>
      <c r="AK725" s="1089">
        <v>10000</v>
      </c>
      <c r="AL725" s="1090">
        <f t="shared" si="57"/>
        <v>40000</v>
      </c>
      <c r="AM725" s="1086"/>
      <c r="AN725" s="1086"/>
      <c r="AO725" s="1087"/>
      <c r="AP725" s="1076"/>
      <c r="AQ725" s="1087"/>
      <c r="AR725" s="1076"/>
      <c r="AS725" s="1076"/>
      <c r="AT725" s="1086"/>
      <c r="AU725" s="1088"/>
      <c r="AV725" s="1067"/>
    </row>
    <row r="726" spans="1:48" ht="33" customHeight="1">
      <c r="A726" s="1073"/>
      <c r="B726" s="1082"/>
      <c r="C726" s="1083"/>
      <c r="D726" s="1074"/>
      <c r="E726" s="1126"/>
      <c r="F726" s="1138"/>
      <c r="G726" s="1074"/>
      <c r="H726" s="1077"/>
      <c r="I726" s="1127"/>
      <c r="J726" s="1128"/>
      <c r="K726" s="1067"/>
      <c r="L726" s="1139"/>
      <c r="M726" s="1130"/>
      <c r="N726" s="1074" t="s">
        <v>54</v>
      </c>
      <c r="O726" s="1131" t="s">
        <v>1742</v>
      </c>
      <c r="P726" s="1075"/>
      <c r="Q726" s="1081">
        <v>25</v>
      </c>
      <c r="R726" s="1038"/>
      <c r="S726" s="1074"/>
      <c r="T726" s="1080"/>
      <c r="U726" s="1184">
        <v>6</v>
      </c>
      <c r="V726" s="1185" t="s">
        <v>808</v>
      </c>
      <c r="W726" s="1079"/>
      <c r="X726" s="1078"/>
      <c r="Y726" s="1039">
        <v>1</v>
      </c>
      <c r="Z726" s="1134">
        <f t="shared" si="59"/>
        <v>1</v>
      </c>
      <c r="AA726" s="1074"/>
      <c r="AB726" s="1126"/>
      <c r="AC726" s="1073"/>
      <c r="AD726" s="1084"/>
      <c r="AE726" s="1062"/>
      <c r="AF726" s="1085"/>
      <c r="AG726" s="1086"/>
      <c r="AH726" s="1087">
        <v>1500000</v>
      </c>
      <c r="AI726" s="1087">
        <f>AH726*Q726*0.75</f>
        <v>28125000</v>
      </c>
      <c r="AJ726" s="1088"/>
      <c r="AK726" s="1089">
        <v>41200</v>
      </c>
      <c r="AL726" s="1090">
        <f>AK726*Y726</f>
        <v>41200</v>
      </c>
      <c r="AM726" s="1086"/>
      <c r="AN726" s="1086"/>
      <c r="AO726" s="1087"/>
      <c r="AP726" s="1076"/>
      <c r="AQ726" s="1087"/>
      <c r="AR726" s="1076"/>
      <c r="AS726" s="1076"/>
      <c r="AT726" s="1086"/>
      <c r="AU726" s="1088"/>
      <c r="AV726" s="1067"/>
    </row>
    <row r="727" spans="1:48" ht="16.5" customHeight="1">
      <c r="A727" s="1073"/>
      <c r="B727" s="1082"/>
      <c r="C727" s="1083"/>
      <c r="D727" s="1074"/>
      <c r="E727" s="1126"/>
      <c r="F727" s="1138"/>
      <c r="G727" s="1074"/>
      <c r="H727" s="1077"/>
      <c r="I727" s="1127"/>
      <c r="J727" s="1128"/>
      <c r="K727" s="1067"/>
      <c r="L727" s="1139"/>
      <c r="M727" s="1130"/>
      <c r="N727" s="1074" t="s">
        <v>53</v>
      </c>
      <c r="O727" s="1131" t="s">
        <v>17</v>
      </c>
      <c r="P727" s="1075">
        <v>1</v>
      </c>
      <c r="Q727" s="1081"/>
      <c r="R727" s="1038"/>
      <c r="S727" s="1074"/>
      <c r="T727" s="1080"/>
      <c r="U727" s="1184"/>
      <c r="V727" s="1073"/>
      <c r="W727" s="1079"/>
      <c r="X727" s="1078"/>
      <c r="Y727" s="1039"/>
      <c r="Z727" s="1183"/>
      <c r="AA727" s="1074"/>
      <c r="AB727" s="1126"/>
      <c r="AC727" s="1073"/>
      <c r="AD727" s="1084"/>
      <c r="AE727" s="1062"/>
      <c r="AF727" s="1085"/>
      <c r="AG727" s="1086"/>
      <c r="AH727" s="1087">
        <v>2500000</v>
      </c>
      <c r="AI727" s="1087">
        <f>AH727*P727*0.5</f>
        <v>1250000</v>
      </c>
      <c r="AJ727" s="1088"/>
      <c r="AK727" s="1089"/>
      <c r="AL727" s="1090"/>
      <c r="AM727" s="1086"/>
      <c r="AN727" s="1086"/>
      <c r="AO727" s="1087"/>
      <c r="AP727" s="1076"/>
      <c r="AQ727" s="1087"/>
      <c r="AR727" s="1076"/>
      <c r="AS727" s="1076"/>
      <c r="AT727" s="1086"/>
      <c r="AU727" s="1088"/>
      <c r="AV727" s="1067"/>
    </row>
    <row r="728" spans="1:48" ht="16.5" customHeight="1">
      <c r="A728" s="1073"/>
      <c r="B728" s="1082"/>
      <c r="C728" s="1083"/>
      <c r="D728" s="1074"/>
      <c r="E728" s="1126"/>
      <c r="F728" s="1138"/>
      <c r="G728" s="1074"/>
      <c r="H728" s="1077"/>
      <c r="I728" s="1127"/>
      <c r="J728" s="1128"/>
      <c r="K728" s="1067"/>
      <c r="L728" s="1139"/>
      <c r="M728" s="1130"/>
      <c r="N728" s="1074" t="s">
        <v>51</v>
      </c>
      <c r="O728" s="1131" t="s">
        <v>11</v>
      </c>
      <c r="P728" s="1075">
        <v>1</v>
      </c>
      <c r="Q728" s="1081"/>
      <c r="R728" s="1038"/>
      <c r="S728" s="1074"/>
      <c r="T728" s="1080"/>
      <c r="U728" s="1184"/>
      <c r="V728" s="1073"/>
      <c r="W728" s="1079"/>
      <c r="X728" s="1078"/>
      <c r="Y728" s="1039"/>
      <c r="Z728" s="1183"/>
      <c r="AA728" s="1074"/>
      <c r="AB728" s="1126"/>
      <c r="AC728" s="1073"/>
      <c r="AD728" s="1084"/>
      <c r="AE728" s="1062"/>
      <c r="AF728" s="1085"/>
      <c r="AG728" s="1086"/>
      <c r="AH728" s="1087">
        <v>2500000</v>
      </c>
      <c r="AI728" s="1087">
        <f t="shared" ref="AI728" si="60">AH728*P728*0.75</f>
        <v>1875000</v>
      </c>
      <c r="AJ728" s="1088"/>
      <c r="AK728" s="1089"/>
      <c r="AL728" s="1090"/>
      <c r="AM728" s="1086"/>
      <c r="AN728" s="1086"/>
      <c r="AO728" s="1087"/>
      <c r="AP728" s="1076"/>
      <c r="AQ728" s="1087"/>
      <c r="AR728" s="1076"/>
      <c r="AS728" s="1076"/>
      <c r="AT728" s="1086"/>
      <c r="AU728" s="1088"/>
      <c r="AV728" s="1067"/>
    </row>
    <row r="729" spans="1:48" ht="16.5" customHeight="1">
      <c r="A729" s="1073"/>
      <c r="B729" s="1082"/>
      <c r="C729" s="1083"/>
      <c r="D729" s="1074"/>
      <c r="E729" s="1126"/>
      <c r="F729" s="1138"/>
      <c r="G729" s="1074"/>
      <c r="H729" s="1077"/>
      <c r="I729" s="1127"/>
      <c r="J729" s="1128"/>
      <c r="K729" s="1067"/>
      <c r="L729" s="1139"/>
      <c r="M729" s="1130"/>
      <c r="N729" s="1074" t="s">
        <v>445</v>
      </c>
      <c r="O729" s="1131" t="s">
        <v>1741</v>
      </c>
      <c r="P729" s="1075"/>
      <c r="Q729" s="1081">
        <v>8.6999999999999993</v>
      </c>
      <c r="R729" s="1038"/>
      <c r="S729" s="1074"/>
      <c r="T729" s="1080"/>
      <c r="U729" s="1184"/>
      <c r="V729" s="1073"/>
      <c r="W729" s="1079"/>
      <c r="X729" s="1078"/>
      <c r="Y729" s="1039"/>
      <c r="Z729" s="1183"/>
      <c r="AA729" s="1074"/>
      <c r="AB729" s="1126"/>
      <c r="AC729" s="1073"/>
      <c r="AD729" s="1084"/>
      <c r="AE729" s="1062"/>
      <c r="AF729" s="1085"/>
      <c r="AG729" s="1086"/>
      <c r="AH729" s="1087">
        <v>350000</v>
      </c>
      <c r="AI729" s="1087">
        <f>AH729*Q729*0.6</f>
        <v>1826999.9999999998</v>
      </c>
      <c r="AJ729" s="1088"/>
      <c r="AK729" s="1089"/>
      <c r="AL729" s="1090"/>
      <c r="AM729" s="1086"/>
      <c r="AN729" s="1086"/>
      <c r="AO729" s="1087"/>
      <c r="AP729" s="1076"/>
      <c r="AQ729" s="1087"/>
      <c r="AR729" s="1076"/>
      <c r="AS729" s="1076"/>
      <c r="AT729" s="1086"/>
      <c r="AU729" s="1088"/>
      <c r="AV729" s="1067"/>
    </row>
    <row r="730" spans="1:48" ht="16.5" customHeight="1">
      <c r="A730" s="1073"/>
      <c r="B730" s="1082"/>
      <c r="C730" s="1083"/>
      <c r="D730" s="1074"/>
      <c r="E730" s="1126"/>
      <c r="F730" s="1138"/>
      <c r="G730" s="1074"/>
      <c r="H730" s="1077"/>
      <c r="I730" s="1127"/>
      <c r="J730" s="1128"/>
      <c r="K730" s="1067"/>
      <c r="L730" s="1139"/>
      <c r="M730" s="1130"/>
      <c r="N730" s="1074" t="s">
        <v>457</v>
      </c>
      <c r="O730" s="1131" t="s">
        <v>175</v>
      </c>
      <c r="P730" s="1075"/>
      <c r="Q730" s="1081">
        <v>87.7</v>
      </c>
      <c r="R730" s="1038"/>
      <c r="S730" s="1074"/>
      <c r="T730" s="1080"/>
      <c r="U730" s="1184"/>
      <c r="V730" s="1073"/>
      <c r="W730" s="1079"/>
      <c r="X730" s="1078"/>
      <c r="Y730" s="1039"/>
      <c r="Z730" s="1183"/>
      <c r="AA730" s="1074"/>
      <c r="AB730" s="1126"/>
      <c r="AC730" s="1073"/>
      <c r="AD730" s="1084"/>
      <c r="AE730" s="1062"/>
      <c r="AF730" s="1085"/>
      <c r="AG730" s="1086"/>
      <c r="AH730" s="1087">
        <v>300000</v>
      </c>
      <c r="AI730" s="1087">
        <f>AH730*Q730*0.5</f>
        <v>13155000</v>
      </c>
      <c r="AJ730" s="1088"/>
      <c r="AK730" s="1089"/>
      <c r="AL730" s="1090"/>
      <c r="AM730" s="1086"/>
      <c r="AN730" s="1086"/>
      <c r="AO730" s="1087"/>
      <c r="AP730" s="1076"/>
      <c r="AQ730" s="1087"/>
      <c r="AR730" s="1076"/>
      <c r="AS730" s="1076"/>
      <c r="AT730" s="1086"/>
      <c r="AU730" s="1088"/>
      <c r="AV730" s="1067"/>
    </row>
    <row r="731" spans="1:48" ht="16.5" customHeight="1">
      <c r="A731" s="1073"/>
      <c r="B731" s="1082"/>
      <c r="C731" s="1083"/>
      <c r="D731" s="1074"/>
      <c r="E731" s="1126"/>
      <c r="F731" s="1138"/>
      <c r="G731" s="1074"/>
      <c r="H731" s="1077"/>
      <c r="I731" s="1127"/>
      <c r="J731" s="1128"/>
      <c r="K731" s="1067"/>
      <c r="L731" s="1139"/>
      <c r="M731" s="1130"/>
      <c r="N731" s="1038" t="s">
        <v>455</v>
      </c>
      <c r="O731" s="1131" t="s">
        <v>184</v>
      </c>
      <c r="P731" s="1075"/>
      <c r="Q731" s="1081">
        <v>16.05</v>
      </c>
      <c r="R731" s="1038"/>
      <c r="S731" s="1074"/>
      <c r="T731" s="1080"/>
      <c r="U731" s="1184"/>
      <c r="V731" s="1073"/>
      <c r="W731" s="1079"/>
      <c r="X731" s="1078"/>
      <c r="Y731" s="1039"/>
      <c r="Z731" s="1183"/>
      <c r="AA731" s="1074"/>
      <c r="AB731" s="1126"/>
      <c r="AC731" s="1073"/>
      <c r="AD731" s="1084"/>
      <c r="AE731" s="1062"/>
      <c r="AF731" s="1085"/>
      <c r="AG731" s="1086"/>
      <c r="AH731" s="1087">
        <v>100000</v>
      </c>
      <c r="AI731" s="1087">
        <f>AH731*Q731*0.5</f>
        <v>802500</v>
      </c>
      <c r="AJ731" s="1088"/>
      <c r="AK731" s="1089"/>
      <c r="AL731" s="1090"/>
      <c r="AM731" s="1086"/>
      <c r="AN731" s="1086"/>
      <c r="AO731" s="1087"/>
      <c r="AP731" s="1076"/>
      <c r="AQ731" s="1087"/>
      <c r="AR731" s="1076"/>
      <c r="AS731" s="1076"/>
      <c r="AT731" s="1086"/>
      <c r="AU731" s="1088"/>
      <c r="AV731" s="1067"/>
    </row>
    <row r="732" spans="1:48" ht="16.5" customHeight="1">
      <c r="A732" s="1107"/>
      <c r="B732" s="1098"/>
      <c r="C732" s="1105"/>
      <c r="D732" s="1094"/>
      <c r="E732" s="1156"/>
      <c r="F732" s="1150"/>
      <c r="G732" s="1094"/>
      <c r="H732" s="1151"/>
      <c r="I732" s="1152"/>
      <c r="J732" s="1153"/>
      <c r="K732" s="1101"/>
      <c r="L732" s="1154"/>
      <c r="M732" s="1155"/>
      <c r="N732" s="1270" t="s">
        <v>185</v>
      </c>
      <c r="O732" s="1264" t="s">
        <v>1679</v>
      </c>
      <c r="P732" s="1549"/>
      <c r="Q732" s="1286">
        <v>3</v>
      </c>
      <c r="R732" s="1095"/>
      <c r="S732" s="1094"/>
      <c r="T732" s="1112"/>
      <c r="U732" s="1188"/>
      <c r="V732" s="1107"/>
      <c r="W732" s="1111"/>
      <c r="X732" s="1110"/>
      <c r="Y732" s="1096"/>
      <c r="Z732" s="1166"/>
      <c r="AA732" s="1094"/>
      <c r="AB732" s="1156"/>
      <c r="AC732" s="1107"/>
      <c r="AD732" s="1114"/>
      <c r="AE732" s="1093"/>
      <c r="AF732" s="1115"/>
      <c r="AG732" s="1116"/>
      <c r="AH732" s="1117">
        <v>150000</v>
      </c>
      <c r="AI732" s="1087">
        <f>AH732*Q732*0.5</f>
        <v>225000</v>
      </c>
      <c r="AJ732" s="1118"/>
      <c r="AK732" s="1119"/>
      <c r="AL732" s="1120"/>
      <c r="AM732" s="1116"/>
      <c r="AN732" s="1116"/>
      <c r="AO732" s="1117"/>
      <c r="AP732" s="1108"/>
      <c r="AQ732" s="1117"/>
      <c r="AR732" s="1108"/>
      <c r="AS732" s="1108"/>
      <c r="AT732" s="1116"/>
      <c r="AU732" s="1118"/>
      <c r="AV732" s="1101"/>
    </row>
    <row r="733" spans="1:48" ht="16.5" customHeight="1">
      <c r="A733" s="1169">
        <v>55</v>
      </c>
      <c r="B733" s="1033" t="s">
        <v>25</v>
      </c>
      <c r="C733" s="1036" t="s">
        <v>284</v>
      </c>
      <c r="D733" s="1170"/>
      <c r="E733" s="1034"/>
      <c r="F733" s="1375" t="s">
        <v>1739</v>
      </c>
      <c r="G733" s="1172" t="s">
        <v>25</v>
      </c>
      <c r="H733" s="1173" t="s">
        <v>1540</v>
      </c>
      <c r="I733" s="1174">
        <v>339</v>
      </c>
      <c r="J733" s="1175" t="s">
        <v>41</v>
      </c>
      <c r="K733" s="1041" t="s">
        <v>1738</v>
      </c>
      <c r="L733" s="1129" t="s">
        <v>46</v>
      </c>
      <c r="M733" s="1176" t="s">
        <v>46</v>
      </c>
      <c r="N733" s="1033" t="s">
        <v>25</v>
      </c>
      <c r="O733" s="1190" t="s">
        <v>26</v>
      </c>
      <c r="P733" s="1048"/>
      <c r="Q733" s="2018">
        <v>106.5</v>
      </c>
      <c r="R733" s="1033"/>
      <c r="S733" s="1034" t="s">
        <v>15</v>
      </c>
      <c r="T733" s="1053"/>
      <c r="U733" s="1180">
        <v>1</v>
      </c>
      <c r="V733" s="1319" t="s">
        <v>344</v>
      </c>
      <c r="W733" s="1052">
        <v>1</v>
      </c>
      <c r="X733" s="1051"/>
      <c r="Y733" s="1036"/>
      <c r="Z733" s="1203">
        <f t="shared" ref="Z733:Z743" si="61">SUM(W733:Y733)</f>
        <v>1</v>
      </c>
      <c r="AA733" s="1170"/>
      <c r="AB733" s="1173"/>
      <c r="AC733" s="1047"/>
      <c r="AD733" s="1055"/>
      <c r="AE733" s="1032"/>
      <c r="AF733" s="1056">
        <f>+Resum!F4</f>
        <v>204000</v>
      </c>
      <c r="AG733" s="1057">
        <f>AF733*I733</f>
        <v>69156000</v>
      </c>
      <c r="AH733" s="1058">
        <v>2530000</v>
      </c>
      <c r="AI733" s="1058">
        <f>AH733*Q733*0.75</f>
        <v>202083750</v>
      </c>
      <c r="AJ733" s="1182">
        <f>SUM(AI733:AI744)</f>
        <v>219801950</v>
      </c>
      <c r="AK733" s="1060">
        <v>150000</v>
      </c>
      <c r="AL733" s="1061">
        <f t="shared" si="57"/>
        <v>150000</v>
      </c>
      <c r="AM733" s="1057">
        <f>SUM(AL733:AL744)</f>
        <v>1229520</v>
      </c>
      <c r="AN733" s="1057">
        <f>AM733+AJ733+AG733</f>
        <v>290187470</v>
      </c>
      <c r="AO733" s="1058"/>
      <c r="AP733" s="1548">
        <f>(AG733+AI733)*10%</f>
        <v>27123975</v>
      </c>
      <c r="AQ733" s="1058">
        <f>(AG733+AI733)*1%</f>
        <v>2712397.5</v>
      </c>
      <c r="AR733" s="1548">
        <f>(AG733+AI733)*5%</f>
        <v>13561987.5</v>
      </c>
      <c r="AS733" s="1058">
        <f>0.5%*(AG733+AI733)*(3)</f>
        <v>4068596.25</v>
      </c>
      <c r="AT733" s="1057">
        <f>+AS733+AR733+AQ733+AP733+AO733</f>
        <v>47466956.25</v>
      </c>
      <c r="AU733" s="2015">
        <f>ROUND(AT733+AN733,-3)</f>
        <v>337654000</v>
      </c>
      <c r="AV733" s="1041"/>
    </row>
    <row r="734" spans="1:48" ht="16.5" customHeight="1">
      <c r="A734" s="1073"/>
      <c r="B734" s="1038" t="s">
        <v>16</v>
      </c>
      <c r="C734" s="1071" t="s">
        <v>281</v>
      </c>
      <c r="D734" s="1074"/>
      <c r="E734" s="1063"/>
      <c r="F734" s="1138"/>
      <c r="G734" s="1074" t="s">
        <v>16</v>
      </c>
      <c r="H734" s="1074" t="s">
        <v>22</v>
      </c>
      <c r="I734" s="1127"/>
      <c r="J734" s="1128"/>
      <c r="K734" s="1067"/>
      <c r="L734" s="1139"/>
      <c r="M734" s="1130"/>
      <c r="N734" s="1074" t="s">
        <v>16</v>
      </c>
      <c r="O734" s="1123" t="s">
        <v>21</v>
      </c>
      <c r="P734" s="1075"/>
      <c r="Q734" s="1551">
        <v>11.96</v>
      </c>
      <c r="R734" s="1038"/>
      <c r="S734" s="1074"/>
      <c r="T734" s="1080"/>
      <c r="U734" s="1091">
        <v>2</v>
      </c>
      <c r="V734" s="1185" t="s">
        <v>32</v>
      </c>
      <c r="W734" s="1079">
        <v>1</v>
      </c>
      <c r="X734" s="1078"/>
      <c r="Y734" s="1039"/>
      <c r="Z734" s="1134">
        <f t="shared" si="61"/>
        <v>1</v>
      </c>
      <c r="AA734" s="1074"/>
      <c r="AB734" s="1126"/>
      <c r="AC734" s="1073"/>
      <c r="AD734" s="1084"/>
      <c r="AE734" s="1062"/>
      <c r="AF734" s="1085"/>
      <c r="AG734" s="1086"/>
      <c r="AH734" s="1087">
        <v>350000</v>
      </c>
      <c r="AI734" s="1087">
        <f>AH734*Q734*0.7</f>
        <v>2930200</v>
      </c>
      <c r="AJ734" s="1088"/>
      <c r="AK734" s="1089">
        <v>25300</v>
      </c>
      <c r="AL734" s="1090">
        <f t="shared" si="57"/>
        <v>25300</v>
      </c>
      <c r="AM734" s="1086"/>
      <c r="AN734" s="1086"/>
      <c r="AO734" s="1087"/>
      <c r="AP734" s="1076"/>
      <c r="AQ734" s="1087"/>
      <c r="AR734" s="1076"/>
      <c r="AS734" s="1076"/>
      <c r="AT734" s="1086"/>
      <c r="AU734" s="1088"/>
      <c r="AV734" s="1067"/>
    </row>
    <row r="735" spans="1:48" ht="16.5" customHeight="1">
      <c r="A735" s="1073"/>
      <c r="B735" s="1038" t="s">
        <v>18</v>
      </c>
      <c r="C735" s="1039" t="s">
        <v>38</v>
      </c>
      <c r="D735" s="1074"/>
      <c r="E735" s="1074"/>
      <c r="F735" s="1138"/>
      <c r="G735" s="1074" t="s">
        <v>18</v>
      </c>
      <c r="H735" s="1074" t="s">
        <v>19</v>
      </c>
      <c r="I735" s="1127"/>
      <c r="J735" s="1128"/>
      <c r="K735" s="1067"/>
      <c r="L735" s="1139"/>
      <c r="M735" s="1130"/>
      <c r="N735" s="1074" t="s">
        <v>18</v>
      </c>
      <c r="O735" s="1131" t="s">
        <v>1984</v>
      </c>
      <c r="P735" s="1075"/>
      <c r="Q735" s="1550">
        <v>7.2</v>
      </c>
      <c r="R735" s="1038"/>
      <c r="S735" s="1074"/>
      <c r="T735" s="1080"/>
      <c r="U735" s="1091">
        <v>3</v>
      </c>
      <c r="V735" s="1185" t="s">
        <v>221</v>
      </c>
      <c r="W735" s="1079"/>
      <c r="X735" s="1078"/>
      <c r="Y735" s="1039">
        <v>2</v>
      </c>
      <c r="Z735" s="1134">
        <f t="shared" si="61"/>
        <v>2</v>
      </c>
      <c r="AA735" s="1074"/>
      <c r="AB735" s="1126"/>
      <c r="AC735" s="1073"/>
      <c r="AD735" s="1084"/>
      <c r="AE735" s="1062"/>
      <c r="AF735" s="1085"/>
      <c r="AG735" s="1086"/>
      <c r="AH735" s="1087">
        <v>150000</v>
      </c>
      <c r="AI735" s="1087">
        <f>AH735*Q735*0.6</f>
        <v>648000</v>
      </c>
      <c r="AJ735" s="1088"/>
      <c r="AK735" s="1089">
        <v>2435</v>
      </c>
      <c r="AL735" s="1090">
        <f>AK735*Y735</f>
        <v>4870</v>
      </c>
      <c r="AM735" s="1086"/>
      <c r="AN735" s="1086"/>
      <c r="AO735" s="1087"/>
      <c r="AP735" s="1076"/>
      <c r="AQ735" s="1087"/>
      <c r="AR735" s="1076"/>
      <c r="AS735" s="1076"/>
      <c r="AT735" s="1086"/>
      <c r="AU735" s="1088"/>
      <c r="AV735" s="1067"/>
    </row>
    <row r="736" spans="1:48" ht="49.5" customHeight="1">
      <c r="A736" s="1073"/>
      <c r="B736" s="1082" t="s">
        <v>12</v>
      </c>
      <c r="C736" s="1083" t="s">
        <v>210</v>
      </c>
      <c r="D736" s="1077"/>
      <c r="E736" s="1126"/>
      <c r="F736" s="1138"/>
      <c r="G736" s="1074"/>
      <c r="H736" s="1077"/>
      <c r="I736" s="1127"/>
      <c r="J736" s="1128"/>
      <c r="K736" s="1067"/>
      <c r="L736" s="1139"/>
      <c r="M736" s="1130"/>
      <c r="N736" s="1074" t="s">
        <v>12</v>
      </c>
      <c r="O736" s="1131" t="s">
        <v>1985</v>
      </c>
      <c r="P736" s="1075"/>
      <c r="Q736" s="1550">
        <v>11</v>
      </c>
      <c r="R736" s="1038"/>
      <c r="S736" s="1074"/>
      <c r="T736" s="1144"/>
      <c r="U736" s="1184">
        <v>4</v>
      </c>
      <c r="V736" s="1185" t="s">
        <v>144</v>
      </c>
      <c r="W736" s="1079"/>
      <c r="X736" s="1078"/>
      <c r="Y736" s="1039">
        <v>6</v>
      </c>
      <c r="Z736" s="1134">
        <f t="shared" si="61"/>
        <v>6</v>
      </c>
      <c r="AA736" s="1074"/>
      <c r="AB736" s="1063"/>
      <c r="AC736" s="1075"/>
      <c r="AD736" s="1084"/>
      <c r="AE736" s="1062"/>
      <c r="AF736" s="1085"/>
      <c r="AG736" s="1086"/>
      <c r="AH736" s="1087">
        <v>350000</v>
      </c>
      <c r="AI736" s="1087">
        <f>AH736*Q736*0.5</f>
        <v>1925000</v>
      </c>
      <c r="AJ736" s="1088"/>
      <c r="AK736" s="1089">
        <v>6600</v>
      </c>
      <c r="AL736" s="1090">
        <f>AK736*Y736</f>
        <v>39600</v>
      </c>
      <c r="AM736" s="1086"/>
      <c r="AN736" s="1086"/>
      <c r="AO736" s="1087"/>
      <c r="AP736" s="1076"/>
      <c r="AQ736" s="1087"/>
      <c r="AR736" s="1076"/>
      <c r="AS736" s="1076"/>
      <c r="AT736" s="1086"/>
      <c r="AU736" s="1088"/>
      <c r="AV736" s="1067"/>
    </row>
    <row r="737" spans="1:48" ht="16.5" customHeight="1">
      <c r="A737" s="1073"/>
      <c r="B737" s="1082" t="s">
        <v>8</v>
      </c>
      <c r="C737" s="1083" t="s">
        <v>1737</v>
      </c>
      <c r="D737" s="1077"/>
      <c r="E737" s="1126"/>
      <c r="F737" s="1138"/>
      <c r="G737" s="1074"/>
      <c r="H737" s="1077"/>
      <c r="I737" s="1127"/>
      <c r="J737" s="1128"/>
      <c r="K737" s="1067"/>
      <c r="L737" s="1139"/>
      <c r="M737" s="1130"/>
      <c r="N737" s="1074" t="s">
        <v>8</v>
      </c>
      <c r="O737" s="1131" t="s">
        <v>175</v>
      </c>
      <c r="P737" s="1075"/>
      <c r="Q737" s="1550">
        <v>60.6</v>
      </c>
      <c r="R737" s="1038"/>
      <c r="S737" s="1074"/>
      <c r="T737" s="1144"/>
      <c r="U737" s="1184">
        <v>5</v>
      </c>
      <c r="V737" s="1185" t="s">
        <v>808</v>
      </c>
      <c r="W737" s="1079"/>
      <c r="X737" s="1078">
        <v>1</v>
      </c>
      <c r="Y737" s="1039"/>
      <c r="Z737" s="1134">
        <f t="shared" si="61"/>
        <v>1</v>
      </c>
      <c r="AA737" s="1074"/>
      <c r="AB737" s="1063"/>
      <c r="AC737" s="1075"/>
      <c r="AD737" s="1084"/>
      <c r="AE737" s="1062"/>
      <c r="AF737" s="1085"/>
      <c r="AG737" s="1086"/>
      <c r="AH737" s="1087">
        <v>300000</v>
      </c>
      <c r="AI737" s="1087">
        <f>AH737*Q737*0.5</f>
        <v>9090000</v>
      </c>
      <c r="AJ737" s="1088"/>
      <c r="AK737" s="1089">
        <v>82500</v>
      </c>
      <c r="AL737" s="1090">
        <f>AK737*X737</f>
        <v>82500</v>
      </c>
      <c r="AM737" s="1086"/>
      <c r="AN737" s="1086"/>
      <c r="AO737" s="1087"/>
      <c r="AP737" s="1076"/>
      <c r="AQ737" s="1087"/>
      <c r="AR737" s="1076"/>
      <c r="AS737" s="1076"/>
      <c r="AT737" s="1086"/>
      <c r="AU737" s="1088"/>
      <c r="AV737" s="1067"/>
    </row>
    <row r="738" spans="1:48" ht="16.5" customHeight="1">
      <c r="A738" s="1073"/>
      <c r="B738" s="1082"/>
      <c r="C738" s="1083"/>
      <c r="D738" s="1077"/>
      <c r="E738" s="1126"/>
      <c r="F738" s="1138"/>
      <c r="G738" s="1074"/>
      <c r="H738" s="1077"/>
      <c r="I738" s="1127"/>
      <c r="J738" s="1128"/>
      <c r="K738" s="1067"/>
      <c r="L738" s="1139"/>
      <c r="M738" s="1130"/>
      <c r="N738" s="1074" t="s">
        <v>54</v>
      </c>
      <c r="O738" s="1131" t="s">
        <v>17</v>
      </c>
      <c r="P738" s="1075">
        <v>1</v>
      </c>
      <c r="Q738" s="1550"/>
      <c r="R738" s="1038"/>
      <c r="S738" s="1074"/>
      <c r="T738" s="1144"/>
      <c r="U738" s="1184">
        <v>6</v>
      </c>
      <c r="V738" s="1185" t="s">
        <v>137</v>
      </c>
      <c r="W738" s="1079"/>
      <c r="X738" s="1078"/>
      <c r="Y738" s="1039">
        <v>1</v>
      </c>
      <c r="Z738" s="1134">
        <f t="shared" si="61"/>
        <v>1</v>
      </c>
      <c r="AA738" s="1074"/>
      <c r="AB738" s="1063"/>
      <c r="AC738" s="1075"/>
      <c r="AD738" s="1084"/>
      <c r="AE738" s="1062"/>
      <c r="AF738" s="1085"/>
      <c r="AG738" s="1086"/>
      <c r="AH738" s="1087">
        <v>2500000</v>
      </c>
      <c r="AI738" s="1087">
        <f t="shared" ref="AI738:AI743" si="62">AH738*P738*0.5</f>
        <v>1250000</v>
      </c>
      <c r="AJ738" s="1088"/>
      <c r="AK738" s="1089">
        <v>41250</v>
      </c>
      <c r="AL738" s="1090">
        <f>AK738*Y738</f>
        <v>41250</v>
      </c>
      <c r="AM738" s="1086"/>
      <c r="AN738" s="1086"/>
      <c r="AO738" s="1087"/>
      <c r="AP738" s="1076"/>
      <c r="AQ738" s="1087"/>
      <c r="AR738" s="1076"/>
      <c r="AS738" s="1076"/>
      <c r="AT738" s="1086"/>
      <c r="AU738" s="1088"/>
      <c r="AV738" s="1067"/>
    </row>
    <row r="739" spans="1:48" ht="16.5" customHeight="1">
      <c r="A739" s="1073"/>
      <c r="B739" s="1082"/>
      <c r="C739" s="1083"/>
      <c r="D739" s="1077"/>
      <c r="E739" s="1126"/>
      <c r="F739" s="1138"/>
      <c r="G739" s="1074"/>
      <c r="H739" s="1077"/>
      <c r="I739" s="1127"/>
      <c r="J739" s="1128"/>
      <c r="K739" s="1067"/>
      <c r="L739" s="1139"/>
      <c r="M739" s="1130"/>
      <c r="N739" s="1074" t="s">
        <v>53</v>
      </c>
      <c r="O739" s="1131" t="s">
        <v>11</v>
      </c>
      <c r="P739" s="1075">
        <v>1</v>
      </c>
      <c r="Q739" s="1550"/>
      <c r="R739" s="1038"/>
      <c r="S739" s="1074"/>
      <c r="T739" s="1144"/>
      <c r="U739" s="1184">
        <v>7</v>
      </c>
      <c r="V739" s="1185" t="s">
        <v>1736</v>
      </c>
      <c r="W739" s="1079">
        <v>7</v>
      </c>
      <c r="X739" s="1078"/>
      <c r="Y739" s="1039"/>
      <c r="Z739" s="1134">
        <f t="shared" si="61"/>
        <v>7</v>
      </c>
      <c r="AA739" s="1074"/>
      <c r="AB739" s="1063"/>
      <c r="AC739" s="1075"/>
      <c r="AD739" s="1084"/>
      <c r="AE739" s="1062"/>
      <c r="AF739" s="1085"/>
      <c r="AG739" s="1086"/>
      <c r="AH739" s="1087">
        <v>2500000</v>
      </c>
      <c r="AI739" s="1087">
        <f>AH739*P739*0.75</f>
        <v>1875000</v>
      </c>
      <c r="AJ739" s="1088"/>
      <c r="AK739" s="1089">
        <v>60000</v>
      </c>
      <c r="AL739" s="1090">
        <f t="shared" si="57"/>
        <v>420000</v>
      </c>
      <c r="AM739" s="1086"/>
      <c r="AN739" s="1086"/>
      <c r="AO739" s="1087"/>
      <c r="AP739" s="1076"/>
      <c r="AQ739" s="1087"/>
      <c r="AR739" s="1076"/>
      <c r="AS739" s="1076"/>
      <c r="AT739" s="1086"/>
      <c r="AU739" s="1088"/>
      <c r="AV739" s="1067"/>
    </row>
    <row r="740" spans="1:48" ht="16.5" customHeight="1">
      <c r="A740" s="1073"/>
      <c r="B740" s="1082"/>
      <c r="C740" s="1083"/>
      <c r="D740" s="1077"/>
      <c r="E740" s="1126"/>
      <c r="F740" s="1138"/>
      <c r="G740" s="1074"/>
      <c r="H740" s="1077"/>
      <c r="I740" s="1127"/>
      <c r="J740" s="1128"/>
      <c r="K740" s="1067"/>
      <c r="L740" s="1139"/>
      <c r="M740" s="1130"/>
      <c r="N740" s="1074"/>
      <c r="O740" s="1126"/>
      <c r="P740" s="1320"/>
      <c r="Q740" s="1552"/>
      <c r="R740" s="1038"/>
      <c r="S740" s="1074"/>
      <c r="T740" s="1144"/>
      <c r="U740" s="1184">
        <v>8</v>
      </c>
      <c r="V740" s="1185" t="s">
        <v>14</v>
      </c>
      <c r="W740" s="1079"/>
      <c r="X740" s="1078"/>
      <c r="Y740" s="1039">
        <v>2</v>
      </c>
      <c r="Z740" s="1134">
        <f t="shared" si="61"/>
        <v>2</v>
      </c>
      <c r="AA740" s="1074"/>
      <c r="AB740" s="1063"/>
      <c r="AC740" s="1075"/>
      <c r="AD740" s="1084"/>
      <c r="AE740" s="1062"/>
      <c r="AF740" s="1085"/>
      <c r="AG740" s="1086"/>
      <c r="AH740" s="1087"/>
      <c r="AI740" s="1087">
        <f t="shared" si="62"/>
        <v>0</v>
      </c>
      <c r="AJ740" s="1088"/>
      <c r="AK740" s="1089">
        <v>115500</v>
      </c>
      <c r="AL740" s="1087">
        <f>AK740*Y740</f>
        <v>231000</v>
      </c>
      <c r="AM740" s="1086"/>
      <c r="AN740" s="1086"/>
      <c r="AO740" s="1087"/>
      <c r="AP740" s="1076"/>
      <c r="AQ740" s="1087"/>
      <c r="AR740" s="1076"/>
      <c r="AS740" s="1076"/>
      <c r="AT740" s="1086"/>
      <c r="AU740" s="1088"/>
      <c r="AV740" s="1067"/>
    </row>
    <row r="741" spans="1:48" ht="16.5" customHeight="1">
      <c r="A741" s="1073"/>
      <c r="B741" s="1082"/>
      <c r="C741" s="1083"/>
      <c r="D741" s="1077"/>
      <c r="E741" s="1126"/>
      <c r="F741" s="1138"/>
      <c r="G741" s="1074"/>
      <c r="H741" s="1077"/>
      <c r="I741" s="1127"/>
      <c r="J741" s="1128"/>
      <c r="K741" s="1067"/>
      <c r="L741" s="1139"/>
      <c r="M741" s="1130"/>
      <c r="N741" s="1074"/>
      <c r="O741" s="1257"/>
      <c r="P741" s="1320"/>
      <c r="Q741" s="1552"/>
      <c r="R741" s="1038"/>
      <c r="S741" s="1074"/>
      <c r="T741" s="1144"/>
      <c r="U741" s="1184">
        <v>9</v>
      </c>
      <c r="V741" s="1185" t="s">
        <v>83</v>
      </c>
      <c r="W741" s="1079">
        <v>10</v>
      </c>
      <c r="X741" s="1078"/>
      <c r="Y741" s="1039"/>
      <c r="Z741" s="1134">
        <f t="shared" si="61"/>
        <v>10</v>
      </c>
      <c r="AA741" s="1074"/>
      <c r="AB741" s="1063"/>
      <c r="AC741" s="1075"/>
      <c r="AD741" s="1084"/>
      <c r="AE741" s="1062"/>
      <c r="AF741" s="1085"/>
      <c r="AG741" s="1086"/>
      <c r="AH741" s="1087"/>
      <c r="AI741" s="1087">
        <f t="shared" si="62"/>
        <v>0</v>
      </c>
      <c r="AJ741" s="1088"/>
      <c r="AK741" s="1089">
        <v>3000</v>
      </c>
      <c r="AL741" s="1090">
        <f t="shared" si="57"/>
        <v>30000</v>
      </c>
      <c r="AM741" s="1086"/>
      <c r="AN741" s="1086"/>
      <c r="AO741" s="1087"/>
      <c r="AP741" s="1076"/>
      <c r="AQ741" s="1087"/>
      <c r="AR741" s="1076"/>
      <c r="AS741" s="1076"/>
      <c r="AT741" s="1086"/>
      <c r="AU741" s="1088"/>
      <c r="AV741" s="1067"/>
    </row>
    <row r="742" spans="1:48" ht="16.5" customHeight="1">
      <c r="A742" s="1073"/>
      <c r="B742" s="1082"/>
      <c r="C742" s="1083"/>
      <c r="D742" s="1077"/>
      <c r="E742" s="1126"/>
      <c r="F742" s="1138"/>
      <c r="G742" s="1074"/>
      <c r="H742" s="1077"/>
      <c r="I742" s="1127"/>
      <c r="J742" s="1128"/>
      <c r="K742" s="1067"/>
      <c r="L742" s="1139"/>
      <c r="M742" s="1130"/>
      <c r="N742" s="1074"/>
      <c r="O742" s="1257"/>
      <c r="P742" s="1320"/>
      <c r="Q742" s="1553"/>
      <c r="R742" s="1038"/>
      <c r="S742" s="1074"/>
      <c r="T742" s="1144"/>
      <c r="U742" s="1184">
        <v>10</v>
      </c>
      <c r="V742" s="1185" t="s">
        <v>268</v>
      </c>
      <c r="W742" s="1079">
        <v>1</v>
      </c>
      <c r="X742" s="1078"/>
      <c r="Y742" s="1039"/>
      <c r="Z742" s="1134">
        <f t="shared" si="61"/>
        <v>1</v>
      </c>
      <c r="AA742" s="1074"/>
      <c r="AB742" s="1063"/>
      <c r="AC742" s="1075"/>
      <c r="AD742" s="1084"/>
      <c r="AE742" s="1062"/>
      <c r="AF742" s="1085"/>
      <c r="AG742" s="1086"/>
      <c r="AH742" s="1087"/>
      <c r="AI742" s="1087">
        <f t="shared" si="62"/>
        <v>0</v>
      </c>
      <c r="AJ742" s="1088"/>
      <c r="AK742" s="1089">
        <v>200000</v>
      </c>
      <c r="AL742" s="1090">
        <f t="shared" si="57"/>
        <v>200000</v>
      </c>
      <c r="AM742" s="1086"/>
      <c r="AN742" s="1086"/>
      <c r="AO742" s="1087"/>
      <c r="AP742" s="1076"/>
      <c r="AQ742" s="1087"/>
      <c r="AR742" s="1076"/>
      <c r="AS742" s="1076"/>
      <c r="AT742" s="1086"/>
      <c r="AU742" s="1088"/>
      <c r="AV742" s="1067"/>
    </row>
    <row r="743" spans="1:48" ht="16.5" customHeight="1">
      <c r="A743" s="1073"/>
      <c r="B743" s="1082"/>
      <c r="C743" s="1083"/>
      <c r="D743" s="1077"/>
      <c r="E743" s="1126"/>
      <c r="F743" s="1138"/>
      <c r="G743" s="1074"/>
      <c r="H743" s="1077"/>
      <c r="I743" s="1127"/>
      <c r="J743" s="1128"/>
      <c r="K743" s="1067"/>
      <c r="L743" s="1139"/>
      <c r="M743" s="1130"/>
      <c r="N743" s="1074"/>
      <c r="O743" s="1257"/>
      <c r="P743" s="1320"/>
      <c r="Q743" s="1553"/>
      <c r="R743" s="1038"/>
      <c r="S743" s="1074"/>
      <c r="T743" s="1144"/>
      <c r="U743" s="1184">
        <v>11</v>
      </c>
      <c r="V743" s="1185" t="s">
        <v>1735</v>
      </c>
      <c r="W743" s="1079">
        <v>1</v>
      </c>
      <c r="X743" s="1078"/>
      <c r="Y743" s="1039"/>
      <c r="Z743" s="1134">
        <f t="shared" si="61"/>
        <v>1</v>
      </c>
      <c r="AA743" s="1074"/>
      <c r="AB743" s="1063"/>
      <c r="AC743" s="1075"/>
      <c r="AD743" s="1084"/>
      <c r="AE743" s="1062"/>
      <c r="AF743" s="1085"/>
      <c r="AG743" s="1086"/>
      <c r="AH743" s="1087"/>
      <c r="AI743" s="1087">
        <f t="shared" si="62"/>
        <v>0</v>
      </c>
      <c r="AJ743" s="1088"/>
      <c r="AK743" s="1089">
        <v>5000</v>
      </c>
      <c r="AL743" s="1090">
        <f t="shared" si="57"/>
        <v>5000</v>
      </c>
      <c r="AM743" s="1086"/>
      <c r="AN743" s="1086"/>
      <c r="AO743" s="1087"/>
      <c r="AP743" s="1076"/>
      <c r="AQ743" s="1087"/>
      <c r="AR743" s="1076"/>
      <c r="AS743" s="1076"/>
      <c r="AT743" s="1086"/>
      <c r="AU743" s="1088"/>
      <c r="AV743" s="1067"/>
    </row>
    <row r="744" spans="1:48" ht="16.5" customHeight="1">
      <c r="A744" s="1107"/>
      <c r="B744" s="1095"/>
      <c r="C744" s="1186"/>
      <c r="D744" s="1094"/>
      <c r="E744" s="1149"/>
      <c r="F744" s="1150"/>
      <c r="G744" s="1094"/>
      <c r="H744" s="1151"/>
      <c r="I744" s="1152"/>
      <c r="J744" s="1153"/>
      <c r="K744" s="1101"/>
      <c r="L744" s="1154"/>
      <c r="M744" s="1155"/>
      <c r="N744" s="1094"/>
      <c r="O744" s="1265"/>
      <c r="P744" s="1549"/>
      <c r="Q744" s="1263"/>
      <c r="R744" s="1095"/>
      <c r="S744" s="1094"/>
      <c r="T744" s="1112"/>
      <c r="U744" s="1151"/>
      <c r="V744" s="1107"/>
      <c r="W744" s="1111"/>
      <c r="X744" s="1110"/>
      <c r="Y744" s="1096"/>
      <c r="Z744" s="1166"/>
      <c r="AA744" s="1094"/>
      <c r="AB744" s="1151"/>
      <c r="AC744" s="1107"/>
      <c r="AD744" s="1114"/>
      <c r="AE744" s="1093"/>
      <c r="AF744" s="1115"/>
      <c r="AG744" s="1116"/>
      <c r="AH744" s="1117"/>
      <c r="AI744" s="1117"/>
      <c r="AJ744" s="1118"/>
      <c r="AK744" s="1119"/>
      <c r="AL744" s="1120"/>
      <c r="AM744" s="1116"/>
      <c r="AN744" s="1116"/>
      <c r="AO744" s="1117"/>
      <c r="AP744" s="1108"/>
      <c r="AQ744" s="1117"/>
      <c r="AR744" s="1108"/>
      <c r="AS744" s="1108"/>
      <c r="AT744" s="1116"/>
      <c r="AU744" s="1118"/>
      <c r="AV744" s="1101"/>
    </row>
    <row r="745" spans="1:48" ht="16.5" customHeight="1">
      <c r="A745" s="1169">
        <v>56</v>
      </c>
      <c r="B745" s="1033" t="s">
        <v>25</v>
      </c>
      <c r="C745" s="1036" t="s">
        <v>1176</v>
      </c>
      <c r="D745" s="1170"/>
      <c r="E745" s="1034"/>
      <c r="F745" s="1375" t="s">
        <v>1734</v>
      </c>
      <c r="G745" s="1172" t="s">
        <v>25</v>
      </c>
      <c r="H745" s="1173" t="s">
        <v>1568</v>
      </c>
      <c r="I745" s="1174">
        <v>140</v>
      </c>
      <c r="J745" s="1175" t="s">
        <v>41</v>
      </c>
      <c r="K745" s="1041" t="s">
        <v>1733</v>
      </c>
      <c r="L745" s="1129" t="s">
        <v>46</v>
      </c>
      <c r="M745" s="1176" t="s">
        <v>46</v>
      </c>
      <c r="N745" s="1554" t="s">
        <v>1731</v>
      </c>
      <c r="O745" s="1293"/>
      <c r="P745" s="1048"/>
      <c r="Q745" s="1054"/>
      <c r="R745" s="1033"/>
      <c r="S745" s="1034" t="s">
        <v>15</v>
      </c>
      <c r="T745" s="1053"/>
      <c r="U745" s="1180">
        <v>1</v>
      </c>
      <c r="V745" s="1319" t="s">
        <v>1732</v>
      </c>
      <c r="W745" s="1052"/>
      <c r="X745" s="1051"/>
      <c r="Y745" s="1036">
        <v>20</v>
      </c>
      <c r="Z745" s="1134">
        <f>SUM(W745:Y745)</f>
        <v>20</v>
      </c>
      <c r="AA745" s="1170"/>
      <c r="AB745" s="1173"/>
      <c r="AC745" s="1047"/>
      <c r="AD745" s="1055"/>
      <c r="AE745" s="1032"/>
      <c r="AF745" s="1056">
        <f>Resum!F1</f>
        <v>356000</v>
      </c>
      <c r="AG745" s="1086">
        <f>AF745*I745</f>
        <v>49840000</v>
      </c>
      <c r="AH745" s="1058"/>
      <c r="AI745" s="1058"/>
      <c r="AJ745" s="1135">
        <f>SUM(AI745:AI761)</f>
        <v>460218750</v>
      </c>
      <c r="AK745" s="1089">
        <v>41250</v>
      </c>
      <c r="AL745" s="1090">
        <f>AK745*Y745</f>
        <v>825000</v>
      </c>
      <c r="AM745" s="1057">
        <f>SUM(AL745:AL749)</f>
        <v>2420600</v>
      </c>
      <c r="AN745" s="1086">
        <f>AM745+AJ745+AG745</f>
        <v>512479350</v>
      </c>
      <c r="AO745" s="1058">
        <f>200000*30*3</f>
        <v>18000000</v>
      </c>
      <c r="AP745" s="1136">
        <f>(AI746+AG745)*10%</f>
        <v>22232000</v>
      </c>
      <c r="AQ745" s="1087">
        <f>(AG745+AI746)*1%</f>
        <v>2223200</v>
      </c>
      <c r="AR745" s="1136">
        <f>(AG745+AI746)*5%</f>
        <v>11116000</v>
      </c>
      <c r="AS745" s="1087">
        <f>0.5%*(AG745+AI746)*(3)</f>
        <v>3334800</v>
      </c>
      <c r="AT745" s="1086">
        <f>+AS745+AR745+AQ745+AP745+AO745</f>
        <v>56906000</v>
      </c>
      <c r="AU745" s="1137">
        <f>ROUND(AT745+AN745,-3)</f>
        <v>569385000</v>
      </c>
      <c r="AV745" s="1041"/>
    </row>
    <row r="746" spans="1:48" ht="16.5" customHeight="1">
      <c r="A746" s="1073"/>
      <c r="B746" s="1038" t="s">
        <v>16</v>
      </c>
      <c r="C746" s="1071" t="s">
        <v>1578</v>
      </c>
      <c r="D746" s="1074"/>
      <c r="E746" s="1063"/>
      <c r="F746" s="1138"/>
      <c r="G746" s="1074" t="s">
        <v>16</v>
      </c>
      <c r="H746" s="1074" t="s">
        <v>22</v>
      </c>
      <c r="I746" s="1127"/>
      <c r="J746" s="1128"/>
      <c r="K746" s="1067"/>
      <c r="L746" s="1139"/>
      <c r="M746" s="1130"/>
      <c r="N746" s="1122" t="s">
        <v>25</v>
      </c>
      <c r="O746" s="1293" t="s">
        <v>26</v>
      </c>
      <c r="P746" s="1075"/>
      <c r="Q746" s="1134">
        <v>98</v>
      </c>
      <c r="R746" s="1038"/>
      <c r="S746" s="1074"/>
      <c r="T746" s="1080"/>
      <c r="U746" s="1091">
        <v>2</v>
      </c>
      <c r="V746" s="1185" t="s">
        <v>14</v>
      </c>
      <c r="W746" s="1079">
        <v>4</v>
      </c>
      <c r="X746" s="1078"/>
      <c r="Y746" s="1039"/>
      <c r="Z746" s="1134">
        <f>SUM(W746:Y746)</f>
        <v>4</v>
      </c>
      <c r="AA746" s="1074"/>
      <c r="AB746" s="1126"/>
      <c r="AC746" s="1073"/>
      <c r="AD746" s="1084"/>
      <c r="AE746" s="1062"/>
      <c r="AF746" s="1085"/>
      <c r="AG746" s="1086"/>
      <c r="AH746" s="1087">
        <v>2200000</v>
      </c>
      <c r="AI746" s="1087">
        <f>AH746*Q746*0.8</f>
        <v>172480000</v>
      </c>
      <c r="AJ746" s="1135"/>
      <c r="AK746" s="1089">
        <v>350000</v>
      </c>
      <c r="AL746" s="1087">
        <f t="shared" si="57"/>
        <v>1400000</v>
      </c>
      <c r="AM746" s="1086"/>
      <c r="AN746" s="1086"/>
      <c r="AO746" s="1087"/>
      <c r="AP746" s="1076"/>
      <c r="AQ746" s="1087"/>
      <c r="AR746" s="1076"/>
      <c r="AS746" s="1076"/>
      <c r="AT746" s="1086"/>
      <c r="AU746" s="1088"/>
      <c r="AV746" s="1067"/>
    </row>
    <row r="747" spans="1:48" ht="16.5" customHeight="1">
      <c r="A747" s="1073"/>
      <c r="B747" s="1038" t="s">
        <v>18</v>
      </c>
      <c r="C747" s="1039" t="s">
        <v>38</v>
      </c>
      <c r="D747" s="1074"/>
      <c r="E747" s="1074"/>
      <c r="F747" s="1138"/>
      <c r="G747" s="1074" t="s">
        <v>18</v>
      </c>
      <c r="H747" s="1074" t="s">
        <v>19</v>
      </c>
      <c r="I747" s="1127"/>
      <c r="J747" s="1128"/>
      <c r="K747" s="1067"/>
      <c r="L747" s="1139"/>
      <c r="M747" s="1130"/>
      <c r="N747" s="1074" t="s">
        <v>16</v>
      </c>
      <c r="O747" s="1123" t="s">
        <v>21</v>
      </c>
      <c r="P747" s="1075"/>
      <c r="Q747" s="1081">
        <v>8.75</v>
      </c>
      <c r="R747" s="1038"/>
      <c r="S747" s="1074"/>
      <c r="T747" s="1080"/>
      <c r="U747" s="1091">
        <v>3</v>
      </c>
      <c r="V747" s="1185" t="s">
        <v>144</v>
      </c>
      <c r="W747" s="1079">
        <v>6</v>
      </c>
      <c r="X747" s="1078"/>
      <c r="Y747" s="1039"/>
      <c r="Z747" s="1134">
        <f>SUM(W747:Y747)</f>
        <v>6</v>
      </c>
      <c r="AA747" s="1074"/>
      <c r="AB747" s="1126"/>
      <c r="AC747" s="1073"/>
      <c r="AD747" s="1084"/>
      <c r="AE747" s="1062"/>
      <c r="AF747" s="1085"/>
      <c r="AG747" s="1086"/>
      <c r="AH747" s="1087">
        <v>350000</v>
      </c>
      <c r="AI747" s="1087">
        <f>AH747*Q747*0.7</f>
        <v>2143750</v>
      </c>
      <c r="AJ747" s="1088"/>
      <c r="AK747" s="1089">
        <v>20100</v>
      </c>
      <c r="AL747" s="1090">
        <f t="shared" si="57"/>
        <v>120600</v>
      </c>
      <c r="AM747" s="1086"/>
      <c r="AN747" s="1086"/>
      <c r="AO747" s="1087"/>
      <c r="AP747" s="1076"/>
      <c r="AQ747" s="1087"/>
      <c r="AR747" s="1076"/>
      <c r="AS747" s="1076"/>
      <c r="AT747" s="1086"/>
      <c r="AU747" s="1088"/>
      <c r="AV747" s="1067"/>
    </row>
    <row r="748" spans="1:48" ht="49.5" customHeight="1">
      <c r="A748" s="1073"/>
      <c r="B748" s="1082" t="s">
        <v>12</v>
      </c>
      <c r="C748" s="1083" t="s">
        <v>98</v>
      </c>
      <c r="D748" s="1074"/>
      <c r="E748" s="1126"/>
      <c r="F748" s="1138"/>
      <c r="G748" s="1074"/>
      <c r="H748" s="1077"/>
      <c r="I748" s="1127"/>
      <c r="J748" s="1128"/>
      <c r="K748" s="1067"/>
      <c r="L748" s="1139"/>
      <c r="M748" s="1130"/>
      <c r="N748" s="1074" t="s">
        <v>18</v>
      </c>
      <c r="O748" s="1131" t="s">
        <v>17</v>
      </c>
      <c r="P748" s="1075">
        <v>1</v>
      </c>
      <c r="Q748" s="1081"/>
      <c r="R748" s="1038"/>
      <c r="S748" s="1074"/>
      <c r="T748" s="1144"/>
      <c r="U748" s="1184">
        <v>4</v>
      </c>
      <c r="V748" s="1185" t="s">
        <v>48</v>
      </c>
      <c r="W748" s="1079">
        <v>5</v>
      </c>
      <c r="X748" s="1078"/>
      <c r="Y748" s="1039"/>
      <c r="Z748" s="1134">
        <f>SUM(W748:Y748)</f>
        <v>5</v>
      </c>
      <c r="AA748" s="1074"/>
      <c r="AB748" s="1126"/>
      <c r="AC748" s="1073"/>
      <c r="AD748" s="1084"/>
      <c r="AE748" s="1062"/>
      <c r="AF748" s="1085"/>
      <c r="AG748" s="1086"/>
      <c r="AH748" s="1087">
        <v>2500000</v>
      </c>
      <c r="AI748" s="1087">
        <f t="shared" ref="AI748:AI754" si="63">AH748*P748*0.5</f>
        <v>1250000</v>
      </c>
      <c r="AJ748" s="1088"/>
      <c r="AK748" s="1089">
        <v>15000</v>
      </c>
      <c r="AL748" s="1090">
        <f t="shared" ref="AL748:AL789" si="64">AK748*W748</f>
        <v>75000</v>
      </c>
      <c r="AM748" s="1086"/>
      <c r="AN748" s="1086"/>
      <c r="AO748" s="1087"/>
      <c r="AP748" s="1076"/>
      <c r="AQ748" s="1087"/>
      <c r="AR748" s="1076"/>
      <c r="AS748" s="1076"/>
      <c r="AT748" s="1086"/>
      <c r="AU748" s="1088"/>
      <c r="AV748" s="1067"/>
    </row>
    <row r="749" spans="1:48" ht="16.5" customHeight="1">
      <c r="A749" s="1073"/>
      <c r="B749" s="1082" t="s">
        <v>8</v>
      </c>
      <c r="C749" s="1083" t="s">
        <v>1576</v>
      </c>
      <c r="D749" s="1074"/>
      <c r="E749" s="1126"/>
      <c r="F749" s="1138"/>
      <c r="G749" s="1074"/>
      <c r="H749" s="1077"/>
      <c r="I749" s="1127"/>
      <c r="J749" s="1128"/>
      <c r="K749" s="1067"/>
      <c r="L749" s="1139"/>
      <c r="M749" s="1130"/>
      <c r="N749" s="1074" t="s">
        <v>12</v>
      </c>
      <c r="O749" s="1131" t="s">
        <v>11</v>
      </c>
      <c r="P749" s="1075">
        <v>1</v>
      </c>
      <c r="Q749" s="1081"/>
      <c r="R749" s="1038"/>
      <c r="S749" s="1074"/>
      <c r="T749" s="1144"/>
      <c r="U749" s="1184">
        <v>5</v>
      </c>
      <c r="V749" s="1185" t="s">
        <v>400</v>
      </c>
      <c r="W749" s="1079">
        <v>1</v>
      </c>
      <c r="X749" s="1078"/>
      <c r="Y749" s="1039"/>
      <c r="Z749" s="1134">
        <f>SUM(W749:Y749)</f>
        <v>1</v>
      </c>
      <c r="AA749" s="1074"/>
      <c r="AB749" s="1126"/>
      <c r="AC749" s="1073"/>
      <c r="AD749" s="1084"/>
      <c r="AE749" s="1062"/>
      <c r="AF749" s="1085"/>
      <c r="AG749" s="1086"/>
      <c r="AH749" s="1087">
        <v>2500000</v>
      </c>
      <c r="AI749" s="1087">
        <f>AH749*P749*0.75</f>
        <v>1875000</v>
      </c>
      <c r="AJ749" s="1088"/>
      <c r="AK749" s="1089"/>
      <c r="AL749" s="1090">
        <f t="shared" si="64"/>
        <v>0</v>
      </c>
      <c r="AM749" s="1086"/>
      <c r="AN749" s="1086"/>
      <c r="AO749" s="1087"/>
      <c r="AP749" s="1076"/>
      <c r="AQ749" s="1087"/>
      <c r="AR749" s="1076"/>
      <c r="AS749" s="1076"/>
      <c r="AT749" s="1086"/>
      <c r="AU749" s="1088"/>
      <c r="AV749" s="1067"/>
    </row>
    <row r="750" spans="1:48" ht="16.5" customHeight="1">
      <c r="A750" s="1073"/>
      <c r="B750" s="1082"/>
      <c r="C750" s="1083"/>
      <c r="D750" s="1074"/>
      <c r="E750" s="1126"/>
      <c r="F750" s="1138"/>
      <c r="G750" s="1074"/>
      <c r="H750" s="1077"/>
      <c r="I750" s="1127"/>
      <c r="J750" s="1128"/>
      <c r="K750" s="1067"/>
      <c r="L750" s="1139"/>
      <c r="M750" s="1130"/>
      <c r="N750" s="1074" t="s">
        <v>8</v>
      </c>
      <c r="O750" s="1131" t="s">
        <v>7</v>
      </c>
      <c r="P750" s="1075"/>
      <c r="Q750" s="1081">
        <v>27</v>
      </c>
      <c r="R750" s="1038"/>
      <c r="S750" s="1074"/>
      <c r="T750" s="1080"/>
      <c r="U750" s="1184"/>
      <c r="V750" s="1185"/>
      <c r="W750" s="1079"/>
      <c r="X750" s="1078"/>
      <c r="Y750" s="1039"/>
      <c r="Z750" s="1183"/>
      <c r="AA750" s="1074"/>
      <c r="AB750" s="1126"/>
      <c r="AC750" s="1073"/>
      <c r="AD750" s="1084"/>
      <c r="AE750" s="1062"/>
      <c r="AF750" s="1085"/>
      <c r="AG750" s="1086"/>
      <c r="AH750" s="1087">
        <v>300000</v>
      </c>
      <c r="AI750" s="1087">
        <f>AH750*Q750*0.5</f>
        <v>4050000</v>
      </c>
      <c r="AJ750" s="1088"/>
      <c r="AK750" s="1089"/>
      <c r="AL750" s="1090"/>
      <c r="AM750" s="1086"/>
      <c r="AN750" s="1086"/>
      <c r="AO750" s="1087"/>
      <c r="AP750" s="1076"/>
      <c r="AQ750" s="1087"/>
      <c r="AR750" s="1076"/>
      <c r="AS750" s="1076"/>
      <c r="AT750" s="1086"/>
      <c r="AU750" s="1088"/>
      <c r="AV750" s="1067"/>
    </row>
    <row r="751" spans="1:48" ht="16.5" customHeight="1">
      <c r="A751" s="1073"/>
      <c r="B751" s="1082"/>
      <c r="C751" s="1083"/>
      <c r="D751" s="1074"/>
      <c r="E751" s="1126"/>
      <c r="F751" s="1138"/>
      <c r="G751" s="1074"/>
      <c r="H751" s="1077"/>
      <c r="I751" s="1127"/>
      <c r="J751" s="1128"/>
      <c r="K751" s="1067"/>
      <c r="L751" s="1139"/>
      <c r="M751" s="1130"/>
      <c r="N751" s="1074" t="s">
        <v>54</v>
      </c>
      <c r="O751" s="1131" t="s">
        <v>199</v>
      </c>
      <c r="P751" s="1075"/>
      <c r="Q751" s="1081">
        <v>19</v>
      </c>
      <c r="R751" s="1038"/>
      <c r="S751" s="1074"/>
      <c r="T751" s="1080"/>
      <c r="U751" s="1184"/>
      <c r="V751" s="1185"/>
      <c r="W751" s="1079"/>
      <c r="X751" s="1078"/>
      <c r="Y751" s="1039"/>
      <c r="Z751" s="1183"/>
      <c r="AA751" s="1074"/>
      <c r="AB751" s="1126"/>
      <c r="AC751" s="1073"/>
      <c r="AD751" s="1084"/>
      <c r="AE751" s="1062"/>
      <c r="AF751" s="1085"/>
      <c r="AG751" s="1086"/>
      <c r="AH751" s="1087">
        <v>125000</v>
      </c>
      <c r="AI751" s="1087">
        <f>AH751*Q751*0.5</f>
        <v>1187500</v>
      </c>
      <c r="AJ751" s="1088"/>
      <c r="AK751" s="1089"/>
      <c r="AL751" s="1090"/>
      <c r="AM751" s="1086"/>
      <c r="AN751" s="1086"/>
      <c r="AO751" s="1087"/>
      <c r="AP751" s="1076"/>
      <c r="AQ751" s="1087"/>
      <c r="AR751" s="1076"/>
      <c r="AS751" s="1076"/>
      <c r="AT751" s="1086"/>
      <c r="AU751" s="1088"/>
      <c r="AV751" s="1067"/>
    </row>
    <row r="752" spans="1:48" ht="16.5" customHeight="1">
      <c r="A752" s="1073"/>
      <c r="B752" s="1082"/>
      <c r="C752" s="1083"/>
      <c r="D752" s="1074"/>
      <c r="E752" s="1126"/>
      <c r="F752" s="1138"/>
      <c r="G752" s="1074"/>
      <c r="H752" s="1077"/>
      <c r="I752" s="1127"/>
      <c r="J752" s="1128"/>
      <c r="K752" s="1067"/>
      <c r="L752" s="1139"/>
      <c r="M752" s="1130"/>
      <c r="N752" s="1074"/>
      <c r="O752" s="1131"/>
      <c r="P752" s="1075"/>
      <c r="Q752" s="1081"/>
      <c r="R752" s="1038"/>
      <c r="S752" s="1074"/>
      <c r="T752" s="1080"/>
      <c r="U752" s="1184"/>
      <c r="V752" s="1185"/>
      <c r="W752" s="1079"/>
      <c r="X752" s="1078"/>
      <c r="Y752" s="1039"/>
      <c r="Z752" s="1183"/>
      <c r="AA752" s="1074"/>
      <c r="AB752" s="1126"/>
      <c r="AC752" s="1073"/>
      <c r="AD752" s="1084"/>
      <c r="AE752" s="1062"/>
      <c r="AF752" s="1085"/>
      <c r="AG752" s="1086"/>
      <c r="AH752" s="1087"/>
      <c r="AI752" s="1087">
        <f t="shared" si="63"/>
        <v>0</v>
      </c>
      <c r="AJ752" s="1088"/>
      <c r="AK752" s="1089"/>
      <c r="AL752" s="1090"/>
      <c r="AM752" s="1086"/>
      <c r="AN752" s="1086"/>
      <c r="AO752" s="1087"/>
      <c r="AP752" s="1076"/>
      <c r="AQ752" s="1087"/>
      <c r="AR752" s="1076"/>
      <c r="AS752" s="1076"/>
      <c r="AT752" s="1086"/>
      <c r="AU752" s="1088"/>
      <c r="AV752" s="1067"/>
    </row>
    <row r="753" spans="1:48" ht="16.5" customHeight="1">
      <c r="A753" s="1073"/>
      <c r="B753" s="1082"/>
      <c r="C753" s="1083"/>
      <c r="D753" s="1074"/>
      <c r="E753" s="1126"/>
      <c r="F753" s="1138"/>
      <c r="G753" s="1074"/>
      <c r="H753" s="1077"/>
      <c r="I753" s="1127"/>
      <c r="J753" s="1128"/>
      <c r="K753" s="1067"/>
      <c r="L753" s="1139"/>
      <c r="M753" s="1130"/>
      <c r="N753" s="1074"/>
      <c r="O753" s="1131"/>
      <c r="P753" s="1075"/>
      <c r="Q753" s="1081"/>
      <c r="R753" s="1038"/>
      <c r="S753" s="1074"/>
      <c r="T753" s="1080"/>
      <c r="U753" s="1184"/>
      <c r="V753" s="1185"/>
      <c r="W753" s="1079"/>
      <c r="X753" s="1078"/>
      <c r="Y753" s="1039"/>
      <c r="Z753" s="1183"/>
      <c r="AA753" s="1074"/>
      <c r="AB753" s="1126"/>
      <c r="AC753" s="1073"/>
      <c r="AD753" s="1084"/>
      <c r="AE753" s="1062"/>
      <c r="AF753" s="1085"/>
      <c r="AG753" s="1086"/>
      <c r="AH753" s="1087"/>
      <c r="AI753" s="1087">
        <f t="shared" si="63"/>
        <v>0</v>
      </c>
      <c r="AJ753" s="1088"/>
      <c r="AK753" s="1089"/>
      <c r="AL753" s="1090"/>
      <c r="AM753" s="1086"/>
      <c r="AN753" s="1086"/>
      <c r="AO753" s="1087"/>
      <c r="AP753" s="1076"/>
      <c r="AQ753" s="1087"/>
      <c r="AR753" s="1076"/>
      <c r="AS753" s="1076"/>
      <c r="AT753" s="1086"/>
      <c r="AU753" s="1088"/>
      <c r="AV753" s="1067"/>
    </row>
    <row r="754" spans="1:48" ht="16.5" customHeight="1">
      <c r="A754" s="1073"/>
      <c r="B754" s="1082"/>
      <c r="C754" s="1083"/>
      <c r="D754" s="1074"/>
      <c r="E754" s="1126"/>
      <c r="F754" s="1138"/>
      <c r="G754" s="1074"/>
      <c r="H754" s="1077"/>
      <c r="I754" s="1127"/>
      <c r="J754" s="1128"/>
      <c r="K754" s="1067"/>
      <c r="L754" s="1139"/>
      <c r="M754" s="1130"/>
      <c r="N754" s="1542" t="s">
        <v>1731</v>
      </c>
      <c r="O754" s="1131"/>
      <c r="P754" s="1075"/>
      <c r="Q754" s="1081"/>
      <c r="R754" s="1038"/>
      <c r="S754" s="1074"/>
      <c r="T754" s="1080"/>
      <c r="U754" s="1184"/>
      <c r="V754" s="1185"/>
      <c r="W754" s="1079"/>
      <c r="X754" s="1078"/>
      <c r="Y754" s="1039"/>
      <c r="Z754" s="1183"/>
      <c r="AA754" s="1074"/>
      <c r="AB754" s="1126"/>
      <c r="AC754" s="1073"/>
      <c r="AD754" s="1084"/>
      <c r="AE754" s="1062"/>
      <c r="AF754" s="1085"/>
      <c r="AG754" s="1086"/>
      <c r="AH754" s="1087"/>
      <c r="AI754" s="1087">
        <f t="shared" si="63"/>
        <v>0</v>
      </c>
      <c r="AJ754" s="1088"/>
      <c r="AK754" s="1089"/>
      <c r="AL754" s="1090"/>
      <c r="AM754" s="1086"/>
      <c r="AN754" s="1086"/>
      <c r="AO754" s="1087"/>
      <c r="AP754" s="1076"/>
      <c r="AQ754" s="1087"/>
      <c r="AR754" s="1076"/>
      <c r="AS754" s="1076"/>
      <c r="AT754" s="1086"/>
      <c r="AU754" s="1088"/>
      <c r="AV754" s="1067"/>
    </row>
    <row r="755" spans="1:48" ht="16.5" customHeight="1">
      <c r="A755" s="1073"/>
      <c r="B755" s="1082"/>
      <c r="C755" s="1083"/>
      <c r="D755" s="1074"/>
      <c r="E755" s="1126"/>
      <c r="F755" s="1138"/>
      <c r="G755" s="1074"/>
      <c r="H755" s="1077"/>
      <c r="I755" s="1127"/>
      <c r="J755" s="1128"/>
      <c r="K755" s="1067"/>
      <c r="L755" s="1139"/>
      <c r="M755" s="1130"/>
      <c r="N755" s="1122" t="s">
        <v>25</v>
      </c>
      <c r="O755" s="1293" t="s">
        <v>26</v>
      </c>
      <c r="P755" s="1075"/>
      <c r="Q755" s="1081">
        <v>175</v>
      </c>
      <c r="R755" s="1038"/>
      <c r="S755" s="1074"/>
      <c r="T755" s="1080"/>
      <c r="U755" s="1184"/>
      <c r="V755" s="1185"/>
      <c r="W755" s="1079"/>
      <c r="X755" s="1078"/>
      <c r="Y755" s="1039"/>
      <c r="Z755" s="1183"/>
      <c r="AA755" s="1074"/>
      <c r="AB755" s="1126"/>
      <c r="AC755" s="1073"/>
      <c r="AD755" s="1084"/>
      <c r="AE755" s="1062"/>
      <c r="AF755" s="1085"/>
      <c r="AG755" s="1086"/>
      <c r="AH755" s="1087">
        <v>2200000</v>
      </c>
      <c r="AI755" s="1087">
        <f>AH755*Q755*0.7</f>
        <v>269500000</v>
      </c>
      <c r="AJ755" s="1088"/>
      <c r="AK755" s="1089"/>
      <c r="AL755" s="1090"/>
      <c r="AM755" s="1086"/>
      <c r="AN755" s="1086"/>
      <c r="AO755" s="1087"/>
      <c r="AP755" s="1076"/>
      <c r="AQ755" s="1087"/>
      <c r="AR755" s="1076"/>
      <c r="AS755" s="1076"/>
      <c r="AT755" s="1086"/>
      <c r="AU755" s="1088"/>
      <c r="AV755" s="1067"/>
    </row>
    <row r="756" spans="1:48" ht="16.5" customHeight="1">
      <c r="A756" s="1073"/>
      <c r="B756" s="1082"/>
      <c r="C756" s="1083"/>
      <c r="D756" s="1074"/>
      <c r="E756" s="1126"/>
      <c r="F756" s="1138"/>
      <c r="G756" s="1074"/>
      <c r="H756" s="1077"/>
      <c r="I756" s="1127"/>
      <c r="J756" s="1128"/>
      <c r="K756" s="1067"/>
      <c r="L756" s="1139"/>
      <c r="M756" s="1130"/>
      <c r="N756" s="1074" t="s">
        <v>16</v>
      </c>
      <c r="O756" s="1123" t="s">
        <v>21</v>
      </c>
      <c r="P756" s="1075"/>
      <c r="Q756" s="1081">
        <v>6</v>
      </c>
      <c r="R756" s="1038"/>
      <c r="S756" s="1074"/>
      <c r="T756" s="1080"/>
      <c r="U756" s="1184"/>
      <c r="V756" s="1185"/>
      <c r="W756" s="1079"/>
      <c r="X756" s="1078"/>
      <c r="Y756" s="1039"/>
      <c r="Z756" s="1183"/>
      <c r="AA756" s="1074"/>
      <c r="AB756" s="1126"/>
      <c r="AC756" s="1073"/>
      <c r="AD756" s="1084"/>
      <c r="AE756" s="1062"/>
      <c r="AF756" s="1085"/>
      <c r="AG756" s="1086"/>
      <c r="AH756" s="1087">
        <v>100000</v>
      </c>
      <c r="AI756" s="1087">
        <f>AH756*Q756*0.7</f>
        <v>420000</v>
      </c>
      <c r="AJ756" s="1088"/>
      <c r="AK756" s="1089"/>
      <c r="AL756" s="1090"/>
      <c r="AM756" s="1086"/>
      <c r="AN756" s="1086"/>
      <c r="AO756" s="1087"/>
      <c r="AP756" s="1076"/>
      <c r="AQ756" s="1087"/>
      <c r="AR756" s="1076"/>
      <c r="AS756" s="1076"/>
      <c r="AT756" s="1086"/>
      <c r="AU756" s="1088"/>
      <c r="AV756" s="1067"/>
    </row>
    <row r="757" spans="1:48" ht="16.5" customHeight="1">
      <c r="A757" s="1073"/>
      <c r="B757" s="1082"/>
      <c r="C757" s="1083"/>
      <c r="D757" s="1074"/>
      <c r="E757" s="1126"/>
      <c r="F757" s="1138"/>
      <c r="G757" s="1074"/>
      <c r="H757" s="1077"/>
      <c r="I757" s="1127"/>
      <c r="J757" s="1128"/>
      <c r="K757" s="1067"/>
      <c r="L757" s="1139"/>
      <c r="M757" s="1130"/>
      <c r="N757" s="1074" t="s">
        <v>18</v>
      </c>
      <c r="O757" s="1131" t="s">
        <v>17</v>
      </c>
      <c r="P757" s="1075">
        <v>1</v>
      </c>
      <c r="Q757" s="1081"/>
      <c r="R757" s="1038"/>
      <c r="S757" s="1074"/>
      <c r="T757" s="1080"/>
      <c r="U757" s="1184"/>
      <c r="V757" s="1185"/>
      <c r="W757" s="1079"/>
      <c r="X757" s="1078"/>
      <c r="Y757" s="1039"/>
      <c r="Z757" s="1183"/>
      <c r="AA757" s="1074"/>
      <c r="AB757" s="1126"/>
      <c r="AC757" s="1073"/>
      <c r="AD757" s="1084"/>
      <c r="AE757" s="1062"/>
      <c r="AF757" s="1085"/>
      <c r="AG757" s="1086"/>
      <c r="AH757" s="1087">
        <v>2500000</v>
      </c>
      <c r="AI757" s="1087">
        <f>AH757*P757*0.5</f>
        <v>1250000</v>
      </c>
      <c r="AJ757" s="1088"/>
      <c r="AK757" s="1089"/>
      <c r="AL757" s="1090"/>
      <c r="AM757" s="1086"/>
      <c r="AN757" s="1086"/>
      <c r="AO757" s="1087"/>
      <c r="AP757" s="1076"/>
      <c r="AQ757" s="1087"/>
      <c r="AR757" s="1076"/>
      <c r="AS757" s="1076"/>
      <c r="AT757" s="1086"/>
      <c r="AU757" s="1088"/>
      <c r="AV757" s="1067"/>
    </row>
    <row r="758" spans="1:48" ht="16.5" customHeight="1">
      <c r="A758" s="1073"/>
      <c r="B758" s="1082"/>
      <c r="C758" s="1083"/>
      <c r="D758" s="1074"/>
      <c r="E758" s="1126"/>
      <c r="F758" s="1138"/>
      <c r="G758" s="1074"/>
      <c r="H758" s="1077"/>
      <c r="I758" s="1127"/>
      <c r="J758" s="1128"/>
      <c r="K758" s="1067"/>
      <c r="L758" s="1139"/>
      <c r="M758" s="1130"/>
      <c r="N758" s="1074" t="s">
        <v>12</v>
      </c>
      <c r="O758" s="1131" t="s">
        <v>11</v>
      </c>
      <c r="P758" s="1075">
        <v>1</v>
      </c>
      <c r="Q758" s="1081"/>
      <c r="R758" s="1038"/>
      <c r="S758" s="1074"/>
      <c r="T758" s="1080"/>
      <c r="U758" s="1184"/>
      <c r="V758" s="1185"/>
      <c r="W758" s="1079"/>
      <c r="X758" s="1078"/>
      <c r="Y758" s="1039"/>
      <c r="Z758" s="1183"/>
      <c r="AA758" s="1074"/>
      <c r="AB758" s="1126"/>
      <c r="AC758" s="1073"/>
      <c r="AD758" s="1084"/>
      <c r="AE758" s="1062"/>
      <c r="AF758" s="1085"/>
      <c r="AG758" s="1086"/>
      <c r="AH758" s="1087">
        <v>2500000</v>
      </c>
      <c r="AI758" s="1087">
        <f>AH758*P758*0.75</f>
        <v>1875000</v>
      </c>
      <c r="AJ758" s="1088"/>
      <c r="AK758" s="1089"/>
      <c r="AL758" s="1090"/>
      <c r="AM758" s="1086"/>
      <c r="AN758" s="1086"/>
      <c r="AO758" s="1087"/>
      <c r="AP758" s="1076"/>
      <c r="AQ758" s="1087"/>
      <c r="AR758" s="1076"/>
      <c r="AS758" s="1076"/>
      <c r="AT758" s="1086"/>
      <c r="AU758" s="1088"/>
      <c r="AV758" s="1067"/>
    </row>
    <row r="759" spans="1:48" ht="16.5" customHeight="1">
      <c r="A759" s="1073"/>
      <c r="B759" s="1082"/>
      <c r="C759" s="1083"/>
      <c r="D759" s="1074"/>
      <c r="E759" s="1126"/>
      <c r="F759" s="1138"/>
      <c r="G759" s="1074"/>
      <c r="H759" s="1077"/>
      <c r="I759" s="1127"/>
      <c r="J759" s="1128"/>
      <c r="K759" s="1067"/>
      <c r="L759" s="1139"/>
      <c r="M759" s="1130"/>
      <c r="N759" s="1074" t="s">
        <v>8</v>
      </c>
      <c r="O759" s="1131" t="s">
        <v>7</v>
      </c>
      <c r="P759" s="1075"/>
      <c r="Q759" s="1081">
        <v>20</v>
      </c>
      <c r="R759" s="1038"/>
      <c r="S759" s="1074"/>
      <c r="T759" s="1080"/>
      <c r="U759" s="1184"/>
      <c r="V759" s="1185"/>
      <c r="W759" s="1079"/>
      <c r="X759" s="1078"/>
      <c r="Y759" s="1039"/>
      <c r="Z759" s="1183"/>
      <c r="AA759" s="1074"/>
      <c r="AB759" s="1126"/>
      <c r="AC759" s="1073"/>
      <c r="AD759" s="1084"/>
      <c r="AE759" s="1062"/>
      <c r="AF759" s="1085"/>
      <c r="AG759" s="1086"/>
      <c r="AH759" s="1087">
        <v>300000</v>
      </c>
      <c r="AI759" s="1087">
        <f>AH759*Q759*0.5</f>
        <v>3000000</v>
      </c>
      <c r="AJ759" s="1088"/>
      <c r="AK759" s="1089"/>
      <c r="AL759" s="1090"/>
      <c r="AM759" s="1086"/>
      <c r="AN759" s="1086"/>
      <c r="AO759" s="1087"/>
      <c r="AP759" s="1076"/>
      <c r="AQ759" s="1087"/>
      <c r="AR759" s="1076"/>
      <c r="AS759" s="1076"/>
      <c r="AT759" s="1086"/>
      <c r="AU759" s="1088"/>
      <c r="AV759" s="1067"/>
    </row>
    <row r="760" spans="1:48" ht="16.5" customHeight="1">
      <c r="A760" s="1073"/>
      <c r="B760" s="1082"/>
      <c r="C760" s="1083"/>
      <c r="D760" s="1074"/>
      <c r="E760" s="1126"/>
      <c r="F760" s="1138"/>
      <c r="G760" s="1074"/>
      <c r="H760" s="1077"/>
      <c r="I760" s="1127"/>
      <c r="J760" s="1128"/>
      <c r="K760" s="1067"/>
      <c r="L760" s="1139"/>
      <c r="M760" s="1130"/>
      <c r="N760" s="1074" t="s">
        <v>54</v>
      </c>
      <c r="O760" s="1131" t="s">
        <v>199</v>
      </c>
      <c r="P760" s="1075"/>
      <c r="Q760" s="1081">
        <v>19</v>
      </c>
      <c r="R760" s="1038"/>
      <c r="S760" s="1074"/>
      <c r="T760" s="1080"/>
      <c r="U760" s="1184"/>
      <c r="V760" s="1185"/>
      <c r="W760" s="1079"/>
      <c r="X760" s="1078"/>
      <c r="Y760" s="1039"/>
      <c r="Z760" s="1183"/>
      <c r="AA760" s="1074"/>
      <c r="AB760" s="1126"/>
      <c r="AC760" s="1073"/>
      <c r="AD760" s="1084"/>
      <c r="AE760" s="1062"/>
      <c r="AF760" s="1085"/>
      <c r="AG760" s="1086"/>
      <c r="AH760" s="1087">
        <v>125000</v>
      </c>
      <c r="AI760" s="1087">
        <f>AH760*Q760*0.5</f>
        <v>1187500</v>
      </c>
      <c r="AJ760" s="1088"/>
      <c r="AK760" s="1089"/>
      <c r="AL760" s="1090"/>
      <c r="AM760" s="1086"/>
      <c r="AN760" s="1086"/>
      <c r="AO760" s="1087"/>
      <c r="AP760" s="1076"/>
      <c r="AQ760" s="1087"/>
      <c r="AR760" s="1076"/>
      <c r="AS760" s="1076"/>
      <c r="AT760" s="1086"/>
      <c r="AU760" s="1088"/>
      <c r="AV760" s="1067"/>
    </row>
    <row r="761" spans="1:48" ht="16.5" customHeight="1">
      <c r="A761" s="1073"/>
      <c r="B761" s="1082"/>
      <c r="C761" s="1083"/>
      <c r="D761" s="1074"/>
      <c r="E761" s="1126"/>
      <c r="F761" s="1138"/>
      <c r="G761" s="1074"/>
      <c r="H761" s="1077"/>
      <c r="I761" s="1127"/>
      <c r="J761" s="1128"/>
      <c r="K761" s="1067"/>
      <c r="L761" s="1139"/>
      <c r="M761" s="1130"/>
      <c r="N761" s="1074"/>
      <c r="O761" s="1126"/>
      <c r="P761" s="1073"/>
      <c r="Q761" s="1077"/>
      <c r="R761" s="1038"/>
      <c r="S761" s="1074"/>
      <c r="T761" s="1080"/>
      <c r="U761" s="1184"/>
      <c r="V761" s="1185"/>
      <c r="W761" s="1079"/>
      <c r="X761" s="1078"/>
      <c r="Y761" s="1039"/>
      <c r="Z761" s="1183"/>
      <c r="AA761" s="1074"/>
      <c r="AB761" s="1126"/>
      <c r="AC761" s="1073"/>
      <c r="AD761" s="1084"/>
      <c r="AE761" s="1062"/>
      <c r="AF761" s="1085"/>
      <c r="AG761" s="1086"/>
      <c r="AH761" s="1087"/>
      <c r="AI761" s="1087"/>
      <c r="AJ761" s="1088"/>
      <c r="AK761" s="1089"/>
      <c r="AL761" s="1090"/>
      <c r="AM761" s="1086"/>
      <c r="AN761" s="1086"/>
      <c r="AO761" s="1087"/>
      <c r="AP761" s="1076"/>
      <c r="AQ761" s="1087"/>
      <c r="AR761" s="1076"/>
      <c r="AS761" s="1076"/>
      <c r="AT761" s="1086"/>
      <c r="AU761" s="1088"/>
      <c r="AV761" s="1067"/>
    </row>
    <row r="762" spans="1:48" ht="16.5" customHeight="1">
      <c r="A762" s="1107"/>
      <c r="B762" s="1095"/>
      <c r="C762" s="1186"/>
      <c r="D762" s="1094"/>
      <c r="E762" s="1149"/>
      <c r="F762" s="1150"/>
      <c r="G762" s="1094"/>
      <c r="H762" s="1151"/>
      <c r="I762" s="1152"/>
      <c r="J762" s="1153"/>
      <c r="K762" s="1067"/>
      <c r="L762" s="1154"/>
      <c r="M762" s="1155"/>
      <c r="N762" s="1094"/>
      <c r="O762" s="1156"/>
      <c r="P762" s="1107"/>
      <c r="Q762" s="1151"/>
      <c r="R762" s="1095"/>
      <c r="S762" s="1094"/>
      <c r="T762" s="1112"/>
      <c r="U762" s="1188"/>
      <c r="V762" s="1189"/>
      <c r="W762" s="1111"/>
      <c r="X762" s="1110"/>
      <c r="Y762" s="1096"/>
      <c r="Z762" s="1166"/>
      <c r="AA762" s="1094"/>
      <c r="AB762" s="1156"/>
      <c r="AC762" s="1107"/>
      <c r="AD762" s="1114"/>
      <c r="AE762" s="1093"/>
      <c r="AF762" s="1115"/>
      <c r="AG762" s="1116"/>
      <c r="AH762" s="1117"/>
      <c r="AI762" s="1117"/>
      <c r="AJ762" s="1118"/>
      <c r="AK762" s="1119"/>
      <c r="AL762" s="1120"/>
      <c r="AM762" s="1116"/>
      <c r="AN762" s="1116"/>
      <c r="AO762" s="1117"/>
      <c r="AP762" s="1108"/>
      <c r="AQ762" s="1117"/>
      <c r="AR762" s="1108"/>
      <c r="AS762" s="1108"/>
      <c r="AT762" s="1116"/>
      <c r="AU762" s="1118"/>
      <c r="AV762" s="1101"/>
    </row>
    <row r="763" spans="1:48" ht="16.5" customHeight="1">
      <c r="A763" s="1488">
        <v>57</v>
      </c>
      <c r="B763" s="1033" t="s">
        <v>25</v>
      </c>
      <c r="C763" s="1036" t="s">
        <v>1730</v>
      </c>
      <c r="D763" s="1170"/>
      <c r="E763" s="1034"/>
      <c r="F763" s="1375" t="s">
        <v>1729</v>
      </c>
      <c r="G763" s="1172" t="s">
        <v>25</v>
      </c>
      <c r="H763" s="1173" t="s">
        <v>1540</v>
      </c>
      <c r="I763" s="1174">
        <v>107</v>
      </c>
      <c r="J763" s="1175" t="s">
        <v>41</v>
      </c>
      <c r="K763" s="1041" t="s">
        <v>1728</v>
      </c>
      <c r="L763" s="1276"/>
      <c r="M763" s="1048"/>
      <c r="N763" s="1122" t="s">
        <v>25</v>
      </c>
      <c r="O763" s="1293" t="s">
        <v>26</v>
      </c>
      <c r="P763" s="1075"/>
      <c r="Q763" s="1081">
        <v>248</v>
      </c>
      <c r="R763" s="1035"/>
      <c r="S763" s="1034"/>
      <c r="T763" s="1053"/>
      <c r="U763" s="1050"/>
      <c r="V763" s="1047"/>
      <c r="W763" s="1052"/>
      <c r="X763" s="1051"/>
      <c r="Y763" s="1036"/>
      <c r="Z763" s="1134"/>
      <c r="AA763" s="1034"/>
      <c r="AB763" s="1050"/>
      <c r="AC763" s="1047"/>
      <c r="AD763" s="1180"/>
      <c r="AE763" s="1049"/>
      <c r="AF763" s="1056">
        <f>Resum!F1</f>
        <v>356000</v>
      </c>
      <c r="AG763" s="1086">
        <f>AF763*I763</f>
        <v>38092000</v>
      </c>
      <c r="AH763" s="1058">
        <v>2200000</v>
      </c>
      <c r="AI763" s="1087">
        <f>AH763*Q763*0.65</f>
        <v>354640000</v>
      </c>
      <c r="AJ763" s="1182">
        <f>SUM(AI763:AI776)</f>
        <v>637090000</v>
      </c>
      <c r="AK763" s="1060"/>
      <c r="AL763" s="1090"/>
      <c r="AM763" s="1057"/>
      <c r="AN763" s="1086">
        <f>AM763+AJ763+AG763</f>
        <v>675182000</v>
      </c>
      <c r="AO763" s="1058"/>
      <c r="AP763" s="1136">
        <f>(AI763+AG763)*15%</f>
        <v>58909800</v>
      </c>
      <c r="AQ763" s="1087">
        <f>(AG763+AI763)*1%</f>
        <v>3927320</v>
      </c>
      <c r="AR763" s="1136">
        <f>(AG763+AI763)*5%</f>
        <v>19636600</v>
      </c>
      <c r="AS763" s="1087">
        <f>0.5%*(AG763+AI763)*(3)</f>
        <v>5890980</v>
      </c>
      <c r="AT763" s="1086">
        <f>+AS763+AR763+AQ763+AP763+AO763</f>
        <v>88364700</v>
      </c>
      <c r="AU763" s="1137">
        <f>ROUND(AT763+AN763,-3)</f>
        <v>763547000</v>
      </c>
      <c r="AV763" s="1279"/>
    </row>
    <row r="764" spans="1:48" ht="16.5" customHeight="1">
      <c r="A764" s="1073"/>
      <c r="B764" s="1038" t="s">
        <v>16</v>
      </c>
      <c r="C764" s="1071" t="s">
        <v>1727</v>
      </c>
      <c r="D764" s="1074"/>
      <c r="E764" s="1063"/>
      <c r="F764" s="1138"/>
      <c r="G764" s="1074" t="s">
        <v>16</v>
      </c>
      <c r="H764" s="1074" t="s">
        <v>22</v>
      </c>
      <c r="I764" s="1127"/>
      <c r="J764" s="1128"/>
      <c r="K764" s="1067"/>
      <c r="L764" s="1221"/>
      <c r="M764" s="1075"/>
      <c r="N764" s="1074" t="s">
        <v>16</v>
      </c>
      <c r="O764" s="1123" t="s">
        <v>59</v>
      </c>
      <c r="P764" s="1075"/>
      <c r="Q764" s="1081">
        <v>24</v>
      </c>
      <c r="R764" s="1038"/>
      <c r="S764" s="1074"/>
      <c r="T764" s="1080"/>
      <c r="U764" s="1077"/>
      <c r="V764" s="1073"/>
      <c r="W764" s="1079"/>
      <c r="X764" s="1078"/>
      <c r="Y764" s="1039"/>
      <c r="Z764" s="1134"/>
      <c r="AA764" s="1074"/>
      <c r="AB764" s="1077"/>
      <c r="AC764" s="1073"/>
      <c r="AD764" s="1091"/>
      <c r="AE764" s="1076"/>
      <c r="AF764" s="1085"/>
      <c r="AG764" s="1086"/>
      <c r="AH764" s="1087">
        <v>180000</v>
      </c>
      <c r="AI764" s="1087">
        <f>AH764*Q764*0.5</f>
        <v>2160000</v>
      </c>
      <c r="AJ764" s="1088"/>
      <c r="AK764" s="1089"/>
      <c r="AL764" s="1090"/>
      <c r="AM764" s="1086"/>
      <c r="AN764" s="1086"/>
      <c r="AO764" s="1087"/>
      <c r="AP764" s="1076"/>
      <c r="AQ764" s="1087"/>
      <c r="AR764" s="1076"/>
      <c r="AS764" s="1076"/>
      <c r="AT764" s="1086"/>
      <c r="AU764" s="1088"/>
      <c r="AV764" s="1235"/>
    </row>
    <row r="765" spans="1:48" ht="16.5" customHeight="1">
      <c r="A765" s="1073"/>
      <c r="B765" s="1038" t="s">
        <v>18</v>
      </c>
      <c r="C765" s="1039" t="s">
        <v>60</v>
      </c>
      <c r="D765" s="1074"/>
      <c r="E765" s="1074"/>
      <c r="F765" s="1138"/>
      <c r="G765" s="1074" t="s">
        <v>18</v>
      </c>
      <c r="H765" s="1074" t="s">
        <v>19</v>
      </c>
      <c r="I765" s="1127"/>
      <c r="J765" s="1128"/>
      <c r="K765" s="1067"/>
      <c r="L765" s="1221"/>
      <c r="M765" s="1075"/>
      <c r="N765" s="1074" t="s">
        <v>18</v>
      </c>
      <c r="O765" s="1131" t="s">
        <v>21</v>
      </c>
      <c r="P765" s="1075"/>
      <c r="Q765" s="1081">
        <v>14</v>
      </c>
      <c r="R765" s="1038"/>
      <c r="S765" s="1074"/>
      <c r="T765" s="1080"/>
      <c r="U765" s="1077"/>
      <c r="V765" s="1073"/>
      <c r="W765" s="1079"/>
      <c r="X765" s="1078"/>
      <c r="Y765" s="1039"/>
      <c r="Z765" s="1134"/>
      <c r="AA765" s="1074"/>
      <c r="AB765" s="1077"/>
      <c r="AC765" s="1073"/>
      <c r="AD765" s="1091"/>
      <c r="AE765" s="1076"/>
      <c r="AF765" s="1085"/>
      <c r="AG765" s="1086"/>
      <c r="AH765" s="1087">
        <v>350000</v>
      </c>
      <c r="AI765" s="1087">
        <f>AH765*Q765*0.65</f>
        <v>3185000</v>
      </c>
      <c r="AJ765" s="1088"/>
      <c r="AK765" s="1089"/>
      <c r="AL765" s="1090"/>
      <c r="AM765" s="1086"/>
      <c r="AN765" s="1086"/>
      <c r="AO765" s="1087"/>
      <c r="AP765" s="1076"/>
      <c r="AQ765" s="1087"/>
      <c r="AR765" s="1076"/>
      <c r="AS765" s="1076"/>
      <c r="AT765" s="1086"/>
      <c r="AU765" s="1088"/>
      <c r="AV765" s="1235"/>
    </row>
    <row r="766" spans="1:48" ht="49.5" customHeight="1">
      <c r="A766" s="1073"/>
      <c r="B766" s="1082" t="s">
        <v>12</v>
      </c>
      <c r="C766" s="1083" t="s">
        <v>98</v>
      </c>
      <c r="D766" s="1074"/>
      <c r="E766" s="1126"/>
      <c r="F766" s="1138"/>
      <c r="G766" s="1074"/>
      <c r="H766" s="1077"/>
      <c r="I766" s="1127"/>
      <c r="J766" s="1128"/>
      <c r="K766" s="1067"/>
      <c r="L766" s="1221"/>
      <c r="M766" s="1075"/>
      <c r="N766" s="1074" t="s">
        <v>12</v>
      </c>
      <c r="O766" s="1131" t="s">
        <v>17</v>
      </c>
      <c r="P766" s="1075">
        <v>1</v>
      </c>
      <c r="Q766" s="1081"/>
      <c r="R766" s="1038"/>
      <c r="S766" s="1074"/>
      <c r="T766" s="1080"/>
      <c r="U766" s="1077"/>
      <c r="V766" s="1073"/>
      <c r="W766" s="1079"/>
      <c r="X766" s="1078"/>
      <c r="Y766" s="1039"/>
      <c r="Z766" s="1134"/>
      <c r="AA766" s="1074"/>
      <c r="AB766" s="1077"/>
      <c r="AC766" s="1073"/>
      <c r="AD766" s="1091"/>
      <c r="AE766" s="1076"/>
      <c r="AF766" s="1085"/>
      <c r="AG766" s="1086"/>
      <c r="AH766" s="1087">
        <v>2500000</v>
      </c>
      <c r="AI766" s="1087">
        <f>AH766*P766*0.5</f>
        <v>1250000</v>
      </c>
      <c r="AJ766" s="1088"/>
      <c r="AK766" s="1089"/>
      <c r="AL766" s="1090"/>
      <c r="AM766" s="1086"/>
      <c r="AN766" s="1086"/>
      <c r="AO766" s="1087"/>
      <c r="AP766" s="1076"/>
      <c r="AQ766" s="1087"/>
      <c r="AR766" s="1076"/>
      <c r="AS766" s="1076"/>
      <c r="AT766" s="1086"/>
      <c r="AU766" s="1088"/>
      <c r="AV766" s="1235"/>
    </row>
    <row r="767" spans="1:48" ht="16.5" customHeight="1">
      <c r="A767" s="1073"/>
      <c r="B767" s="1082" t="s">
        <v>8</v>
      </c>
      <c r="C767" s="1083" t="s">
        <v>1726</v>
      </c>
      <c r="D767" s="1074"/>
      <c r="E767" s="1126"/>
      <c r="F767" s="1138"/>
      <c r="G767" s="1074"/>
      <c r="H767" s="1077"/>
      <c r="I767" s="1127"/>
      <c r="J767" s="1128"/>
      <c r="K767" s="1067"/>
      <c r="L767" s="1221"/>
      <c r="M767" s="1075"/>
      <c r="N767" s="1074" t="s">
        <v>8</v>
      </c>
      <c r="O767" s="1131" t="s">
        <v>11</v>
      </c>
      <c r="P767" s="1075">
        <v>1</v>
      </c>
      <c r="Q767" s="1081"/>
      <c r="R767" s="1038"/>
      <c r="S767" s="1074"/>
      <c r="T767" s="1080"/>
      <c r="U767" s="1077"/>
      <c r="V767" s="1073"/>
      <c r="W767" s="1079"/>
      <c r="X767" s="1078"/>
      <c r="Y767" s="1039"/>
      <c r="Z767" s="1134"/>
      <c r="AA767" s="1074"/>
      <c r="AB767" s="1077"/>
      <c r="AC767" s="1073"/>
      <c r="AD767" s="1091"/>
      <c r="AE767" s="1076"/>
      <c r="AF767" s="1085"/>
      <c r="AG767" s="1086"/>
      <c r="AH767" s="1087">
        <v>2500000</v>
      </c>
      <c r="AI767" s="1087">
        <f>AH767*P767*0.75</f>
        <v>1875000</v>
      </c>
      <c r="AJ767" s="1088"/>
      <c r="AK767" s="1089"/>
      <c r="AL767" s="1090"/>
      <c r="AM767" s="1086"/>
      <c r="AN767" s="1086"/>
      <c r="AO767" s="1087"/>
      <c r="AP767" s="1076"/>
      <c r="AQ767" s="1087"/>
      <c r="AR767" s="1076"/>
      <c r="AS767" s="1076"/>
      <c r="AT767" s="1086"/>
      <c r="AU767" s="1088"/>
      <c r="AV767" s="1235"/>
    </row>
    <row r="768" spans="1:48" ht="16.5" customHeight="1">
      <c r="A768" s="1073"/>
      <c r="B768" s="1082"/>
      <c r="C768" s="1083"/>
      <c r="D768" s="1074"/>
      <c r="E768" s="1126"/>
      <c r="F768" s="1138"/>
      <c r="G768" s="1074"/>
      <c r="H768" s="1077"/>
      <c r="I768" s="1127"/>
      <c r="J768" s="1128"/>
      <c r="K768" s="1067"/>
      <c r="L768" s="1221"/>
      <c r="M768" s="1075"/>
      <c r="N768" s="1074" t="s">
        <v>54</v>
      </c>
      <c r="O768" s="1131" t="s">
        <v>7</v>
      </c>
      <c r="P768" s="1075"/>
      <c r="Q768" s="1081">
        <v>54</v>
      </c>
      <c r="R768" s="1038"/>
      <c r="S768" s="1074"/>
      <c r="T768" s="1080"/>
      <c r="U768" s="1077"/>
      <c r="V768" s="1073"/>
      <c r="W768" s="1079"/>
      <c r="X768" s="1078"/>
      <c r="Y768" s="1039"/>
      <c r="Z768" s="1134"/>
      <c r="AA768" s="1074"/>
      <c r="AB768" s="1077"/>
      <c r="AC768" s="1073"/>
      <c r="AD768" s="1091"/>
      <c r="AE768" s="1076"/>
      <c r="AF768" s="1085"/>
      <c r="AG768" s="1086"/>
      <c r="AH768" s="1087">
        <v>300000</v>
      </c>
      <c r="AI768" s="1087">
        <f t="shared" ref="AI768:AI776" si="65">AH768*Q768*0.5</f>
        <v>8100000</v>
      </c>
      <c r="AJ768" s="1088"/>
      <c r="AK768" s="1089"/>
      <c r="AL768" s="1090"/>
      <c r="AM768" s="1086"/>
      <c r="AN768" s="1086"/>
      <c r="AO768" s="1087"/>
      <c r="AP768" s="1076"/>
      <c r="AQ768" s="1087"/>
      <c r="AR768" s="1076"/>
      <c r="AS768" s="1076"/>
      <c r="AT768" s="1086"/>
      <c r="AU768" s="1088"/>
      <c r="AV768" s="1235"/>
    </row>
    <row r="769" spans="1:48" ht="16.5" customHeight="1">
      <c r="A769" s="1073"/>
      <c r="B769" s="1082"/>
      <c r="C769" s="1083"/>
      <c r="D769" s="1074"/>
      <c r="E769" s="1126"/>
      <c r="F769" s="1138"/>
      <c r="G769" s="1074"/>
      <c r="H769" s="1077"/>
      <c r="I769" s="1127"/>
      <c r="J769" s="1128"/>
      <c r="K769" s="1067"/>
      <c r="L769" s="1221"/>
      <c r="M769" s="1075"/>
      <c r="N769" s="1074"/>
      <c r="O769" s="1123"/>
      <c r="P769" s="1075"/>
      <c r="Q769" s="1081"/>
      <c r="R769" s="1038"/>
      <c r="S769" s="1074"/>
      <c r="T769" s="1080"/>
      <c r="U769" s="1077"/>
      <c r="V769" s="1073"/>
      <c r="W769" s="1079"/>
      <c r="X769" s="1078"/>
      <c r="Y769" s="1039"/>
      <c r="Z769" s="1134"/>
      <c r="AA769" s="1074"/>
      <c r="AB769" s="1077"/>
      <c r="AC769" s="1073"/>
      <c r="AD769" s="1091"/>
      <c r="AE769" s="1076"/>
      <c r="AF769" s="1085"/>
      <c r="AG769" s="1086"/>
      <c r="AH769" s="1087"/>
      <c r="AI769" s="1087">
        <f t="shared" si="65"/>
        <v>0</v>
      </c>
      <c r="AJ769" s="1088"/>
      <c r="AK769" s="1089"/>
      <c r="AL769" s="1090"/>
      <c r="AM769" s="1086"/>
      <c r="AN769" s="1086"/>
      <c r="AO769" s="1087"/>
      <c r="AP769" s="1076"/>
      <c r="AQ769" s="1087"/>
      <c r="AR769" s="1076"/>
      <c r="AS769" s="1076"/>
      <c r="AT769" s="1086"/>
      <c r="AU769" s="1088"/>
      <c r="AV769" s="1235"/>
    </row>
    <row r="770" spans="1:48" ht="16.5" customHeight="1">
      <c r="A770" s="1073"/>
      <c r="B770" s="1082"/>
      <c r="C770" s="1083"/>
      <c r="D770" s="1074"/>
      <c r="E770" s="1126"/>
      <c r="F770" s="1138"/>
      <c r="G770" s="1074"/>
      <c r="H770" s="1077"/>
      <c r="I770" s="1127"/>
      <c r="J770" s="1128"/>
      <c r="K770" s="1067"/>
      <c r="L770" s="1221"/>
      <c r="M770" s="1075"/>
      <c r="N770" s="1074"/>
      <c r="O770" s="1123"/>
      <c r="P770" s="1075"/>
      <c r="Q770" s="1081"/>
      <c r="R770" s="1038"/>
      <c r="S770" s="1074"/>
      <c r="T770" s="1080"/>
      <c r="U770" s="1077"/>
      <c r="V770" s="1073"/>
      <c r="W770" s="1079"/>
      <c r="X770" s="1078"/>
      <c r="Y770" s="1039"/>
      <c r="Z770" s="1134"/>
      <c r="AA770" s="1074"/>
      <c r="AB770" s="1077"/>
      <c r="AC770" s="1073"/>
      <c r="AD770" s="1091"/>
      <c r="AE770" s="1076"/>
      <c r="AF770" s="1085"/>
      <c r="AG770" s="1086"/>
      <c r="AH770" s="1087"/>
      <c r="AI770" s="1087">
        <f t="shared" si="65"/>
        <v>0</v>
      </c>
      <c r="AJ770" s="1088"/>
      <c r="AK770" s="1089"/>
      <c r="AL770" s="1090"/>
      <c r="AM770" s="1086"/>
      <c r="AN770" s="1086"/>
      <c r="AO770" s="1087"/>
      <c r="AP770" s="1076"/>
      <c r="AQ770" s="1087"/>
      <c r="AR770" s="1076"/>
      <c r="AS770" s="1076"/>
      <c r="AT770" s="1086"/>
      <c r="AU770" s="1088"/>
      <c r="AV770" s="1235"/>
    </row>
    <row r="771" spans="1:48" ht="16.5" customHeight="1">
      <c r="A771" s="1073"/>
      <c r="B771" s="1082"/>
      <c r="C771" s="1083"/>
      <c r="D771" s="1074"/>
      <c r="E771" s="1126"/>
      <c r="F771" s="1138"/>
      <c r="G771" s="1074"/>
      <c r="H771" s="1077"/>
      <c r="I771" s="1127"/>
      <c r="J771" s="1128"/>
      <c r="K771" s="1067"/>
      <c r="L771" s="1221"/>
      <c r="M771" s="1075"/>
      <c r="N771" s="1542" t="s">
        <v>1725</v>
      </c>
      <c r="O771" s="1123"/>
      <c r="P771" s="1075"/>
      <c r="Q771" s="1081"/>
      <c r="R771" s="1038"/>
      <c r="S771" s="1074"/>
      <c r="T771" s="1080"/>
      <c r="U771" s="1077"/>
      <c r="V771" s="1073"/>
      <c r="W771" s="1079"/>
      <c r="X771" s="1078"/>
      <c r="Y771" s="1039"/>
      <c r="Z771" s="1134"/>
      <c r="AA771" s="1074"/>
      <c r="AB771" s="1077"/>
      <c r="AC771" s="1073"/>
      <c r="AD771" s="1091"/>
      <c r="AE771" s="1076"/>
      <c r="AF771" s="1085"/>
      <c r="AG771" s="1086"/>
      <c r="AH771" s="1087"/>
      <c r="AI771" s="1087">
        <f t="shared" si="65"/>
        <v>0</v>
      </c>
      <c r="AJ771" s="1088"/>
      <c r="AK771" s="1089"/>
      <c r="AL771" s="1090"/>
      <c r="AM771" s="1086"/>
      <c r="AN771" s="1086"/>
      <c r="AO771" s="1087"/>
      <c r="AP771" s="1076"/>
      <c r="AQ771" s="1087"/>
      <c r="AR771" s="1076"/>
      <c r="AS771" s="1076"/>
      <c r="AT771" s="1086"/>
      <c r="AU771" s="1088"/>
      <c r="AV771" s="1235"/>
    </row>
    <row r="772" spans="1:48" ht="16.5" customHeight="1">
      <c r="A772" s="1073"/>
      <c r="B772" s="1082"/>
      <c r="C772" s="1083"/>
      <c r="D772" s="1074"/>
      <c r="E772" s="1126"/>
      <c r="F772" s="1138"/>
      <c r="G772" s="1074"/>
      <c r="H772" s="1077"/>
      <c r="I772" s="1127"/>
      <c r="J772" s="1128"/>
      <c r="K772" s="1067"/>
      <c r="L772" s="1221"/>
      <c r="M772" s="1075"/>
      <c r="N772" s="1122" t="s">
        <v>25</v>
      </c>
      <c r="O772" s="1293" t="s">
        <v>26</v>
      </c>
      <c r="P772" s="1075"/>
      <c r="Q772" s="1081">
        <v>240</v>
      </c>
      <c r="R772" s="1038"/>
      <c r="S772" s="1074"/>
      <c r="T772" s="1080"/>
      <c r="U772" s="1077"/>
      <c r="V772" s="1073"/>
      <c r="W772" s="1079"/>
      <c r="X772" s="1078"/>
      <c r="Y772" s="1039"/>
      <c r="Z772" s="1134"/>
      <c r="AA772" s="1074"/>
      <c r="AB772" s="1077"/>
      <c r="AC772" s="1073"/>
      <c r="AD772" s="1091"/>
      <c r="AE772" s="1076"/>
      <c r="AF772" s="1085"/>
      <c r="AG772" s="1086"/>
      <c r="AH772" s="1087">
        <v>1800000</v>
      </c>
      <c r="AI772" s="1087">
        <f>AH772*Q772*0.6</f>
        <v>259200000</v>
      </c>
      <c r="AJ772" s="1088"/>
      <c r="AK772" s="1089"/>
      <c r="AL772" s="1090"/>
      <c r="AM772" s="1086"/>
      <c r="AN772" s="1086"/>
      <c r="AO772" s="1087"/>
      <c r="AP772" s="1076"/>
      <c r="AQ772" s="1087"/>
      <c r="AR772" s="1076"/>
      <c r="AS772" s="1076"/>
      <c r="AT772" s="1086"/>
      <c r="AU772" s="1088"/>
      <c r="AV772" s="1235"/>
    </row>
    <row r="773" spans="1:48" ht="16.5" customHeight="1">
      <c r="A773" s="1073"/>
      <c r="B773" s="1082"/>
      <c r="C773" s="1083"/>
      <c r="D773" s="1074"/>
      <c r="E773" s="1126"/>
      <c r="F773" s="1138"/>
      <c r="G773" s="1074"/>
      <c r="H773" s="1077"/>
      <c r="I773" s="1127"/>
      <c r="J773" s="1128"/>
      <c r="K773" s="1067"/>
      <c r="L773" s="1221"/>
      <c r="M773" s="1075"/>
      <c r="N773" s="1074" t="s">
        <v>16</v>
      </c>
      <c r="O773" s="1123" t="s">
        <v>21</v>
      </c>
      <c r="P773" s="1075"/>
      <c r="Q773" s="1081">
        <v>8</v>
      </c>
      <c r="R773" s="1038"/>
      <c r="S773" s="1074"/>
      <c r="T773" s="1080"/>
      <c r="U773" s="1077"/>
      <c r="V773" s="1073"/>
      <c r="W773" s="1079"/>
      <c r="X773" s="1078"/>
      <c r="Y773" s="1039"/>
      <c r="Z773" s="1134"/>
      <c r="AA773" s="1074"/>
      <c r="AB773" s="1077"/>
      <c r="AC773" s="1073"/>
      <c r="AD773" s="1091"/>
      <c r="AE773" s="1076"/>
      <c r="AF773" s="1085"/>
      <c r="AG773" s="1086"/>
      <c r="AH773" s="1087">
        <v>100000</v>
      </c>
      <c r="AI773" s="1087">
        <f>AH773*Q773*0.6</f>
        <v>480000</v>
      </c>
      <c r="AJ773" s="1088"/>
      <c r="AK773" s="1089"/>
      <c r="AL773" s="1090"/>
      <c r="AM773" s="1086"/>
      <c r="AN773" s="1086"/>
      <c r="AO773" s="1087"/>
      <c r="AP773" s="1076"/>
      <c r="AQ773" s="1087"/>
      <c r="AR773" s="1076"/>
      <c r="AS773" s="1076"/>
      <c r="AT773" s="1086"/>
      <c r="AU773" s="1088"/>
      <c r="AV773" s="1235"/>
    </row>
    <row r="774" spans="1:48" ht="16.5" customHeight="1">
      <c r="A774" s="1073"/>
      <c r="B774" s="1082"/>
      <c r="C774" s="1083"/>
      <c r="D774" s="1074"/>
      <c r="E774" s="1126"/>
      <c r="F774" s="1138"/>
      <c r="G774" s="1074"/>
      <c r="H774" s="1077"/>
      <c r="I774" s="1127"/>
      <c r="J774" s="1128"/>
      <c r="K774" s="1067"/>
      <c r="L774" s="1221"/>
      <c r="M774" s="1075"/>
      <c r="N774" s="1074" t="s">
        <v>18</v>
      </c>
      <c r="O774" s="1131" t="s">
        <v>17</v>
      </c>
      <c r="P774" s="1075">
        <v>1</v>
      </c>
      <c r="Q774" s="1081"/>
      <c r="R774" s="1038"/>
      <c r="S774" s="1074"/>
      <c r="T774" s="1080"/>
      <c r="U774" s="1077"/>
      <c r="V774" s="1073"/>
      <c r="W774" s="1079"/>
      <c r="X774" s="1078"/>
      <c r="Y774" s="1039"/>
      <c r="Z774" s="1134"/>
      <c r="AA774" s="1074"/>
      <c r="AB774" s="1077"/>
      <c r="AC774" s="1073"/>
      <c r="AD774" s="1091"/>
      <c r="AE774" s="1076"/>
      <c r="AF774" s="1085"/>
      <c r="AG774" s="1086"/>
      <c r="AH774" s="1087">
        <v>2500000</v>
      </c>
      <c r="AI774" s="1087">
        <f>AH774*P774*0.5</f>
        <v>1250000</v>
      </c>
      <c r="AJ774" s="1088"/>
      <c r="AK774" s="1089"/>
      <c r="AL774" s="1090"/>
      <c r="AM774" s="1086"/>
      <c r="AN774" s="1086"/>
      <c r="AO774" s="1087"/>
      <c r="AP774" s="1076"/>
      <c r="AQ774" s="1087"/>
      <c r="AR774" s="1076"/>
      <c r="AS774" s="1076"/>
      <c r="AT774" s="1086"/>
      <c r="AU774" s="1088"/>
      <c r="AV774" s="1235"/>
    </row>
    <row r="775" spans="1:48" ht="16.5" customHeight="1">
      <c r="A775" s="1073"/>
      <c r="B775" s="1082"/>
      <c r="C775" s="1083"/>
      <c r="D775" s="1074"/>
      <c r="E775" s="1126"/>
      <c r="F775" s="1138"/>
      <c r="G775" s="1074"/>
      <c r="H775" s="1077"/>
      <c r="I775" s="1127"/>
      <c r="J775" s="1128"/>
      <c r="K775" s="1067"/>
      <c r="L775" s="1221"/>
      <c r="M775" s="1075"/>
      <c r="N775" s="1074" t="s">
        <v>12</v>
      </c>
      <c r="O775" s="1131" t="s">
        <v>11</v>
      </c>
      <c r="P775" s="1075">
        <v>1</v>
      </c>
      <c r="Q775" s="1081"/>
      <c r="R775" s="1038"/>
      <c r="S775" s="1074"/>
      <c r="T775" s="1080"/>
      <c r="U775" s="1077"/>
      <c r="V775" s="1073"/>
      <c r="W775" s="1079"/>
      <c r="X775" s="1078"/>
      <c r="Y775" s="1039"/>
      <c r="Z775" s="1134"/>
      <c r="AA775" s="1074"/>
      <c r="AB775" s="1077"/>
      <c r="AC775" s="1073"/>
      <c r="AD775" s="1091"/>
      <c r="AE775" s="1076"/>
      <c r="AF775" s="1085"/>
      <c r="AG775" s="1086"/>
      <c r="AH775" s="1087">
        <v>2500000</v>
      </c>
      <c r="AI775" s="1087">
        <f>AH775*P775*0.75</f>
        <v>1875000</v>
      </c>
      <c r="AJ775" s="1088"/>
      <c r="AK775" s="1089"/>
      <c r="AL775" s="1090"/>
      <c r="AM775" s="1086"/>
      <c r="AN775" s="1086"/>
      <c r="AO775" s="1087"/>
      <c r="AP775" s="1076"/>
      <c r="AQ775" s="1087"/>
      <c r="AR775" s="1076"/>
      <c r="AS775" s="1076"/>
      <c r="AT775" s="1086"/>
      <c r="AU775" s="1088"/>
      <c r="AV775" s="1235"/>
    </row>
    <row r="776" spans="1:48" ht="16.5" customHeight="1">
      <c r="A776" s="1073"/>
      <c r="B776" s="1082"/>
      <c r="C776" s="1083"/>
      <c r="D776" s="1074"/>
      <c r="E776" s="1126"/>
      <c r="F776" s="1138"/>
      <c r="G776" s="1074"/>
      <c r="H776" s="1077"/>
      <c r="I776" s="1127"/>
      <c r="J776" s="1128"/>
      <c r="K776" s="1067"/>
      <c r="L776" s="1221"/>
      <c r="M776" s="1075"/>
      <c r="N776" s="1074" t="s">
        <v>8</v>
      </c>
      <c r="O776" s="1131" t="s">
        <v>7</v>
      </c>
      <c r="P776" s="1075"/>
      <c r="Q776" s="1081">
        <v>20.5</v>
      </c>
      <c r="R776" s="1038"/>
      <c r="S776" s="1074"/>
      <c r="T776" s="1080"/>
      <c r="U776" s="1077"/>
      <c r="V776" s="1073"/>
      <c r="W776" s="1079"/>
      <c r="X776" s="1078"/>
      <c r="Y776" s="1039"/>
      <c r="Z776" s="1134"/>
      <c r="AA776" s="1074"/>
      <c r="AB776" s="1077"/>
      <c r="AC776" s="1073"/>
      <c r="AD776" s="1091"/>
      <c r="AE776" s="1076"/>
      <c r="AF776" s="1085"/>
      <c r="AG776" s="1086"/>
      <c r="AH776" s="1087">
        <v>300000</v>
      </c>
      <c r="AI776" s="1087">
        <f t="shared" si="65"/>
        <v>3075000</v>
      </c>
      <c r="AJ776" s="1088"/>
      <c r="AK776" s="1089"/>
      <c r="AL776" s="1090"/>
      <c r="AM776" s="1086"/>
      <c r="AN776" s="1086"/>
      <c r="AO776" s="1087"/>
      <c r="AP776" s="1076"/>
      <c r="AQ776" s="1087"/>
      <c r="AR776" s="1076"/>
      <c r="AS776" s="1076"/>
      <c r="AT776" s="1086"/>
      <c r="AU776" s="1088"/>
      <c r="AV776" s="1235"/>
    </row>
    <row r="777" spans="1:48" ht="16.5" customHeight="1">
      <c r="A777" s="1073"/>
      <c r="B777" s="1082"/>
      <c r="C777" s="1083"/>
      <c r="D777" s="1074"/>
      <c r="E777" s="1126"/>
      <c r="F777" s="1138"/>
      <c r="G777" s="1074"/>
      <c r="H777" s="1077"/>
      <c r="I777" s="1127"/>
      <c r="J777" s="1128"/>
      <c r="K777" s="1067"/>
      <c r="L777" s="1221"/>
      <c r="M777" s="1075"/>
      <c r="N777" s="1074"/>
      <c r="O777" s="1257"/>
      <c r="P777" s="1320"/>
      <c r="Q777" s="1321"/>
      <c r="R777" s="1038"/>
      <c r="S777" s="1074"/>
      <c r="T777" s="1080"/>
      <c r="U777" s="1077"/>
      <c r="V777" s="1073"/>
      <c r="W777" s="1079"/>
      <c r="X777" s="1078"/>
      <c r="Y777" s="1039"/>
      <c r="Z777" s="1134"/>
      <c r="AA777" s="1074"/>
      <c r="AB777" s="1077"/>
      <c r="AC777" s="1073"/>
      <c r="AD777" s="1091"/>
      <c r="AE777" s="1076"/>
      <c r="AF777" s="1085"/>
      <c r="AG777" s="1086"/>
      <c r="AH777" s="1087"/>
      <c r="AI777" s="1087"/>
      <c r="AJ777" s="1088"/>
      <c r="AK777" s="1089"/>
      <c r="AL777" s="1090"/>
      <c r="AM777" s="1086"/>
      <c r="AN777" s="1086"/>
      <c r="AO777" s="1087"/>
      <c r="AP777" s="1076"/>
      <c r="AQ777" s="1087"/>
      <c r="AR777" s="1076"/>
      <c r="AS777" s="1076"/>
      <c r="AT777" s="1086"/>
      <c r="AU777" s="1088"/>
      <c r="AV777" s="1235"/>
    </row>
    <row r="778" spans="1:48" ht="16.5" customHeight="1">
      <c r="A778" s="1073"/>
      <c r="B778" s="1082"/>
      <c r="C778" s="1083"/>
      <c r="D778" s="1074"/>
      <c r="E778" s="1126"/>
      <c r="F778" s="1138"/>
      <c r="G778" s="1074"/>
      <c r="H778" s="1077"/>
      <c r="I778" s="1127"/>
      <c r="J778" s="1128"/>
      <c r="K778" s="1067"/>
      <c r="L778" s="1221"/>
      <c r="M778" s="1075"/>
      <c r="N778" s="1074"/>
      <c r="O778" s="1257"/>
      <c r="P778" s="1320"/>
      <c r="Q778" s="1321"/>
      <c r="R778" s="1038"/>
      <c r="S778" s="1074"/>
      <c r="T778" s="1080"/>
      <c r="U778" s="1077"/>
      <c r="V778" s="1073"/>
      <c r="W778" s="1079"/>
      <c r="X778" s="1078"/>
      <c r="Y778" s="1039"/>
      <c r="Z778" s="1134"/>
      <c r="AA778" s="1074"/>
      <c r="AB778" s="1077"/>
      <c r="AC778" s="1073"/>
      <c r="AD778" s="1091"/>
      <c r="AE778" s="1076"/>
      <c r="AF778" s="1085"/>
      <c r="AG778" s="1086"/>
      <c r="AH778" s="1087"/>
      <c r="AI778" s="1087"/>
      <c r="AJ778" s="1088"/>
      <c r="AK778" s="1089"/>
      <c r="AL778" s="1090"/>
      <c r="AM778" s="1086"/>
      <c r="AN778" s="1086"/>
      <c r="AO778" s="1087"/>
      <c r="AP778" s="1076"/>
      <c r="AQ778" s="1087"/>
      <c r="AR778" s="1076"/>
      <c r="AS778" s="1076"/>
      <c r="AT778" s="1086"/>
      <c r="AU778" s="1088"/>
      <c r="AV778" s="1235"/>
    </row>
    <row r="779" spans="1:48" ht="16.5" customHeight="1">
      <c r="A779" s="1073"/>
      <c r="B779" s="1082"/>
      <c r="C779" s="1186"/>
      <c r="D779" s="1074"/>
      <c r="E779" s="1126"/>
      <c r="F779" s="1138"/>
      <c r="G779" s="1074"/>
      <c r="H779" s="1151"/>
      <c r="I779" s="1152"/>
      <c r="J779" s="1153"/>
      <c r="K779" s="1101"/>
      <c r="L779" s="1221"/>
      <c r="M779" s="1075"/>
      <c r="N779" s="1074"/>
      <c r="O779" s="1257"/>
      <c r="P779" s="1320"/>
      <c r="Q779" s="1321"/>
      <c r="R779" s="1038"/>
      <c r="S779" s="1074"/>
      <c r="T779" s="1080"/>
      <c r="U779" s="1077"/>
      <c r="V779" s="1073"/>
      <c r="W779" s="1079"/>
      <c r="X779" s="1078"/>
      <c r="Y779" s="1039"/>
      <c r="Z779" s="1134"/>
      <c r="AA779" s="1074"/>
      <c r="AB779" s="1077"/>
      <c r="AC779" s="1073"/>
      <c r="AD779" s="1091"/>
      <c r="AE779" s="1076"/>
      <c r="AF779" s="1085"/>
      <c r="AG779" s="1116"/>
      <c r="AH779" s="1087"/>
      <c r="AI779" s="1087"/>
      <c r="AJ779" s="1088"/>
      <c r="AK779" s="1089"/>
      <c r="AL779" s="1120"/>
      <c r="AM779" s="1086"/>
      <c r="AN779" s="1116"/>
      <c r="AO779" s="1087"/>
      <c r="AP779" s="1076"/>
      <c r="AQ779" s="1087"/>
      <c r="AR779" s="1076"/>
      <c r="AS779" s="1076"/>
      <c r="AT779" s="1086"/>
      <c r="AU779" s="1088"/>
      <c r="AV779" s="1235"/>
    </row>
    <row r="780" spans="1:48" ht="16.5" customHeight="1">
      <c r="A780" s="1271">
        <v>58</v>
      </c>
      <c r="B780" s="1033" t="s">
        <v>25</v>
      </c>
      <c r="C780" s="1273" t="s">
        <v>1724</v>
      </c>
      <c r="D780" s="1172"/>
      <c r="E780" s="1274"/>
      <c r="F780" s="1375" t="s">
        <v>1723</v>
      </c>
      <c r="G780" s="1172" t="s">
        <v>25</v>
      </c>
      <c r="H780" s="1173" t="s">
        <v>1568</v>
      </c>
      <c r="I780" s="1275">
        <v>235</v>
      </c>
      <c r="J780" s="1175" t="s">
        <v>41</v>
      </c>
      <c r="K780" s="1041" t="s">
        <v>1722</v>
      </c>
      <c r="L780" s="1276"/>
      <c r="M780" s="1048"/>
      <c r="N780" s="1033" t="s">
        <v>25</v>
      </c>
      <c r="O780" s="1190" t="s">
        <v>26</v>
      </c>
      <c r="P780" s="1048"/>
      <c r="Q780" s="1054">
        <v>85.75</v>
      </c>
      <c r="R780" s="1035"/>
      <c r="S780" s="1034"/>
      <c r="T780" s="1048"/>
      <c r="U780" s="1180"/>
      <c r="V780" s="1049"/>
      <c r="W780" s="1052"/>
      <c r="X780" s="1051"/>
      <c r="Y780" s="1036"/>
      <c r="Z780" s="1203"/>
      <c r="AA780" s="1034"/>
      <c r="AB780" s="1050"/>
      <c r="AC780" s="1047"/>
      <c r="AD780" s="1180"/>
      <c r="AE780" s="1049"/>
      <c r="AF780" s="1056">
        <f>Resum!F1</f>
        <v>356000</v>
      </c>
      <c r="AG780" s="1086">
        <f>AF780*I780</f>
        <v>83660000</v>
      </c>
      <c r="AH780" s="1058">
        <v>2530000</v>
      </c>
      <c r="AI780" s="1058">
        <f>AH780*Q780*0.8</f>
        <v>173558000</v>
      </c>
      <c r="AJ780" s="1182">
        <f>SUM(AI780:AI787)</f>
        <v>234882100</v>
      </c>
      <c r="AK780" s="1060"/>
      <c r="AL780" s="1061"/>
      <c r="AM780" s="1057"/>
      <c r="AN780" s="1086">
        <f>AM780+AJ780+AG780</f>
        <v>318542100</v>
      </c>
      <c r="AO780" s="1058">
        <f>150000*30*3</f>
        <v>13500000</v>
      </c>
      <c r="AP780" s="1548">
        <f>(AI780+AG780)*15%</f>
        <v>38582700</v>
      </c>
      <c r="AQ780" s="1058">
        <f>(AG780+AI780)*1%</f>
        <v>2572180</v>
      </c>
      <c r="AR780" s="1548">
        <f>(AG780+AI780)*5%</f>
        <v>12860900</v>
      </c>
      <c r="AS780" s="1058">
        <f>0.5%*(AG780+AI780)*(3)</f>
        <v>3858270</v>
      </c>
      <c r="AT780" s="1057">
        <f>+AS780+AR780+AQ780+AP780+AO780</f>
        <v>71374050</v>
      </c>
      <c r="AU780" s="1137">
        <f>ROUND(AT780+AN780,-3)</f>
        <v>389916000</v>
      </c>
      <c r="AV780" s="1279"/>
    </row>
    <row r="781" spans="1:48" ht="16.5" customHeight="1">
      <c r="A781" s="1073"/>
      <c r="B781" s="1038" t="s">
        <v>16</v>
      </c>
      <c r="C781" s="1083" t="s">
        <v>1721</v>
      </c>
      <c r="D781" s="1125"/>
      <c r="E781" s="1280"/>
      <c r="F781" s="1138"/>
      <c r="G781" s="1074" t="s">
        <v>16</v>
      </c>
      <c r="H781" s="1074" t="s">
        <v>22</v>
      </c>
      <c r="I781" s="1127"/>
      <c r="J781" s="1128"/>
      <c r="K781" s="1067"/>
      <c r="L781" s="1221"/>
      <c r="M781" s="1075"/>
      <c r="N781" s="1074" t="s">
        <v>16</v>
      </c>
      <c r="O781" s="1123" t="s">
        <v>21</v>
      </c>
      <c r="P781" s="1075"/>
      <c r="Q781" s="1081">
        <v>13.5</v>
      </c>
      <c r="R781" s="1038"/>
      <c r="S781" s="1074"/>
      <c r="T781" s="1075"/>
      <c r="U781" s="1091"/>
      <c r="V781" s="1076"/>
      <c r="W781" s="1079"/>
      <c r="X781" s="1078"/>
      <c r="Y781" s="1039"/>
      <c r="Z781" s="1134"/>
      <c r="AA781" s="1074"/>
      <c r="AB781" s="1077"/>
      <c r="AC781" s="1073"/>
      <c r="AD781" s="1091"/>
      <c r="AE781" s="1076"/>
      <c r="AF781" s="1085"/>
      <c r="AG781" s="1086"/>
      <c r="AH781" s="1087">
        <v>350000</v>
      </c>
      <c r="AI781" s="1087">
        <f>AH781*Q781*0.7</f>
        <v>3307500</v>
      </c>
      <c r="AJ781" s="1088"/>
      <c r="AK781" s="1089"/>
      <c r="AL781" s="1090"/>
      <c r="AM781" s="1086"/>
      <c r="AN781" s="1086"/>
      <c r="AO781" s="1087"/>
      <c r="AP781" s="1076"/>
      <c r="AQ781" s="1087"/>
      <c r="AR781" s="1076"/>
      <c r="AS781" s="1076"/>
      <c r="AT781" s="1086"/>
      <c r="AU781" s="1088"/>
      <c r="AV781" s="1235"/>
    </row>
    <row r="782" spans="1:48" ht="33" customHeight="1">
      <c r="A782" s="1073"/>
      <c r="B782" s="1038" t="s">
        <v>18</v>
      </c>
      <c r="C782" s="1083" t="s">
        <v>124</v>
      </c>
      <c r="D782" s="1125"/>
      <c r="E782" s="1280"/>
      <c r="F782" s="1138"/>
      <c r="G782" s="1074" t="s">
        <v>18</v>
      </c>
      <c r="H782" s="1074" t="s">
        <v>19</v>
      </c>
      <c r="I782" s="1127"/>
      <c r="J782" s="1128"/>
      <c r="K782" s="1067"/>
      <c r="L782" s="1221"/>
      <c r="M782" s="1075"/>
      <c r="N782" s="1074" t="s">
        <v>18</v>
      </c>
      <c r="O782" s="1131" t="s">
        <v>62</v>
      </c>
      <c r="P782" s="1075"/>
      <c r="Q782" s="1081">
        <v>51.85</v>
      </c>
      <c r="R782" s="1038"/>
      <c r="S782" s="1074"/>
      <c r="T782" s="1075"/>
      <c r="U782" s="1091"/>
      <c r="V782" s="1076"/>
      <c r="W782" s="1079"/>
      <c r="X782" s="1078"/>
      <c r="Y782" s="1039"/>
      <c r="Z782" s="1134"/>
      <c r="AA782" s="1074"/>
      <c r="AB782" s="1077"/>
      <c r="AC782" s="1073"/>
      <c r="AD782" s="1091"/>
      <c r="AE782" s="1076"/>
      <c r="AF782" s="1085"/>
      <c r="AG782" s="1086"/>
      <c r="AH782" s="1087">
        <v>1800000</v>
      </c>
      <c r="AI782" s="1087">
        <f t="shared" ref="AI782:AI786" si="66">AH782*Q782*0.5</f>
        <v>46665000</v>
      </c>
      <c r="AJ782" s="1088"/>
      <c r="AK782" s="1089"/>
      <c r="AL782" s="1090"/>
      <c r="AM782" s="1086"/>
      <c r="AN782" s="1086"/>
      <c r="AO782" s="1087"/>
      <c r="AP782" s="1076"/>
      <c r="AQ782" s="1087"/>
      <c r="AR782" s="1076"/>
      <c r="AS782" s="1076"/>
      <c r="AT782" s="1086"/>
      <c r="AU782" s="1088"/>
      <c r="AV782" s="1235"/>
    </row>
    <row r="783" spans="1:48" ht="49.5" customHeight="1">
      <c r="A783" s="1073"/>
      <c r="B783" s="1082" t="s">
        <v>12</v>
      </c>
      <c r="C783" s="1083" t="s">
        <v>98</v>
      </c>
      <c r="D783" s="1125"/>
      <c r="E783" s="1280"/>
      <c r="F783" s="1138"/>
      <c r="G783" s="1074"/>
      <c r="H783" s="1077"/>
      <c r="I783" s="1127"/>
      <c r="J783" s="1128"/>
      <c r="K783" s="1067"/>
      <c r="L783" s="1221"/>
      <c r="M783" s="1075"/>
      <c r="N783" s="1074" t="s">
        <v>12</v>
      </c>
      <c r="O783" s="1131" t="s">
        <v>59</v>
      </c>
      <c r="P783" s="1075"/>
      <c r="Q783" s="1081">
        <v>23.24</v>
      </c>
      <c r="R783" s="1038"/>
      <c r="S783" s="1074"/>
      <c r="T783" s="1075"/>
      <c r="U783" s="1091"/>
      <c r="V783" s="1076"/>
      <c r="W783" s="1079"/>
      <c r="X783" s="1078"/>
      <c r="Y783" s="1039"/>
      <c r="Z783" s="1134"/>
      <c r="AA783" s="1074"/>
      <c r="AB783" s="1077"/>
      <c r="AC783" s="1073"/>
      <c r="AD783" s="1091"/>
      <c r="AE783" s="1076"/>
      <c r="AF783" s="1085"/>
      <c r="AG783" s="1086"/>
      <c r="AH783" s="1087">
        <v>180000</v>
      </c>
      <c r="AI783" s="1087">
        <f t="shared" si="66"/>
        <v>2091599.9999999998</v>
      </c>
      <c r="AJ783" s="1088"/>
      <c r="AK783" s="1089"/>
      <c r="AL783" s="1090"/>
      <c r="AM783" s="1086"/>
      <c r="AN783" s="1086"/>
      <c r="AO783" s="1087"/>
      <c r="AP783" s="1076"/>
      <c r="AQ783" s="1087"/>
      <c r="AR783" s="1076"/>
      <c r="AS783" s="1076"/>
      <c r="AT783" s="1086"/>
      <c r="AU783" s="1088"/>
      <c r="AV783" s="1235"/>
    </row>
    <row r="784" spans="1:48" ht="16.5" customHeight="1">
      <c r="A784" s="1073"/>
      <c r="B784" s="1082" t="s">
        <v>8</v>
      </c>
      <c r="C784" s="1083" t="s">
        <v>1720</v>
      </c>
      <c r="D784" s="1125"/>
      <c r="E784" s="1280"/>
      <c r="F784" s="1138"/>
      <c r="G784" s="1074"/>
      <c r="H784" s="1077"/>
      <c r="I784" s="1127"/>
      <c r="J784" s="1128"/>
      <c r="K784" s="1067"/>
      <c r="L784" s="1221"/>
      <c r="M784" s="1075"/>
      <c r="N784" s="1074" t="s">
        <v>8</v>
      </c>
      <c r="O784" s="1131" t="s">
        <v>1544</v>
      </c>
      <c r="P784" s="1075"/>
      <c r="Q784" s="1081">
        <v>3</v>
      </c>
      <c r="R784" s="1038"/>
      <c r="S784" s="1074"/>
      <c r="T784" s="1075"/>
      <c r="U784" s="1091"/>
      <c r="V784" s="1076"/>
      <c r="W784" s="1079"/>
      <c r="X784" s="1078"/>
      <c r="Y784" s="1039"/>
      <c r="Z784" s="1134"/>
      <c r="AA784" s="1074"/>
      <c r="AB784" s="1077"/>
      <c r="AC784" s="1073"/>
      <c r="AD784" s="1091"/>
      <c r="AE784" s="1076"/>
      <c r="AF784" s="1085"/>
      <c r="AG784" s="1086"/>
      <c r="AH784" s="1087">
        <v>125000</v>
      </c>
      <c r="AI784" s="1087">
        <f t="shared" si="66"/>
        <v>187500</v>
      </c>
      <c r="AJ784" s="1088"/>
      <c r="AK784" s="1089"/>
      <c r="AL784" s="1090"/>
      <c r="AM784" s="1086"/>
      <c r="AN784" s="1086"/>
      <c r="AO784" s="1087"/>
      <c r="AP784" s="1076"/>
      <c r="AQ784" s="1087"/>
      <c r="AR784" s="1076"/>
      <c r="AS784" s="1076"/>
      <c r="AT784" s="1086"/>
      <c r="AU784" s="1088"/>
      <c r="AV784" s="1235"/>
    </row>
    <row r="785" spans="1:48" ht="16.5" customHeight="1">
      <c r="A785" s="1073"/>
      <c r="B785" s="1082"/>
      <c r="C785" s="1083"/>
      <c r="D785" s="1125"/>
      <c r="E785" s="1280"/>
      <c r="F785" s="1138"/>
      <c r="G785" s="1074"/>
      <c r="H785" s="1077"/>
      <c r="I785" s="1127"/>
      <c r="J785" s="1128"/>
      <c r="K785" s="1067"/>
      <c r="L785" s="1221"/>
      <c r="M785" s="1075"/>
      <c r="N785" s="1074" t="s">
        <v>54</v>
      </c>
      <c r="O785" s="1123" t="s">
        <v>175</v>
      </c>
      <c r="P785" s="1075"/>
      <c r="Q785" s="1081">
        <v>40.299999999999997</v>
      </c>
      <c r="R785" s="1038"/>
      <c r="S785" s="1074"/>
      <c r="T785" s="1075"/>
      <c r="U785" s="1091"/>
      <c r="V785" s="1076"/>
      <c r="W785" s="1079"/>
      <c r="X785" s="1078"/>
      <c r="Y785" s="1039"/>
      <c r="Z785" s="1134"/>
      <c r="AA785" s="1074"/>
      <c r="AB785" s="1077"/>
      <c r="AC785" s="1073"/>
      <c r="AD785" s="1091"/>
      <c r="AE785" s="1076"/>
      <c r="AF785" s="1085"/>
      <c r="AG785" s="1086"/>
      <c r="AH785" s="1087">
        <v>300000</v>
      </c>
      <c r="AI785" s="1087">
        <f>AH785*Q785*0.5</f>
        <v>6045000</v>
      </c>
      <c r="AJ785" s="1088"/>
      <c r="AK785" s="1089"/>
      <c r="AL785" s="1090"/>
      <c r="AM785" s="1086"/>
      <c r="AN785" s="1086"/>
      <c r="AO785" s="1087"/>
      <c r="AP785" s="1076"/>
      <c r="AQ785" s="1087"/>
      <c r="AR785" s="1076"/>
      <c r="AS785" s="1076"/>
      <c r="AT785" s="1086"/>
      <c r="AU785" s="1088"/>
      <c r="AV785" s="1235"/>
    </row>
    <row r="786" spans="1:48" ht="16.5" customHeight="1">
      <c r="A786" s="1073"/>
      <c r="B786" s="1082"/>
      <c r="C786" s="1083"/>
      <c r="D786" s="1125"/>
      <c r="E786" s="1280"/>
      <c r="F786" s="1138"/>
      <c r="G786" s="1074"/>
      <c r="H786" s="1077"/>
      <c r="I786" s="1127"/>
      <c r="J786" s="1128"/>
      <c r="K786" s="1067"/>
      <c r="L786" s="1221"/>
      <c r="M786" s="1075"/>
      <c r="N786" s="1074" t="s">
        <v>53</v>
      </c>
      <c r="O786" s="1123" t="s">
        <v>188</v>
      </c>
      <c r="P786" s="1075"/>
      <c r="Q786" s="1081">
        <v>17.3</v>
      </c>
      <c r="R786" s="1038"/>
      <c r="S786" s="1074"/>
      <c r="T786" s="1075"/>
      <c r="U786" s="1091"/>
      <c r="V786" s="1076"/>
      <c r="W786" s="1079"/>
      <c r="X786" s="1078"/>
      <c r="Y786" s="1039"/>
      <c r="Z786" s="1134"/>
      <c r="AA786" s="1074"/>
      <c r="AB786" s="1077"/>
      <c r="AC786" s="1073"/>
      <c r="AD786" s="1091"/>
      <c r="AE786" s="1076"/>
      <c r="AF786" s="1085"/>
      <c r="AG786" s="1086"/>
      <c r="AH786" s="1087">
        <v>350000</v>
      </c>
      <c r="AI786" s="1087">
        <f t="shared" si="66"/>
        <v>3027500</v>
      </c>
      <c r="AJ786" s="1088"/>
      <c r="AK786" s="1089"/>
      <c r="AL786" s="1090"/>
      <c r="AM786" s="1086"/>
      <c r="AN786" s="1086"/>
      <c r="AO786" s="1087"/>
      <c r="AP786" s="1076"/>
      <c r="AQ786" s="1087"/>
      <c r="AR786" s="1076"/>
      <c r="AS786" s="1076"/>
      <c r="AT786" s="1086"/>
      <c r="AU786" s="1088"/>
      <c r="AV786" s="1235"/>
    </row>
    <row r="787" spans="1:48" ht="16.5" customHeight="1">
      <c r="A787" s="1073"/>
      <c r="B787" s="1082"/>
      <c r="C787" s="1083"/>
      <c r="D787" s="1125"/>
      <c r="E787" s="1280"/>
      <c r="F787" s="1138"/>
      <c r="G787" s="1074"/>
      <c r="H787" s="1077"/>
      <c r="I787" s="1127"/>
      <c r="J787" s="1128"/>
      <c r="K787" s="1067"/>
      <c r="L787" s="1221"/>
      <c r="M787" s="1075"/>
      <c r="N787" s="1074"/>
      <c r="O787" s="1126"/>
      <c r="P787" s="1073"/>
      <c r="Q787" s="1077"/>
      <c r="R787" s="1038"/>
      <c r="S787" s="1074"/>
      <c r="T787" s="1075"/>
      <c r="U787" s="1091"/>
      <c r="V787" s="1076"/>
      <c r="W787" s="1079"/>
      <c r="X787" s="1078"/>
      <c r="Y787" s="1039"/>
      <c r="Z787" s="1134"/>
      <c r="AA787" s="1074"/>
      <c r="AB787" s="1077"/>
      <c r="AC787" s="1073"/>
      <c r="AD787" s="1091"/>
      <c r="AE787" s="1076"/>
      <c r="AF787" s="1085"/>
      <c r="AG787" s="1086"/>
      <c r="AH787" s="1087"/>
      <c r="AI787" s="1087"/>
      <c r="AJ787" s="1088"/>
      <c r="AK787" s="1089"/>
      <c r="AL787" s="1090"/>
      <c r="AM787" s="1086"/>
      <c r="AN787" s="1086"/>
      <c r="AO787" s="1087"/>
      <c r="AP787" s="1076"/>
      <c r="AQ787" s="1087"/>
      <c r="AR787" s="1076"/>
      <c r="AS787" s="1076"/>
      <c r="AT787" s="1086"/>
      <c r="AU787" s="1088"/>
      <c r="AV787" s="1235"/>
    </row>
    <row r="788" spans="1:48" ht="16.5" customHeight="1">
      <c r="A788" s="1107"/>
      <c r="B788" s="1098"/>
      <c r="C788" s="1283"/>
      <c r="D788" s="1284"/>
      <c r="E788" s="1285"/>
      <c r="F788" s="1150"/>
      <c r="G788" s="1094"/>
      <c r="H788" s="1151"/>
      <c r="I788" s="1152"/>
      <c r="J788" s="1153"/>
      <c r="K788" s="1101"/>
      <c r="L788" s="1224"/>
      <c r="M788" s="1168"/>
      <c r="N788" s="1094"/>
      <c r="O788" s="1156"/>
      <c r="P788" s="1107"/>
      <c r="Q788" s="1151"/>
      <c r="R788" s="1095"/>
      <c r="S788" s="1094"/>
      <c r="T788" s="1168"/>
      <c r="U788" s="1109"/>
      <c r="V788" s="1108"/>
      <c r="W788" s="1111"/>
      <c r="X788" s="1110"/>
      <c r="Y788" s="1096"/>
      <c r="Z788" s="1286"/>
      <c r="AA788" s="1094"/>
      <c r="AB788" s="1151"/>
      <c r="AC788" s="1107"/>
      <c r="AD788" s="1109"/>
      <c r="AE788" s="1108"/>
      <c r="AF788" s="1115"/>
      <c r="AG788" s="1116"/>
      <c r="AH788" s="1117"/>
      <c r="AI788" s="1117"/>
      <c r="AJ788" s="1118"/>
      <c r="AK788" s="1119"/>
      <c r="AL788" s="1120"/>
      <c r="AM788" s="1116"/>
      <c r="AN788" s="1116"/>
      <c r="AO788" s="1117"/>
      <c r="AP788" s="1108"/>
      <c r="AQ788" s="1117"/>
      <c r="AR788" s="1108"/>
      <c r="AS788" s="1108"/>
      <c r="AT788" s="1116"/>
      <c r="AU788" s="1118"/>
      <c r="AV788" s="1287"/>
    </row>
    <row r="789" spans="1:48" ht="16.5" customHeight="1">
      <c r="A789" s="1169">
        <v>59</v>
      </c>
      <c r="B789" s="1033" t="s">
        <v>25</v>
      </c>
      <c r="C789" s="1036" t="s">
        <v>1052</v>
      </c>
      <c r="D789" s="1170"/>
      <c r="E789" s="1034"/>
      <c r="F789" s="1375" t="s">
        <v>1719</v>
      </c>
      <c r="G789" s="1172" t="s">
        <v>25</v>
      </c>
      <c r="H789" s="1173" t="s">
        <v>1540</v>
      </c>
      <c r="I789" s="1275">
        <v>1458</v>
      </c>
      <c r="J789" s="1175" t="s">
        <v>41</v>
      </c>
      <c r="K789" s="1041" t="s">
        <v>1718</v>
      </c>
      <c r="L789" s="1276"/>
      <c r="M789" s="1048"/>
      <c r="N789" s="1555" t="s">
        <v>1717</v>
      </c>
      <c r="O789" s="1556"/>
      <c r="P789" s="1048"/>
      <c r="Q789" s="1054"/>
      <c r="R789" s="1035"/>
      <c r="S789" s="1034" t="s">
        <v>15</v>
      </c>
      <c r="T789" s="1053"/>
      <c r="U789" s="1238">
        <v>1</v>
      </c>
      <c r="V789" s="1319" t="s">
        <v>344</v>
      </c>
      <c r="W789" s="1052">
        <v>6</v>
      </c>
      <c r="X789" s="1051"/>
      <c r="Y789" s="1036"/>
      <c r="Z789" s="1134">
        <f t="shared" ref="Z789" si="67">SUM(W789:Y789)</f>
        <v>6</v>
      </c>
      <c r="AA789" s="1034"/>
      <c r="AB789" s="1050"/>
      <c r="AC789" s="1047"/>
      <c r="AD789" s="1180"/>
      <c r="AE789" s="1049"/>
      <c r="AF789" s="1056">
        <f>Resum!F1</f>
        <v>356000</v>
      </c>
      <c r="AG789" s="1086">
        <f>AF789*I789</f>
        <v>519048000</v>
      </c>
      <c r="AH789" s="1058"/>
      <c r="AI789" s="1058"/>
      <c r="AJ789" s="1135">
        <f>SUM(AI789:AI808)</f>
        <v>336164100</v>
      </c>
      <c r="AK789" s="1060">
        <v>150000</v>
      </c>
      <c r="AL789" s="1090">
        <f t="shared" si="64"/>
        <v>900000</v>
      </c>
      <c r="AM789" s="1057">
        <f>SUM(AL789:AL806)</f>
        <v>4855000</v>
      </c>
      <c r="AN789" s="1086">
        <f>AM789+AJ789+AG789</f>
        <v>860067100</v>
      </c>
      <c r="AO789" s="1058"/>
      <c r="AP789" s="1136">
        <f>(AI790+297972000)*15%</f>
        <v>69505200</v>
      </c>
      <c r="AQ789" s="1087">
        <f>(AG789+AI790)*0.5%</f>
        <v>3422220</v>
      </c>
      <c r="AR789" s="1136">
        <f>(AG789+AI790)*5%</f>
        <v>34222200</v>
      </c>
      <c r="AS789" s="1087">
        <f>0.5%*(AG789+AI790)*(3)</f>
        <v>10266660</v>
      </c>
      <c r="AT789" s="1086">
        <f>+AS789+AR789+AQ789+AP789+AO789</f>
        <v>117416280</v>
      </c>
      <c r="AU789" s="1137">
        <f>ROUND(AT789+AN789,-3)</f>
        <v>977483000</v>
      </c>
      <c r="AV789" s="1279"/>
    </row>
    <row r="790" spans="1:48" ht="33" customHeight="1">
      <c r="A790" s="1073"/>
      <c r="B790" s="1038" t="s">
        <v>16</v>
      </c>
      <c r="C790" s="1071" t="s">
        <v>1049</v>
      </c>
      <c r="D790" s="1074"/>
      <c r="E790" s="1063"/>
      <c r="F790" s="1138"/>
      <c r="G790" s="1074" t="s">
        <v>16</v>
      </c>
      <c r="H790" s="1074" t="s">
        <v>22</v>
      </c>
      <c r="I790" s="1127"/>
      <c r="J790" s="1128"/>
      <c r="K790" s="1067"/>
      <c r="L790" s="1221"/>
      <c r="M790" s="1075"/>
      <c r="N790" s="1122" t="s">
        <v>25</v>
      </c>
      <c r="O790" s="1293" t="s">
        <v>62</v>
      </c>
      <c r="P790" s="1075"/>
      <c r="Q790" s="1081">
        <v>107.4</v>
      </c>
      <c r="R790" s="1038"/>
      <c r="S790" s="1074"/>
      <c r="T790" s="1080"/>
      <c r="U790" s="1091"/>
      <c r="V790" s="1185" t="s">
        <v>344</v>
      </c>
      <c r="W790" s="1079"/>
      <c r="X790" s="1078">
        <v>1</v>
      </c>
      <c r="Y790" s="1039"/>
      <c r="Z790" s="1134">
        <f>SUM(W791:Y791)</f>
        <v>1</v>
      </c>
      <c r="AA790" s="1074"/>
      <c r="AB790" s="1077"/>
      <c r="AC790" s="1073"/>
      <c r="AD790" s="1091"/>
      <c r="AE790" s="1076"/>
      <c r="AF790" s="1085"/>
      <c r="AG790" s="1086"/>
      <c r="AH790" s="1087">
        <v>2200000</v>
      </c>
      <c r="AI790" s="1087">
        <f>AH790*Q790*0.7</f>
        <v>165396000</v>
      </c>
      <c r="AJ790" s="1135"/>
      <c r="AK790" s="1089">
        <v>99000</v>
      </c>
      <c r="AL790" s="1090">
        <f>AK790*X790</f>
        <v>99000</v>
      </c>
      <c r="AM790" s="1086"/>
      <c r="AN790" s="1086"/>
      <c r="AO790" s="1087"/>
      <c r="AP790" s="1076"/>
      <c r="AQ790" s="1087"/>
      <c r="AR790" s="1076"/>
      <c r="AS790" s="1076"/>
      <c r="AT790" s="1086"/>
      <c r="AU790" s="1088"/>
      <c r="AV790" s="1235"/>
    </row>
    <row r="791" spans="1:48" ht="16.5" customHeight="1">
      <c r="A791" s="1073"/>
      <c r="B791" s="1038" t="s">
        <v>18</v>
      </c>
      <c r="C791" s="1083" t="s">
        <v>124</v>
      </c>
      <c r="D791" s="1074"/>
      <c r="E791" s="1074"/>
      <c r="F791" s="1138"/>
      <c r="G791" s="1074" t="s">
        <v>18</v>
      </c>
      <c r="H791" s="1074" t="s">
        <v>19</v>
      </c>
      <c r="I791" s="1127"/>
      <c r="J791" s="1128"/>
      <c r="K791" s="1067"/>
      <c r="L791" s="1221"/>
      <c r="M791" s="1075"/>
      <c r="N791" s="1074" t="s">
        <v>16</v>
      </c>
      <c r="O791" s="1123" t="s">
        <v>21</v>
      </c>
      <c r="P791" s="1075"/>
      <c r="Q791" s="1081">
        <v>11.8</v>
      </c>
      <c r="R791" s="1038"/>
      <c r="S791" s="1074"/>
      <c r="T791" s="1075"/>
      <c r="U791" s="1091">
        <v>2</v>
      </c>
      <c r="V791" s="1185" t="s">
        <v>3</v>
      </c>
      <c r="W791" s="1079">
        <v>1</v>
      </c>
      <c r="X791" s="1078"/>
      <c r="Y791" s="1039"/>
      <c r="Z791" s="1134">
        <f>SUM(W792:Y792)</f>
        <v>7</v>
      </c>
      <c r="AA791" s="1074"/>
      <c r="AB791" s="1077"/>
      <c r="AC791" s="1073"/>
      <c r="AD791" s="1091"/>
      <c r="AE791" s="1076"/>
      <c r="AF791" s="1085"/>
      <c r="AG791" s="1086"/>
      <c r="AH791" s="1087">
        <v>250000</v>
      </c>
      <c r="AI791" s="1087">
        <f>AH791*Q791*0.6</f>
        <v>1770000</v>
      </c>
      <c r="AJ791" s="1088"/>
      <c r="AK791" s="1089">
        <v>85000</v>
      </c>
      <c r="AL791" s="1090">
        <f>AK791*W791</f>
        <v>85000</v>
      </c>
      <c r="AM791" s="1086"/>
      <c r="AN791" s="1086"/>
      <c r="AO791" s="1087"/>
      <c r="AP791" s="1076"/>
      <c r="AQ791" s="1087"/>
      <c r="AR791" s="1076"/>
      <c r="AS791" s="1076"/>
      <c r="AT791" s="1086"/>
      <c r="AU791" s="1088"/>
      <c r="AV791" s="1235"/>
    </row>
    <row r="792" spans="1:48" ht="49.5" customHeight="1">
      <c r="A792" s="1073"/>
      <c r="B792" s="1082" t="s">
        <v>12</v>
      </c>
      <c r="C792" s="1083" t="s">
        <v>210</v>
      </c>
      <c r="D792" s="1074"/>
      <c r="E792" s="1126"/>
      <c r="F792" s="1138"/>
      <c r="G792" s="1074"/>
      <c r="H792" s="1077"/>
      <c r="I792" s="1127"/>
      <c r="J792" s="1128"/>
      <c r="K792" s="1067"/>
      <c r="L792" s="1221"/>
      <c r="M792" s="1075"/>
      <c r="N792" s="1077" t="s">
        <v>18</v>
      </c>
      <c r="O792" s="1131" t="s">
        <v>191</v>
      </c>
      <c r="P792" s="1075"/>
      <c r="Q792" s="1081">
        <v>85.8</v>
      </c>
      <c r="R792" s="1038"/>
      <c r="S792" s="1074"/>
      <c r="T792" s="1075"/>
      <c r="U792" s="1091">
        <v>3</v>
      </c>
      <c r="V792" s="1185" t="s">
        <v>14</v>
      </c>
      <c r="W792" s="1079">
        <v>7</v>
      </c>
      <c r="X792" s="1078"/>
      <c r="Y792" s="1039"/>
      <c r="Z792" s="1134">
        <f>SUM(W794:Y794)</f>
        <v>2</v>
      </c>
      <c r="AA792" s="1074"/>
      <c r="AB792" s="1077"/>
      <c r="AC792" s="1073"/>
      <c r="AD792" s="1091"/>
      <c r="AE792" s="1076"/>
      <c r="AF792" s="1085"/>
      <c r="AG792" s="1086"/>
      <c r="AH792" s="1087">
        <v>430000</v>
      </c>
      <c r="AI792" s="1087">
        <f t="shared" ref="AI792:AI808" si="68">AH792*Q792*0.5</f>
        <v>18447000</v>
      </c>
      <c r="AJ792" s="1088"/>
      <c r="AK792" s="1089">
        <v>350000</v>
      </c>
      <c r="AL792" s="1087">
        <f>AK792*W792</f>
        <v>2450000</v>
      </c>
      <c r="AM792" s="1086"/>
      <c r="AN792" s="1086"/>
      <c r="AO792" s="1087"/>
      <c r="AP792" s="1076"/>
      <c r="AQ792" s="1087"/>
      <c r="AR792" s="1076"/>
      <c r="AS792" s="1076"/>
      <c r="AT792" s="1086"/>
      <c r="AU792" s="1088"/>
      <c r="AV792" s="1235"/>
    </row>
    <row r="793" spans="1:48" ht="16.5" customHeight="1">
      <c r="A793" s="1073"/>
      <c r="B793" s="1082" t="s">
        <v>8</v>
      </c>
      <c r="C793" s="1083" t="s">
        <v>1715</v>
      </c>
      <c r="D793" s="1074"/>
      <c r="E793" s="1126"/>
      <c r="F793" s="1138"/>
      <c r="G793" s="1074"/>
      <c r="H793" s="1077"/>
      <c r="I793" s="1127"/>
      <c r="J793" s="1128"/>
      <c r="K793" s="1067"/>
      <c r="L793" s="1221"/>
      <c r="M793" s="1075"/>
      <c r="N793" s="1074" t="s">
        <v>12</v>
      </c>
      <c r="O793" s="1131" t="s">
        <v>21</v>
      </c>
      <c r="P793" s="1075"/>
      <c r="Q793" s="1081">
        <v>7.8</v>
      </c>
      <c r="R793" s="1038"/>
      <c r="S793" s="1074"/>
      <c r="T793" s="1075"/>
      <c r="U793" s="1091"/>
      <c r="V793" s="1185" t="s">
        <v>14</v>
      </c>
      <c r="W793" s="1079"/>
      <c r="X793" s="1078"/>
      <c r="Y793" s="1039">
        <v>2</v>
      </c>
      <c r="Z793" s="1134">
        <f>SUM(W795:Y795)</f>
        <v>3</v>
      </c>
      <c r="AA793" s="1074"/>
      <c r="AB793" s="1077"/>
      <c r="AC793" s="1073"/>
      <c r="AD793" s="1091"/>
      <c r="AE793" s="1076"/>
      <c r="AF793" s="1085"/>
      <c r="AG793" s="1086"/>
      <c r="AH793" s="1087">
        <v>100000</v>
      </c>
      <c r="AI793" s="1087">
        <f t="shared" si="68"/>
        <v>390000</v>
      </c>
      <c r="AJ793" s="1088"/>
      <c r="AK793" s="1089">
        <v>115500</v>
      </c>
      <c r="AL793" s="1087">
        <f>AK793*Y793</f>
        <v>231000</v>
      </c>
      <c r="AM793" s="1086"/>
      <c r="AN793" s="1086"/>
      <c r="AO793" s="1087"/>
      <c r="AP793" s="1076"/>
      <c r="AQ793" s="1087"/>
      <c r="AR793" s="1076"/>
      <c r="AS793" s="1076"/>
      <c r="AT793" s="1086"/>
      <c r="AU793" s="1088"/>
      <c r="AV793" s="1235"/>
    </row>
    <row r="794" spans="1:48" ht="16.5" customHeight="1">
      <c r="A794" s="1073"/>
      <c r="B794" s="1082"/>
      <c r="C794" s="1083"/>
      <c r="D794" s="1074"/>
      <c r="E794" s="1126"/>
      <c r="F794" s="1138"/>
      <c r="G794" s="1074"/>
      <c r="H794" s="1077"/>
      <c r="I794" s="1127"/>
      <c r="J794" s="1128"/>
      <c r="K794" s="1067"/>
      <c r="L794" s="1221"/>
      <c r="M794" s="1075"/>
      <c r="N794" s="1074" t="s">
        <v>8</v>
      </c>
      <c r="O794" s="1131" t="s">
        <v>21</v>
      </c>
      <c r="P794" s="1075"/>
      <c r="Q794" s="1081">
        <v>7.8</v>
      </c>
      <c r="R794" s="1038"/>
      <c r="S794" s="1074"/>
      <c r="T794" s="1075"/>
      <c r="U794" s="1091">
        <v>4</v>
      </c>
      <c r="V794" s="1185" t="s">
        <v>1716</v>
      </c>
      <c r="W794" s="1079">
        <v>2</v>
      </c>
      <c r="X794" s="1078"/>
      <c r="Y794" s="1092"/>
      <c r="Z794" s="1134">
        <f>SUM(W796:Y796)</f>
        <v>2</v>
      </c>
      <c r="AA794" s="1074"/>
      <c r="AB794" s="1077"/>
      <c r="AC794" s="1073"/>
      <c r="AD794" s="1091"/>
      <c r="AE794" s="1076"/>
      <c r="AF794" s="1085"/>
      <c r="AG794" s="1086"/>
      <c r="AH794" s="1087">
        <v>100000</v>
      </c>
      <c r="AI794" s="1087">
        <f t="shared" si="68"/>
        <v>390000</v>
      </c>
      <c r="AJ794" s="1088"/>
      <c r="AK794" s="1089">
        <v>10000</v>
      </c>
      <c r="AL794" s="1090">
        <f>AK794*W794</f>
        <v>20000</v>
      </c>
      <c r="AM794" s="1086"/>
      <c r="AN794" s="1086"/>
      <c r="AO794" s="1087"/>
      <c r="AP794" s="1076"/>
      <c r="AQ794" s="1087"/>
      <c r="AR794" s="1076"/>
      <c r="AS794" s="1076"/>
      <c r="AT794" s="1086"/>
      <c r="AU794" s="1088"/>
      <c r="AV794" s="1235"/>
    </row>
    <row r="795" spans="1:48" ht="16.5" customHeight="1">
      <c r="A795" s="1073"/>
      <c r="B795" s="1082"/>
      <c r="C795" s="1083"/>
      <c r="D795" s="1074"/>
      <c r="E795" s="1126"/>
      <c r="F795" s="1138"/>
      <c r="G795" s="1074"/>
      <c r="H795" s="1077"/>
      <c r="I795" s="1127"/>
      <c r="J795" s="1128"/>
      <c r="K795" s="1067"/>
      <c r="L795" s="1221"/>
      <c r="M795" s="1075"/>
      <c r="N795" s="1074" t="s">
        <v>54</v>
      </c>
      <c r="O795" s="1123" t="s">
        <v>59</v>
      </c>
      <c r="P795" s="1075"/>
      <c r="Q795" s="1081">
        <v>29.25</v>
      </c>
      <c r="R795" s="1038"/>
      <c r="S795" s="1074"/>
      <c r="T795" s="1075"/>
      <c r="U795" s="1091">
        <v>5</v>
      </c>
      <c r="V795" s="1185" t="s">
        <v>1714</v>
      </c>
      <c r="W795" s="1079"/>
      <c r="X795" s="1078">
        <v>3</v>
      </c>
      <c r="Y795" s="1039"/>
      <c r="Z795" s="1134">
        <f t="shared" ref="Z795:Z802" si="69">SUM(W798:Y798)</f>
        <v>4</v>
      </c>
      <c r="AA795" s="1074"/>
      <c r="AB795" s="1077"/>
      <c r="AC795" s="1073"/>
      <c r="AD795" s="1091"/>
      <c r="AE795" s="1076"/>
      <c r="AF795" s="1085"/>
      <c r="AG795" s="1086"/>
      <c r="AH795" s="1087">
        <v>180000</v>
      </c>
      <c r="AI795" s="1087">
        <f t="shared" si="68"/>
        <v>2632500</v>
      </c>
      <c r="AJ795" s="1088"/>
      <c r="AK795" s="1089">
        <v>82500</v>
      </c>
      <c r="AL795" s="1090">
        <f>AK795*X795</f>
        <v>247500</v>
      </c>
      <c r="AM795" s="1086"/>
      <c r="AN795" s="1086"/>
      <c r="AO795" s="1087"/>
      <c r="AP795" s="1076"/>
      <c r="AQ795" s="1087"/>
      <c r="AR795" s="1076"/>
      <c r="AS795" s="1076"/>
      <c r="AT795" s="1086"/>
      <c r="AU795" s="1088"/>
      <c r="AV795" s="1235"/>
    </row>
    <row r="796" spans="1:48" ht="16.5" customHeight="1">
      <c r="A796" s="1073"/>
      <c r="B796" s="1082"/>
      <c r="C796" s="1083"/>
      <c r="D796" s="1074"/>
      <c r="E796" s="1126"/>
      <c r="F796" s="1138"/>
      <c r="G796" s="1074"/>
      <c r="H796" s="1077"/>
      <c r="I796" s="1127"/>
      <c r="J796" s="1128"/>
      <c r="K796" s="1067"/>
      <c r="L796" s="1221"/>
      <c r="M796" s="1075"/>
      <c r="N796" s="1074" t="s">
        <v>53</v>
      </c>
      <c r="O796" s="1123" t="s">
        <v>17</v>
      </c>
      <c r="P796" s="1075">
        <v>1</v>
      </c>
      <c r="Q796" s="1081"/>
      <c r="R796" s="1038"/>
      <c r="S796" s="1074"/>
      <c r="T796" s="1075"/>
      <c r="U796" s="1091">
        <v>6</v>
      </c>
      <c r="V796" s="1185" t="s">
        <v>139</v>
      </c>
      <c r="W796" s="1079">
        <v>2</v>
      </c>
      <c r="X796" s="1078"/>
      <c r="Y796" s="1039"/>
      <c r="Z796" s="1134">
        <f t="shared" si="69"/>
        <v>2</v>
      </c>
      <c r="AA796" s="1074"/>
      <c r="AB796" s="1077"/>
      <c r="AC796" s="1073"/>
      <c r="AD796" s="1091"/>
      <c r="AE796" s="1076"/>
      <c r="AF796" s="1085"/>
      <c r="AG796" s="1086"/>
      <c r="AH796" s="1087">
        <v>2500000</v>
      </c>
      <c r="AI796" s="1087">
        <f>AH796*P796*0.5</f>
        <v>1250000</v>
      </c>
      <c r="AJ796" s="1088"/>
      <c r="AK796" s="1089">
        <v>75000</v>
      </c>
      <c r="AL796" s="1090">
        <f>AK796*W796</f>
        <v>150000</v>
      </c>
      <c r="AM796" s="1086"/>
      <c r="AN796" s="1086"/>
      <c r="AO796" s="1087"/>
      <c r="AP796" s="1076"/>
      <c r="AQ796" s="1087"/>
      <c r="AR796" s="1076"/>
      <c r="AS796" s="1076"/>
      <c r="AT796" s="1086"/>
      <c r="AU796" s="1088"/>
      <c r="AV796" s="1235"/>
    </row>
    <row r="797" spans="1:48" ht="16.5" customHeight="1">
      <c r="A797" s="1073"/>
      <c r="B797" s="1082"/>
      <c r="C797" s="1083"/>
      <c r="D797" s="1074"/>
      <c r="E797" s="1126"/>
      <c r="F797" s="1138"/>
      <c r="G797" s="1074"/>
      <c r="H797" s="1077"/>
      <c r="I797" s="1127"/>
      <c r="J797" s="1128"/>
      <c r="K797" s="1067"/>
      <c r="L797" s="1221"/>
      <c r="M797" s="1075"/>
      <c r="N797" s="1074" t="s">
        <v>51</v>
      </c>
      <c r="O797" s="1123" t="s">
        <v>11</v>
      </c>
      <c r="P797" s="1075">
        <v>1</v>
      </c>
      <c r="Q797" s="1081"/>
      <c r="R797" s="1038"/>
      <c r="S797" s="1074"/>
      <c r="T797" s="1075"/>
      <c r="U797" s="1091"/>
      <c r="V797" s="1185" t="s">
        <v>139</v>
      </c>
      <c r="W797" s="1079"/>
      <c r="X797" s="1078"/>
      <c r="Y797" s="1039">
        <v>6</v>
      </c>
      <c r="Z797" s="1134">
        <f t="shared" si="69"/>
        <v>1</v>
      </c>
      <c r="AA797" s="1074"/>
      <c r="AB797" s="1077"/>
      <c r="AC797" s="1073"/>
      <c r="AD797" s="1091"/>
      <c r="AE797" s="1076"/>
      <c r="AF797" s="1085"/>
      <c r="AG797" s="1086"/>
      <c r="AH797" s="1087">
        <v>2500000</v>
      </c>
      <c r="AI797" s="1087">
        <f>AH797*P797*0.75</f>
        <v>1875000</v>
      </c>
      <c r="AJ797" s="1088"/>
      <c r="AK797" s="1089">
        <v>24750</v>
      </c>
      <c r="AL797" s="1090">
        <f>AK797*Y797</f>
        <v>148500</v>
      </c>
      <c r="AM797" s="1086"/>
      <c r="AN797" s="1086"/>
      <c r="AO797" s="1087"/>
      <c r="AP797" s="1076"/>
      <c r="AQ797" s="1087"/>
      <c r="AR797" s="1076"/>
      <c r="AS797" s="1076"/>
      <c r="AT797" s="1086"/>
      <c r="AU797" s="1088"/>
      <c r="AV797" s="1235"/>
    </row>
    <row r="798" spans="1:48" ht="16.5" customHeight="1">
      <c r="A798" s="1073"/>
      <c r="B798" s="1082"/>
      <c r="C798" s="1083"/>
      <c r="D798" s="1074"/>
      <c r="E798" s="1126"/>
      <c r="F798" s="1138"/>
      <c r="G798" s="1074"/>
      <c r="H798" s="1077"/>
      <c r="I798" s="1127"/>
      <c r="J798" s="1128"/>
      <c r="K798" s="1067"/>
      <c r="L798" s="1221"/>
      <c r="M798" s="1075"/>
      <c r="N798" s="1074"/>
      <c r="O798" s="1123"/>
      <c r="P798" s="1075"/>
      <c r="Q798" s="1081"/>
      <c r="R798" s="1038"/>
      <c r="S798" s="1074"/>
      <c r="T798" s="1075"/>
      <c r="U798" s="1091">
        <v>7</v>
      </c>
      <c r="V798" s="1185" t="s">
        <v>808</v>
      </c>
      <c r="W798" s="1079"/>
      <c r="X798" s="1078"/>
      <c r="Y798" s="1039">
        <v>4</v>
      </c>
      <c r="Z798" s="1134">
        <f t="shared" si="69"/>
        <v>1</v>
      </c>
      <c r="AA798" s="1074"/>
      <c r="AB798" s="1077"/>
      <c r="AC798" s="1073"/>
      <c r="AD798" s="1091"/>
      <c r="AE798" s="1076"/>
      <c r="AF798" s="1085"/>
      <c r="AG798" s="1086"/>
      <c r="AH798" s="1087"/>
      <c r="AI798" s="1087">
        <f t="shared" si="68"/>
        <v>0</v>
      </c>
      <c r="AJ798" s="1088"/>
      <c r="AK798" s="1089">
        <v>41200</v>
      </c>
      <c r="AL798" s="1090">
        <f>AK798*Y798</f>
        <v>164800</v>
      </c>
      <c r="AM798" s="1086"/>
      <c r="AN798" s="1086"/>
      <c r="AO798" s="1087"/>
      <c r="AP798" s="1076"/>
      <c r="AQ798" s="1087"/>
      <c r="AR798" s="1076"/>
      <c r="AS798" s="1076"/>
      <c r="AT798" s="1086"/>
      <c r="AU798" s="1088"/>
      <c r="AV798" s="1235"/>
    </row>
    <row r="799" spans="1:48" ht="16.5" customHeight="1">
      <c r="A799" s="1073"/>
      <c r="B799" s="1082"/>
      <c r="C799" s="1083"/>
      <c r="D799" s="1074"/>
      <c r="E799" s="1126"/>
      <c r="F799" s="1138"/>
      <c r="G799" s="1074"/>
      <c r="H799" s="1077"/>
      <c r="I799" s="1127"/>
      <c r="J799" s="1128"/>
      <c r="K799" s="1067"/>
      <c r="L799" s="1221"/>
      <c r="M799" s="1075"/>
      <c r="N799" s="1074"/>
      <c r="O799" s="1123"/>
      <c r="P799" s="1075"/>
      <c r="Q799" s="1081"/>
      <c r="R799" s="1038"/>
      <c r="S799" s="1074"/>
      <c r="T799" s="1075"/>
      <c r="U799" s="1091">
        <v>8</v>
      </c>
      <c r="V799" s="1185" t="s">
        <v>264</v>
      </c>
      <c r="W799" s="1241">
        <v>0</v>
      </c>
      <c r="X799" s="1078">
        <v>2</v>
      </c>
      <c r="Y799" s="1039"/>
      <c r="Z799" s="1134">
        <f t="shared" si="69"/>
        <v>1</v>
      </c>
      <c r="AA799" s="1074"/>
      <c r="AB799" s="1077"/>
      <c r="AC799" s="1073"/>
      <c r="AD799" s="1091"/>
      <c r="AE799" s="1076"/>
      <c r="AF799" s="1085"/>
      <c r="AG799" s="1086"/>
      <c r="AH799" s="1087"/>
      <c r="AI799" s="1087">
        <f t="shared" si="68"/>
        <v>0</v>
      </c>
      <c r="AJ799" s="1088"/>
      <c r="AK799" s="1089">
        <v>48500</v>
      </c>
      <c r="AL799" s="1090">
        <f>AK799*X799</f>
        <v>97000</v>
      </c>
      <c r="AM799" s="1086"/>
      <c r="AN799" s="1086"/>
      <c r="AO799" s="1087"/>
      <c r="AP799" s="1076"/>
      <c r="AQ799" s="1087"/>
      <c r="AR799" s="1076"/>
      <c r="AS799" s="1076"/>
      <c r="AT799" s="1086"/>
      <c r="AU799" s="1088"/>
      <c r="AV799" s="1235"/>
    </row>
    <row r="800" spans="1:48" ht="16.5" customHeight="1">
      <c r="A800" s="1073"/>
      <c r="B800" s="1082"/>
      <c r="C800" s="1083"/>
      <c r="D800" s="1074"/>
      <c r="E800" s="1126"/>
      <c r="F800" s="1138"/>
      <c r="G800" s="1074"/>
      <c r="H800" s="1077"/>
      <c r="I800" s="1127"/>
      <c r="J800" s="1128"/>
      <c r="K800" s="1067"/>
      <c r="L800" s="1221"/>
      <c r="M800" s="1075"/>
      <c r="N800" s="1547" t="s">
        <v>1713</v>
      </c>
      <c r="O800" s="1191"/>
      <c r="P800" s="1075"/>
      <c r="Q800" s="1081"/>
      <c r="R800" s="1038"/>
      <c r="S800" s="1074"/>
      <c r="T800" s="1075"/>
      <c r="U800" s="1091">
        <v>9</v>
      </c>
      <c r="V800" s="1185" t="s">
        <v>1136</v>
      </c>
      <c r="W800" s="1079">
        <v>1</v>
      </c>
      <c r="X800" s="1078"/>
      <c r="Y800" s="1039"/>
      <c r="Z800" s="1134">
        <f t="shared" si="69"/>
        <v>1</v>
      </c>
      <c r="AA800" s="1074"/>
      <c r="AB800" s="1077"/>
      <c r="AC800" s="1073"/>
      <c r="AD800" s="1091"/>
      <c r="AE800" s="1076"/>
      <c r="AF800" s="1085"/>
      <c r="AG800" s="1086"/>
      <c r="AH800" s="1087"/>
      <c r="AI800" s="1087">
        <f t="shared" si="68"/>
        <v>0</v>
      </c>
      <c r="AJ800" s="1088"/>
      <c r="AK800" s="1089">
        <v>10000</v>
      </c>
      <c r="AL800" s="1090">
        <f>AK800*W800</f>
        <v>10000</v>
      </c>
      <c r="AM800" s="1086"/>
      <c r="AN800" s="1086"/>
      <c r="AO800" s="1087"/>
      <c r="AP800" s="1076"/>
      <c r="AQ800" s="1087"/>
      <c r="AR800" s="1076"/>
      <c r="AS800" s="1076"/>
      <c r="AT800" s="1086"/>
      <c r="AU800" s="1088"/>
      <c r="AV800" s="1235"/>
    </row>
    <row r="801" spans="1:48" ht="16.5" customHeight="1">
      <c r="A801" s="1073"/>
      <c r="B801" s="1082"/>
      <c r="C801" s="1083"/>
      <c r="D801" s="1074"/>
      <c r="E801" s="1126"/>
      <c r="F801" s="1138"/>
      <c r="G801" s="1074"/>
      <c r="H801" s="1077"/>
      <c r="I801" s="1127"/>
      <c r="J801" s="1128"/>
      <c r="K801" s="1067"/>
      <c r="L801" s="1221"/>
      <c r="M801" s="1075"/>
      <c r="N801" s="1122" t="s">
        <v>25</v>
      </c>
      <c r="O801" s="1293" t="s">
        <v>26</v>
      </c>
      <c r="P801" s="1075"/>
      <c r="Q801" s="1081">
        <v>82.77</v>
      </c>
      <c r="R801" s="1038"/>
      <c r="S801" s="1074"/>
      <c r="T801" s="1075"/>
      <c r="U801" s="1091">
        <v>10</v>
      </c>
      <c r="V801" s="1185" t="s">
        <v>136</v>
      </c>
      <c r="W801" s="1079">
        <v>1</v>
      </c>
      <c r="X801" s="1078"/>
      <c r="Y801" s="1039"/>
      <c r="Z801" s="1134">
        <f t="shared" si="69"/>
        <v>29</v>
      </c>
      <c r="AA801" s="1074"/>
      <c r="AB801" s="1077"/>
      <c r="AC801" s="1073"/>
      <c r="AD801" s="1091"/>
      <c r="AE801" s="1076"/>
      <c r="AF801" s="1085"/>
      <c r="AG801" s="1086"/>
      <c r="AH801" s="1087">
        <v>2200000</v>
      </c>
      <c r="AI801" s="1087">
        <f>AH801*Q801*0.65</f>
        <v>118361100</v>
      </c>
      <c r="AJ801" s="1088"/>
      <c r="AK801" s="1089">
        <v>46200</v>
      </c>
      <c r="AL801" s="1090">
        <f>AK801*W801</f>
        <v>46200</v>
      </c>
      <c r="AM801" s="1086"/>
      <c r="AN801" s="1086"/>
      <c r="AO801" s="1087"/>
      <c r="AP801" s="1076"/>
      <c r="AQ801" s="1087"/>
      <c r="AR801" s="1076"/>
      <c r="AS801" s="1076"/>
      <c r="AT801" s="1086"/>
      <c r="AU801" s="1088"/>
      <c r="AV801" s="1235"/>
    </row>
    <row r="802" spans="1:48" ht="16.5" customHeight="1">
      <c r="A802" s="1073"/>
      <c r="B802" s="1082"/>
      <c r="C802" s="1083"/>
      <c r="D802" s="1074"/>
      <c r="E802" s="1126"/>
      <c r="F802" s="1138"/>
      <c r="G802" s="1074"/>
      <c r="H802" s="1077"/>
      <c r="I802" s="1127"/>
      <c r="J802" s="1128"/>
      <c r="K802" s="1067"/>
      <c r="L802" s="1221"/>
      <c r="M802" s="1075"/>
      <c r="N802" s="1074" t="s">
        <v>16</v>
      </c>
      <c r="O802" s="1123" t="s">
        <v>21</v>
      </c>
      <c r="P802" s="1075"/>
      <c r="Q802" s="1081">
        <v>6</v>
      </c>
      <c r="R802" s="1038"/>
      <c r="S802" s="1074"/>
      <c r="T802" s="1075"/>
      <c r="U802" s="1091">
        <v>11</v>
      </c>
      <c r="V802" s="1185" t="s">
        <v>268</v>
      </c>
      <c r="W802" s="1079"/>
      <c r="X802" s="1078"/>
      <c r="Y802" s="1039">
        <v>1</v>
      </c>
      <c r="Z802" s="1134">
        <f t="shared" si="69"/>
        <v>5</v>
      </c>
      <c r="AA802" s="1074"/>
      <c r="AB802" s="1077"/>
      <c r="AC802" s="1073"/>
      <c r="AD802" s="1091"/>
      <c r="AE802" s="1076"/>
      <c r="AF802" s="1085"/>
      <c r="AG802" s="1086"/>
      <c r="AH802" s="1087">
        <v>350000</v>
      </c>
      <c r="AI802" s="1087">
        <f>AH802*Q802*0.65</f>
        <v>1365000</v>
      </c>
      <c r="AJ802" s="1088"/>
      <c r="AK802" s="1089">
        <v>66000</v>
      </c>
      <c r="AL802" s="1090">
        <f>AK802*Y802</f>
        <v>66000</v>
      </c>
      <c r="AM802" s="1086"/>
      <c r="AN802" s="1086"/>
      <c r="AO802" s="1087"/>
      <c r="AP802" s="1076"/>
      <c r="AQ802" s="1087"/>
      <c r="AR802" s="1076"/>
      <c r="AS802" s="1076"/>
      <c r="AT802" s="1086"/>
      <c r="AU802" s="1088"/>
      <c r="AV802" s="1235"/>
    </row>
    <row r="803" spans="1:48" ht="16.5" customHeight="1">
      <c r="A803" s="1073"/>
      <c r="B803" s="1082"/>
      <c r="C803" s="1083"/>
      <c r="D803" s="1074"/>
      <c r="E803" s="1126"/>
      <c r="F803" s="1138"/>
      <c r="G803" s="1074"/>
      <c r="H803" s="1077"/>
      <c r="I803" s="1127"/>
      <c r="J803" s="1128"/>
      <c r="K803" s="1067"/>
      <c r="L803" s="1221"/>
      <c r="M803" s="1075"/>
      <c r="N803" s="1077" t="s">
        <v>18</v>
      </c>
      <c r="O803" s="1131" t="s">
        <v>17</v>
      </c>
      <c r="P803" s="1075">
        <v>1</v>
      </c>
      <c r="Q803" s="1081"/>
      <c r="R803" s="1038"/>
      <c r="S803" s="1074"/>
      <c r="T803" s="1075"/>
      <c r="U803" s="1091">
        <v>12</v>
      </c>
      <c r="V803" s="1185" t="s">
        <v>34</v>
      </c>
      <c r="W803" s="1079">
        <v>1</v>
      </c>
      <c r="X803" s="1078"/>
      <c r="Y803" s="1039"/>
      <c r="Z803" s="1134"/>
      <c r="AA803" s="1074"/>
      <c r="AB803" s="1077"/>
      <c r="AC803" s="1073"/>
      <c r="AD803" s="1091"/>
      <c r="AE803" s="1076"/>
      <c r="AF803" s="1085"/>
      <c r="AG803" s="1086"/>
      <c r="AH803" s="1087">
        <v>2500000</v>
      </c>
      <c r="AI803" s="1087">
        <f>AH803*P803*0.5</f>
        <v>1250000</v>
      </c>
      <c r="AJ803" s="1088"/>
      <c r="AK803" s="1089">
        <v>125000</v>
      </c>
      <c r="AL803" s="1090">
        <f>AK803*W803</f>
        <v>125000</v>
      </c>
      <c r="AM803" s="1086"/>
      <c r="AN803" s="1086"/>
      <c r="AO803" s="1087"/>
      <c r="AP803" s="1076"/>
      <c r="AQ803" s="1087"/>
      <c r="AR803" s="1076"/>
      <c r="AS803" s="1076"/>
      <c r="AT803" s="1086"/>
      <c r="AU803" s="1088"/>
      <c r="AV803" s="1235"/>
    </row>
    <row r="804" spans="1:48" ht="16.5" customHeight="1">
      <c r="A804" s="1073"/>
      <c r="B804" s="1082"/>
      <c r="C804" s="1083"/>
      <c r="D804" s="1074"/>
      <c r="E804" s="1126"/>
      <c r="F804" s="1138"/>
      <c r="G804" s="1074"/>
      <c r="H804" s="1077"/>
      <c r="I804" s="1127"/>
      <c r="J804" s="1128"/>
      <c r="K804" s="1067"/>
      <c r="L804" s="1221"/>
      <c r="M804" s="1075"/>
      <c r="N804" s="1074" t="s">
        <v>12</v>
      </c>
      <c r="O804" s="1131" t="s">
        <v>11</v>
      </c>
      <c r="P804" s="1075">
        <v>1</v>
      </c>
      <c r="Q804" s="1081"/>
      <c r="R804" s="1038"/>
      <c r="S804" s="1074"/>
      <c r="T804" s="1075"/>
      <c r="U804" s="1091">
        <v>13</v>
      </c>
      <c r="V804" s="1185" t="s">
        <v>1600</v>
      </c>
      <c r="W804" s="1079">
        <v>29</v>
      </c>
      <c r="X804" s="1078"/>
      <c r="Y804" s="1039"/>
      <c r="Z804" s="1134"/>
      <c r="AA804" s="1074"/>
      <c r="AB804" s="1077"/>
      <c r="AC804" s="1073"/>
      <c r="AD804" s="1091"/>
      <c r="AE804" s="1076"/>
      <c r="AF804" s="1085"/>
      <c r="AG804" s="1086"/>
      <c r="AH804" s="1087">
        <v>2500000</v>
      </c>
      <c r="AI804" s="1087">
        <f>AH804*P804*0.75</f>
        <v>1875000</v>
      </c>
      <c r="AJ804" s="1088"/>
      <c r="AK804" s="1089"/>
      <c r="AL804" s="1090">
        <f>AK804*W804</f>
        <v>0</v>
      </c>
      <c r="AM804" s="1086"/>
      <c r="AN804" s="1086"/>
      <c r="AO804" s="1087"/>
      <c r="AP804" s="1076"/>
      <c r="AQ804" s="1087"/>
      <c r="AR804" s="1076"/>
      <c r="AS804" s="1076"/>
      <c r="AT804" s="1086"/>
      <c r="AU804" s="1088"/>
      <c r="AV804" s="1235"/>
    </row>
    <row r="805" spans="1:48" ht="16.5" customHeight="1">
      <c r="A805" s="1073"/>
      <c r="B805" s="1082"/>
      <c r="C805" s="1083"/>
      <c r="D805" s="1074"/>
      <c r="E805" s="1126"/>
      <c r="F805" s="1138"/>
      <c r="G805" s="1074"/>
      <c r="H805" s="1077"/>
      <c r="I805" s="1127"/>
      <c r="J805" s="1128"/>
      <c r="K805" s="1067"/>
      <c r="L805" s="1221"/>
      <c r="M805" s="1075"/>
      <c r="N805" s="1074"/>
      <c r="O805" s="1123"/>
      <c r="P805" s="1075"/>
      <c r="Q805" s="1081"/>
      <c r="R805" s="1038"/>
      <c r="S805" s="1074"/>
      <c r="T805" s="1075"/>
      <c r="U805" s="1091">
        <v>14</v>
      </c>
      <c r="V805" s="1185" t="s">
        <v>83</v>
      </c>
      <c r="W805" s="1079">
        <v>5</v>
      </c>
      <c r="X805" s="1078"/>
      <c r="Y805" s="1039"/>
      <c r="Z805" s="1134"/>
      <c r="AA805" s="1074"/>
      <c r="AB805" s="1077"/>
      <c r="AC805" s="1073"/>
      <c r="AD805" s="1091"/>
      <c r="AE805" s="1076"/>
      <c r="AF805" s="1085"/>
      <c r="AG805" s="1086"/>
      <c r="AH805" s="1087"/>
      <c r="AI805" s="1087">
        <f t="shared" si="68"/>
        <v>0</v>
      </c>
      <c r="AJ805" s="1088"/>
      <c r="AK805" s="1089">
        <v>3000</v>
      </c>
      <c r="AL805" s="1090">
        <f>AK805*W805</f>
        <v>15000</v>
      </c>
      <c r="AM805" s="1086"/>
      <c r="AN805" s="1086"/>
      <c r="AO805" s="1087"/>
      <c r="AP805" s="1076"/>
      <c r="AQ805" s="1087"/>
      <c r="AR805" s="1076"/>
      <c r="AS805" s="1076"/>
      <c r="AT805" s="1086"/>
      <c r="AU805" s="1088"/>
      <c r="AV805" s="1235"/>
    </row>
    <row r="806" spans="1:48" ht="16.5" customHeight="1">
      <c r="A806" s="1073"/>
      <c r="B806" s="1082"/>
      <c r="C806" s="1083"/>
      <c r="D806" s="1074"/>
      <c r="E806" s="1126"/>
      <c r="F806" s="1138"/>
      <c r="G806" s="1074"/>
      <c r="H806" s="1077"/>
      <c r="I806" s="1127"/>
      <c r="J806" s="1128"/>
      <c r="K806" s="1067"/>
      <c r="L806" s="1221"/>
      <c r="M806" s="1075"/>
      <c r="N806" s="1547" t="s">
        <v>1712</v>
      </c>
      <c r="O806" s="1191"/>
      <c r="P806" s="1075"/>
      <c r="Q806" s="1081"/>
      <c r="R806" s="1038"/>
      <c r="S806" s="1074"/>
      <c r="T806" s="1075"/>
      <c r="U806" s="1091"/>
      <c r="V806" s="1076"/>
      <c r="W806" s="1079"/>
      <c r="X806" s="1078"/>
      <c r="Y806" s="1039"/>
      <c r="Z806" s="1134"/>
      <c r="AA806" s="1074"/>
      <c r="AB806" s="1077"/>
      <c r="AC806" s="1073"/>
      <c r="AD806" s="1091"/>
      <c r="AE806" s="1076"/>
      <c r="AF806" s="1085"/>
      <c r="AG806" s="1086"/>
      <c r="AH806" s="1087"/>
      <c r="AI806" s="1087">
        <f t="shared" si="68"/>
        <v>0</v>
      </c>
      <c r="AJ806" s="1088"/>
      <c r="AK806" s="1089"/>
      <c r="AL806" s="1090"/>
      <c r="AM806" s="1086"/>
      <c r="AN806" s="1086"/>
      <c r="AO806" s="1087"/>
      <c r="AP806" s="1076"/>
      <c r="AQ806" s="1087"/>
      <c r="AR806" s="1076"/>
      <c r="AS806" s="1076"/>
      <c r="AT806" s="1086"/>
      <c r="AU806" s="1088"/>
      <c r="AV806" s="1235"/>
    </row>
    <row r="807" spans="1:48" ht="33" customHeight="1">
      <c r="A807" s="1073"/>
      <c r="B807" s="1082"/>
      <c r="C807" s="1083"/>
      <c r="D807" s="1074"/>
      <c r="E807" s="1126"/>
      <c r="F807" s="1138"/>
      <c r="G807" s="1074"/>
      <c r="H807" s="1077"/>
      <c r="I807" s="1127"/>
      <c r="J807" s="1128"/>
      <c r="K807" s="1067"/>
      <c r="L807" s="1221"/>
      <c r="M807" s="1075"/>
      <c r="N807" s="1122" t="s">
        <v>25</v>
      </c>
      <c r="O807" s="1293" t="s">
        <v>191</v>
      </c>
      <c r="P807" s="1075"/>
      <c r="Q807" s="1551">
        <v>90.5</v>
      </c>
      <c r="R807" s="1038"/>
      <c r="S807" s="1074"/>
      <c r="T807" s="1075"/>
      <c r="U807" s="1091"/>
      <c r="V807" s="1076"/>
      <c r="W807" s="1079"/>
      <c r="X807" s="1078"/>
      <c r="Y807" s="1039"/>
      <c r="Z807" s="1134"/>
      <c r="AA807" s="1074"/>
      <c r="AB807" s="1077"/>
      <c r="AC807" s="1073"/>
      <c r="AD807" s="1091"/>
      <c r="AE807" s="1076"/>
      <c r="AF807" s="1085"/>
      <c r="AG807" s="1086"/>
      <c r="AH807" s="1087">
        <v>430000</v>
      </c>
      <c r="AI807" s="1087">
        <f t="shared" si="68"/>
        <v>19457500</v>
      </c>
      <c r="AJ807" s="1088"/>
      <c r="AK807" s="1089"/>
      <c r="AL807" s="1090"/>
      <c r="AM807" s="1086"/>
      <c r="AN807" s="1086"/>
      <c r="AO807" s="1087"/>
      <c r="AP807" s="1076"/>
      <c r="AQ807" s="1087"/>
      <c r="AR807" s="1076"/>
      <c r="AS807" s="1076"/>
      <c r="AT807" s="1086"/>
      <c r="AU807" s="1088"/>
      <c r="AV807" s="1235"/>
    </row>
    <row r="808" spans="1:48" ht="16.5" customHeight="1">
      <c r="A808" s="1073"/>
      <c r="B808" s="1082"/>
      <c r="C808" s="1083"/>
      <c r="D808" s="1074"/>
      <c r="E808" s="1126"/>
      <c r="F808" s="1138"/>
      <c r="G808" s="1074"/>
      <c r="H808" s="1077"/>
      <c r="I808" s="1127"/>
      <c r="J808" s="1128"/>
      <c r="K808" s="1067"/>
      <c r="L808" s="1221"/>
      <c r="M808" s="1075"/>
      <c r="N808" s="1074" t="s">
        <v>16</v>
      </c>
      <c r="O808" s="1123" t="s">
        <v>21</v>
      </c>
      <c r="P808" s="1075"/>
      <c r="Q808" s="1081">
        <v>34.1</v>
      </c>
      <c r="R808" s="1038"/>
      <c r="S808" s="1074"/>
      <c r="T808" s="1075"/>
      <c r="U808" s="1091"/>
      <c r="V808" s="1076"/>
      <c r="W808" s="1079"/>
      <c r="X808" s="1078"/>
      <c r="Y808" s="1039"/>
      <c r="Z808" s="1134"/>
      <c r="AA808" s="1074"/>
      <c r="AB808" s="1077"/>
      <c r="AC808" s="1073"/>
      <c r="AD808" s="1091"/>
      <c r="AE808" s="1076"/>
      <c r="AF808" s="1085"/>
      <c r="AG808" s="1086"/>
      <c r="AH808" s="1087">
        <v>100000</v>
      </c>
      <c r="AI808" s="1087">
        <f t="shared" si="68"/>
        <v>1705000</v>
      </c>
      <c r="AJ808" s="1088"/>
      <c r="AK808" s="1089"/>
      <c r="AL808" s="1090"/>
      <c r="AM808" s="1086"/>
      <c r="AN808" s="1086"/>
      <c r="AO808" s="1087"/>
      <c r="AP808" s="1076"/>
      <c r="AQ808" s="1087"/>
      <c r="AR808" s="1076"/>
      <c r="AS808" s="1076"/>
      <c r="AT808" s="1086"/>
      <c r="AU808" s="1088"/>
      <c r="AV808" s="1235"/>
    </row>
    <row r="809" spans="1:48" ht="16.5" customHeight="1">
      <c r="A809" s="1073"/>
      <c r="B809" s="1082"/>
      <c r="C809" s="1083"/>
      <c r="D809" s="1074"/>
      <c r="E809" s="1126"/>
      <c r="F809" s="1138"/>
      <c r="G809" s="1074"/>
      <c r="H809" s="1077"/>
      <c r="I809" s="1127"/>
      <c r="J809" s="1128"/>
      <c r="K809" s="1067"/>
      <c r="L809" s="1221"/>
      <c r="M809" s="1075"/>
      <c r="N809" s="1547"/>
      <c r="O809" s="1083"/>
      <c r="P809" s="1073"/>
      <c r="Q809" s="1077"/>
      <c r="R809" s="1038"/>
      <c r="S809" s="1074"/>
      <c r="T809" s="1075"/>
      <c r="U809" s="1091"/>
      <c r="V809" s="1076"/>
      <c r="W809" s="1079"/>
      <c r="X809" s="1078"/>
      <c r="Y809" s="1039"/>
      <c r="Z809" s="1134"/>
      <c r="AA809" s="1074"/>
      <c r="AB809" s="1077"/>
      <c r="AC809" s="1073"/>
      <c r="AD809" s="1091"/>
      <c r="AE809" s="1076"/>
      <c r="AF809" s="1085"/>
      <c r="AG809" s="1086"/>
      <c r="AH809" s="1087"/>
      <c r="AI809" s="1087"/>
      <c r="AJ809" s="1088"/>
      <c r="AK809" s="1089"/>
      <c r="AL809" s="1090"/>
      <c r="AM809" s="1086"/>
      <c r="AN809" s="1086"/>
      <c r="AO809" s="1087"/>
      <c r="AP809" s="1076"/>
      <c r="AQ809" s="1087"/>
      <c r="AR809" s="1076"/>
      <c r="AS809" s="1076"/>
      <c r="AT809" s="1086"/>
      <c r="AU809" s="1088"/>
      <c r="AV809" s="1235"/>
    </row>
    <row r="810" spans="1:48" ht="33" customHeight="1">
      <c r="A810" s="1073"/>
      <c r="B810" s="1082"/>
      <c r="C810" s="1083"/>
      <c r="D810" s="1074"/>
      <c r="E810" s="1126"/>
      <c r="F810" s="1138"/>
      <c r="G810" s="1074"/>
      <c r="H810" s="1077"/>
      <c r="I810" s="1127"/>
      <c r="J810" s="1128"/>
      <c r="K810" s="1067"/>
      <c r="L810" s="1221"/>
      <c r="M810" s="1075"/>
      <c r="N810" s="1122"/>
      <c r="O810" s="1246"/>
      <c r="P810" s="1073"/>
      <c r="Q810" s="1557"/>
      <c r="R810" s="1038"/>
      <c r="S810" s="1074"/>
      <c r="T810" s="1075"/>
      <c r="U810" s="1091"/>
      <c r="V810" s="1076"/>
      <c r="W810" s="1079"/>
      <c r="X810" s="1078"/>
      <c r="Y810" s="1039"/>
      <c r="Z810" s="1134"/>
      <c r="AA810" s="1074"/>
      <c r="AB810" s="1077"/>
      <c r="AC810" s="1073"/>
      <c r="AD810" s="1091"/>
      <c r="AE810" s="1076"/>
      <c r="AF810" s="1085"/>
      <c r="AG810" s="1086"/>
      <c r="AH810" s="1087"/>
      <c r="AI810" s="1087"/>
      <c r="AJ810" s="1088"/>
      <c r="AK810" s="1089"/>
      <c r="AL810" s="1090"/>
      <c r="AM810" s="1086"/>
      <c r="AN810" s="1086"/>
      <c r="AO810" s="1087"/>
      <c r="AP810" s="1076"/>
      <c r="AQ810" s="1087"/>
      <c r="AR810" s="1076"/>
      <c r="AS810" s="1076"/>
      <c r="AT810" s="1086"/>
      <c r="AU810" s="1088"/>
      <c r="AV810" s="1235"/>
    </row>
    <row r="811" spans="1:48" ht="16.5" customHeight="1">
      <c r="A811" s="1073"/>
      <c r="B811" s="1082"/>
      <c r="C811" s="1083"/>
      <c r="D811" s="1074"/>
      <c r="E811" s="1126"/>
      <c r="F811" s="1138"/>
      <c r="G811" s="1074"/>
      <c r="H811" s="1077"/>
      <c r="I811" s="1127"/>
      <c r="J811" s="1128"/>
      <c r="K811" s="1067"/>
      <c r="L811" s="1221"/>
      <c r="M811" s="1075"/>
      <c r="N811" s="1074"/>
      <c r="O811" s="1131"/>
      <c r="P811" s="1073"/>
      <c r="Q811" s="1077"/>
      <c r="R811" s="1038"/>
      <c r="S811" s="1074"/>
      <c r="T811" s="1075"/>
      <c r="U811" s="1091"/>
      <c r="V811" s="1076"/>
      <c r="W811" s="1079"/>
      <c r="X811" s="1078"/>
      <c r="Y811" s="1039"/>
      <c r="Z811" s="1134"/>
      <c r="AA811" s="1074"/>
      <c r="AB811" s="1077"/>
      <c r="AC811" s="1073"/>
      <c r="AD811" s="1091"/>
      <c r="AE811" s="1076"/>
      <c r="AF811" s="1085"/>
      <c r="AG811" s="1086"/>
      <c r="AH811" s="1087"/>
      <c r="AI811" s="1087"/>
      <c r="AJ811" s="1088"/>
      <c r="AK811" s="1089"/>
      <c r="AL811" s="1090"/>
      <c r="AM811" s="1086"/>
      <c r="AN811" s="1086"/>
      <c r="AO811" s="1087"/>
      <c r="AP811" s="1076"/>
      <c r="AQ811" s="1087"/>
      <c r="AR811" s="1076"/>
      <c r="AS811" s="1076"/>
      <c r="AT811" s="1086"/>
      <c r="AU811" s="1088"/>
      <c r="AV811" s="1235"/>
    </row>
    <row r="812" spans="1:48" ht="16.5" customHeight="1">
      <c r="A812" s="1107"/>
      <c r="B812" s="1095"/>
      <c r="C812" s="1186"/>
      <c r="D812" s="1094"/>
      <c r="E812" s="1149"/>
      <c r="F812" s="1150"/>
      <c r="G812" s="1094"/>
      <c r="H812" s="1151"/>
      <c r="I812" s="1152"/>
      <c r="J812" s="1153"/>
      <c r="K812" s="1101"/>
      <c r="L812" s="1224"/>
      <c r="M812" s="1168"/>
      <c r="N812" s="1094"/>
      <c r="O812" s="1156"/>
      <c r="P812" s="1107"/>
      <c r="Q812" s="1151"/>
      <c r="R812" s="1095"/>
      <c r="S812" s="1094"/>
      <c r="T812" s="1168"/>
      <c r="U812" s="1109"/>
      <c r="V812" s="1108"/>
      <c r="W812" s="1111"/>
      <c r="X812" s="1110"/>
      <c r="Y812" s="1096"/>
      <c r="Z812" s="1286"/>
      <c r="AA812" s="1094"/>
      <c r="AB812" s="1151"/>
      <c r="AC812" s="1107"/>
      <c r="AD812" s="1109"/>
      <c r="AE812" s="1108"/>
      <c r="AF812" s="1115"/>
      <c r="AG812" s="1116"/>
      <c r="AH812" s="1117"/>
      <c r="AI812" s="1117"/>
      <c r="AJ812" s="1118"/>
      <c r="AK812" s="1119"/>
      <c r="AL812" s="1120"/>
      <c r="AM812" s="1116"/>
      <c r="AN812" s="1116"/>
      <c r="AO812" s="1117"/>
      <c r="AP812" s="1108"/>
      <c r="AQ812" s="1117"/>
      <c r="AR812" s="1108"/>
      <c r="AS812" s="1108"/>
      <c r="AT812" s="1116"/>
      <c r="AU812" s="1118"/>
      <c r="AV812" s="1287"/>
    </row>
    <row r="813" spans="1:48" ht="16.5" customHeight="1">
      <c r="A813" s="1169">
        <v>60</v>
      </c>
      <c r="B813" s="1033" t="s">
        <v>25</v>
      </c>
      <c r="C813" s="1036" t="s">
        <v>1711</v>
      </c>
      <c r="D813" s="1170"/>
      <c r="E813" s="1034"/>
      <c r="F813" s="1375" t="s">
        <v>1710</v>
      </c>
      <c r="G813" s="1172" t="s">
        <v>25</v>
      </c>
      <c r="H813" s="1173" t="s">
        <v>1568</v>
      </c>
      <c r="I813" s="1275">
        <v>157.02600000000001</v>
      </c>
      <c r="J813" s="1175" t="s">
        <v>41</v>
      </c>
      <c r="K813" s="1041" t="s">
        <v>1709</v>
      </c>
      <c r="L813" s="1276"/>
      <c r="M813" s="1048"/>
      <c r="N813" s="1033" t="s">
        <v>25</v>
      </c>
      <c r="O813" s="1190" t="s">
        <v>26</v>
      </c>
      <c r="P813" s="1048"/>
      <c r="Q813" s="1054">
        <v>80.5</v>
      </c>
      <c r="R813" s="1035"/>
      <c r="S813" s="1034"/>
      <c r="T813" s="1053"/>
      <c r="U813" s="1050">
        <v>1</v>
      </c>
      <c r="V813" s="1047" t="s">
        <v>14</v>
      </c>
      <c r="W813" s="1052"/>
      <c r="X813" s="1051">
        <v>2</v>
      </c>
      <c r="Y813" s="1036"/>
      <c r="Z813" s="1134">
        <f>SUM(W813:Y813)</f>
        <v>2</v>
      </c>
      <c r="AA813" s="1034"/>
      <c r="AB813" s="1050"/>
      <c r="AC813" s="1047"/>
      <c r="AD813" s="1180"/>
      <c r="AE813" s="1049"/>
      <c r="AF813" s="1056">
        <f>Resum!F1</f>
        <v>356000</v>
      </c>
      <c r="AG813" s="1086">
        <f>AF813*I813</f>
        <v>55901256</v>
      </c>
      <c r="AH813" s="1058">
        <v>2530000</v>
      </c>
      <c r="AI813" s="1087">
        <f>AH813*Q813*0.8</f>
        <v>162932000</v>
      </c>
      <c r="AJ813" s="1182">
        <f>SUM(AI813:AI818)</f>
        <v>178826000</v>
      </c>
      <c r="AK813" s="1089">
        <v>231000</v>
      </c>
      <c r="AL813" s="1087">
        <f>AK813*X813</f>
        <v>462000</v>
      </c>
      <c r="AM813" s="1057">
        <f>SUM(AL813:AL818)</f>
        <v>478000</v>
      </c>
      <c r="AN813" s="1086">
        <f>AM813+AJ813+AG813</f>
        <v>235205256</v>
      </c>
      <c r="AO813" s="1058"/>
      <c r="AP813" s="1136">
        <f>(AG813+AI813)*15%</f>
        <v>32824988.399999999</v>
      </c>
      <c r="AQ813" s="1087">
        <f>(AG813+AI813)*1%</f>
        <v>2188332.56</v>
      </c>
      <c r="AR813" s="1136">
        <f>(AG813+AI813)*5%</f>
        <v>10941662.800000001</v>
      </c>
      <c r="AS813" s="1087">
        <f>0.5%*(AG813+AI813)*(3)</f>
        <v>3282498.84</v>
      </c>
      <c r="AT813" s="1086">
        <f>+AS813+AR813+AQ813+AP813+AO813</f>
        <v>49237482.600000001</v>
      </c>
      <c r="AU813" s="1137">
        <f>ROUND(AT813+AN813,-3)</f>
        <v>284443000</v>
      </c>
      <c r="AV813" s="1279"/>
    </row>
    <row r="814" spans="1:48" ht="16.5" customHeight="1">
      <c r="A814" s="1073"/>
      <c r="B814" s="1038" t="s">
        <v>16</v>
      </c>
      <c r="C814" s="1071" t="s">
        <v>1708</v>
      </c>
      <c r="D814" s="1074"/>
      <c r="E814" s="1063"/>
      <c r="F814" s="1138"/>
      <c r="G814" s="1074" t="s">
        <v>16</v>
      </c>
      <c r="H814" s="1074" t="s">
        <v>22</v>
      </c>
      <c r="I814" s="1127"/>
      <c r="J814" s="1128"/>
      <c r="K814" s="1067"/>
      <c r="L814" s="1221"/>
      <c r="M814" s="1075"/>
      <c r="N814" s="1074" t="s">
        <v>16</v>
      </c>
      <c r="O814" s="1123" t="s">
        <v>21</v>
      </c>
      <c r="P814" s="1075"/>
      <c r="Q814" s="1081">
        <v>18</v>
      </c>
      <c r="R814" s="1038"/>
      <c r="S814" s="1074"/>
      <c r="T814" s="1080"/>
      <c r="U814" s="1077">
        <v>2</v>
      </c>
      <c r="V814" s="1073" t="s">
        <v>1692</v>
      </c>
      <c r="W814" s="1079">
        <v>10</v>
      </c>
      <c r="X814" s="1078"/>
      <c r="Y814" s="1039"/>
      <c r="Z814" s="1134">
        <f>SUM(W814:Y814)</f>
        <v>10</v>
      </c>
      <c r="AA814" s="1074"/>
      <c r="AB814" s="1077"/>
      <c r="AC814" s="1073"/>
      <c r="AD814" s="1091"/>
      <c r="AE814" s="1076"/>
      <c r="AF814" s="1085"/>
      <c r="AG814" s="1086"/>
      <c r="AH814" s="1087">
        <v>350000</v>
      </c>
      <c r="AI814" s="1087">
        <f>AH814*Q814*0.7</f>
        <v>4410000</v>
      </c>
      <c r="AJ814" s="1088"/>
      <c r="AK814" s="1089">
        <v>1600</v>
      </c>
      <c r="AL814" s="1090">
        <f t="shared" ref="AL814:AL876" si="70">AK814*W814</f>
        <v>16000</v>
      </c>
      <c r="AM814" s="1086"/>
      <c r="AN814" s="1086"/>
      <c r="AO814" s="1087"/>
      <c r="AP814" s="1076"/>
      <c r="AQ814" s="1087"/>
      <c r="AR814" s="1076"/>
      <c r="AS814" s="1076"/>
      <c r="AT814" s="1086"/>
      <c r="AU814" s="1088"/>
      <c r="AV814" s="1235"/>
    </row>
    <row r="815" spans="1:48" ht="16.5" customHeight="1">
      <c r="A815" s="1073"/>
      <c r="B815" s="1038" t="s">
        <v>18</v>
      </c>
      <c r="C815" s="1039" t="s">
        <v>38</v>
      </c>
      <c r="D815" s="1074"/>
      <c r="E815" s="1074"/>
      <c r="F815" s="1138"/>
      <c r="G815" s="1074" t="s">
        <v>18</v>
      </c>
      <c r="H815" s="1074" t="s">
        <v>19</v>
      </c>
      <c r="I815" s="1127"/>
      <c r="J815" s="1128"/>
      <c r="K815" s="1067"/>
      <c r="L815" s="1221"/>
      <c r="M815" s="1075"/>
      <c r="N815" s="1074" t="s">
        <v>18</v>
      </c>
      <c r="O815" s="1131" t="s">
        <v>120</v>
      </c>
      <c r="P815" s="1075"/>
      <c r="Q815" s="1081">
        <v>3</v>
      </c>
      <c r="R815" s="1038"/>
      <c r="S815" s="1074"/>
      <c r="T815" s="1080"/>
      <c r="U815" s="1077"/>
      <c r="V815" s="1073"/>
      <c r="W815" s="1079"/>
      <c r="X815" s="1078"/>
      <c r="Y815" s="1039"/>
      <c r="Z815" s="1134"/>
      <c r="AA815" s="1074"/>
      <c r="AB815" s="1077"/>
      <c r="AC815" s="1073"/>
      <c r="AD815" s="1091"/>
      <c r="AE815" s="1076"/>
      <c r="AF815" s="1085"/>
      <c r="AG815" s="1086"/>
      <c r="AH815" s="1087">
        <v>200000</v>
      </c>
      <c r="AI815" s="1087">
        <f t="shared" ref="AI815:AI817" si="71">AH815*Q815*0.5</f>
        <v>300000</v>
      </c>
      <c r="AJ815" s="1088"/>
      <c r="AK815" s="1089"/>
      <c r="AL815" s="1090"/>
      <c r="AM815" s="1086"/>
      <c r="AN815" s="1086"/>
      <c r="AO815" s="1087"/>
      <c r="AP815" s="1076"/>
      <c r="AQ815" s="1087"/>
      <c r="AR815" s="1076"/>
      <c r="AS815" s="1076"/>
      <c r="AT815" s="1086"/>
      <c r="AU815" s="1088"/>
      <c r="AV815" s="1235"/>
    </row>
    <row r="816" spans="1:48" ht="49.5" customHeight="1">
      <c r="A816" s="1073"/>
      <c r="B816" s="1082" t="s">
        <v>12</v>
      </c>
      <c r="C816" s="1083" t="s">
        <v>98</v>
      </c>
      <c r="D816" s="1074"/>
      <c r="E816" s="1126"/>
      <c r="F816" s="1138"/>
      <c r="G816" s="1074"/>
      <c r="H816" s="1077"/>
      <c r="I816" s="1127"/>
      <c r="J816" s="1128"/>
      <c r="K816" s="1067"/>
      <c r="L816" s="1221"/>
      <c r="M816" s="1075"/>
      <c r="N816" s="1074" t="s">
        <v>12</v>
      </c>
      <c r="O816" s="1131" t="s">
        <v>59</v>
      </c>
      <c r="P816" s="1075"/>
      <c r="Q816" s="1081">
        <v>75.849999999999994</v>
      </c>
      <c r="R816" s="1038"/>
      <c r="S816" s="1074"/>
      <c r="T816" s="1075"/>
      <c r="U816" s="1091"/>
      <c r="V816" s="1076"/>
      <c r="W816" s="1079"/>
      <c r="X816" s="1078"/>
      <c r="Y816" s="1039"/>
      <c r="Z816" s="1134"/>
      <c r="AA816" s="1074"/>
      <c r="AB816" s="1077"/>
      <c r="AC816" s="1073"/>
      <c r="AD816" s="1091"/>
      <c r="AE816" s="1076"/>
      <c r="AF816" s="1085"/>
      <c r="AG816" s="1086"/>
      <c r="AH816" s="1087">
        <v>180000</v>
      </c>
      <c r="AI816" s="1087">
        <f t="shared" si="71"/>
        <v>6826499.9999999991</v>
      </c>
      <c r="AJ816" s="1088"/>
      <c r="AK816" s="1089"/>
      <c r="AL816" s="1090"/>
      <c r="AM816" s="1086"/>
      <c r="AN816" s="1086"/>
      <c r="AO816" s="1087"/>
      <c r="AP816" s="1076"/>
      <c r="AQ816" s="1087"/>
      <c r="AR816" s="1076"/>
      <c r="AS816" s="1076"/>
      <c r="AT816" s="1086"/>
      <c r="AU816" s="1088"/>
      <c r="AV816" s="1235"/>
    </row>
    <row r="817" spans="1:48" ht="16.5" customHeight="1">
      <c r="A817" s="1073"/>
      <c r="B817" s="1082" t="s">
        <v>8</v>
      </c>
      <c r="C817" s="1083" t="s">
        <v>1707</v>
      </c>
      <c r="D817" s="1074"/>
      <c r="E817" s="1126"/>
      <c r="F817" s="1138"/>
      <c r="G817" s="1074"/>
      <c r="H817" s="1077"/>
      <c r="I817" s="1127"/>
      <c r="J817" s="1128"/>
      <c r="K817" s="1067"/>
      <c r="L817" s="1221"/>
      <c r="M817" s="1075"/>
      <c r="N817" s="1074" t="s">
        <v>8</v>
      </c>
      <c r="O817" s="1131" t="s">
        <v>175</v>
      </c>
      <c r="P817" s="1075"/>
      <c r="Q817" s="1081">
        <v>10.5</v>
      </c>
      <c r="R817" s="1038"/>
      <c r="S817" s="1074"/>
      <c r="T817" s="1075"/>
      <c r="U817" s="1091"/>
      <c r="V817" s="1076"/>
      <c r="W817" s="1079"/>
      <c r="X817" s="1078"/>
      <c r="Y817" s="1039"/>
      <c r="Z817" s="1134"/>
      <c r="AA817" s="1074"/>
      <c r="AB817" s="1077"/>
      <c r="AC817" s="1073"/>
      <c r="AD817" s="1091"/>
      <c r="AE817" s="1076"/>
      <c r="AF817" s="1085"/>
      <c r="AG817" s="1086"/>
      <c r="AH817" s="1087">
        <v>300000</v>
      </c>
      <c r="AI817" s="1087">
        <f t="shared" si="71"/>
        <v>1575000</v>
      </c>
      <c r="AJ817" s="1088"/>
      <c r="AK817" s="1089"/>
      <c r="AL817" s="1090"/>
      <c r="AM817" s="1086"/>
      <c r="AN817" s="1086"/>
      <c r="AO817" s="1087"/>
      <c r="AP817" s="1076"/>
      <c r="AQ817" s="1087"/>
      <c r="AR817" s="1076"/>
      <c r="AS817" s="1076"/>
      <c r="AT817" s="1086"/>
      <c r="AU817" s="1088"/>
      <c r="AV817" s="1235"/>
    </row>
    <row r="818" spans="1:48" ht="16.5" customHeight="1">
      <c r="A818" s="1073"/>
      <c r="B818" s="1082"/>
      <c r="C818" s="1083"/>
      <c r="D818" s="1074"/>
      <c r="E818" s="1126"/>
      <c r="F818" s="1138"/>
      <c r="G818" s="1074"/>
      <c r="H818" s="1077"/>
      <c r="I818" s="1127"/>
      <c r="J818" s="1128"/>
      <c r="K818" s="1067"/>
      <c r="L818" s="1221"/>
      <c r="M818" s="1075"/>
      <c r="N818" s="1074" t="s">
        <v>54</v>
      </c>
      <c r="O818" s="1123" t="s">
        <v>121</v>
      </c>
      <c r="P818" s="1075"/>
      <c r="Q818" s="1081">
        <v>15.9</v>
      </c>
      <c r="R818" s="1038"/>
      <c r="S818" s="1074"/>
      <c r="T818" s="1075"/>
      <c r="U818" s="1091"/>
      <c r="V818" s="1076"/>
      <c r="W818" s="1079"/>
      <c r="X818" s="1078"/>
      <c r="Y818" s="1039"/>
      <c r="Z818" s="1134"/>
      <c r="AA818" s="1074"/>
      <c r="AB818" s="1077"/>
      <c r="AC818" s="1073"/>
      <c r="AD818" s="1091"/>
      <c r="AE818" s="1076"/>
      <c r="AF818" s="1085"/>
      <c r="AG818" s="1116"/>
      <c r="AH818" s="1087">
        <v>350000</v>
      </c>
      <c r="AI818" s="1087">
        <f>AH818*Q818*0.5</f>
        <v>2782500</v>
      </c>
      <c r="AJ818" s="1088"/>
      <c r="AK818" s="1089"/>
      <c r="AL818" s="1120"/>
      <c r="AM818" s="1086"/>
      <c r="AN818" s="1116"/>
      <c r="AO818" s="1087"/>
      <c r="AP818" s="1076"/>
      <c r="AQ818" s="1087"/>
      <c r="AR818" s="1076"/>
      <c r="AS818" s="1076"/>
      <c r="AT818" s="1116"/>
      <c r="AU818" s="1118"/>
      <c r="AV818" s="1235"/>
    </row>
    <row r="819" spans="1:48" ht="16.5" customHeight="1">
      <c r="A819" s="1169">
        <v>61</v>
      </c>
      <c r="B819" s="1033" t="s">
        <v>25</v>
      </c>
      <c r="C819" s="1036" t="s">
        <v>1706</v>
      </c>
      <c r="D819" s="1170"/>
      <c r="E819" s="1036"/>
      <c r="F819" s="1375" t="s">
        <v>1705</v>
      </c>
      <c r="G819" s="1172" t="s">
        <v>25</v>
      </c>
      <c r="H819" s="1173" t="s">
        <v>1540</v>
      </c>
      <c r="I819" s="1174">
        <v>344</v>
      </c>
      <c r="J819" s="1175" t="s">
        <v>41</v>
      </c>
      <c r="K819" s="1041" t="s">
        <v>1704</v>
      </c>
      <c r="L819" s="1129" t="s">
        <v>46</v>
      </c>
      <c r="M819" s="1292" t="s">
        <v>46</v>
      </c>
      <c r="N819" s="1033" t="s">
        <v>25</v>
      </c>
      <c r="O819" s="1190" t="s">
        <v>26</v>
      </c>
      <c r="P819" s="1048"/>
      <c r="Q819" s="1048">
        <v>81.540000000000006</v>
      </c>
      <c r="R819" s="1033"/>
      <c r="S819" s="1036" t="s">
        <v>15</v>
      </c>
      <c r="T819" s="1053"/>
      <c r="U819" s="1049">
        <v>1</v>
      </c>
      <c r="V819" s="1047" t="s">
        <v>139</v>
      </c>
      <c r="W819" s="1051">
        <v>1</v>
      </c>
      <c r="X819" s="1051"/>
      <c r="Y819" s="1053"/>
      <c r="Z819" s="1203">
        <f t="shared" ref="Z819:Z833" si="72">SUM(W819:Y819)</f>
        <v>1</v>
      </c>
      <c r="AA819" s="1033"/>
      <c r="AB819" s="1273"/>
      <c r="AC819" s="1047"/>
      <c r="AD819" s="1055"/>
      <c r="AE819" s="1032"/>
      <c r="AF819" s="1056">
        <f>+Resum!F4</f>
        <v>204000</v>
      </c>
      <c r="AG819" s="1057">
        <f>AF819*I819</f>
        <v>70176000</v>
      </c>
      <c r="AH819" s="1058">
        <v>2200000</v>
      </c>
      <c r="AI819" s="1058">
        <f>AH819*Q819*0.7</f>
        <v>125571599.99999999</v>
      </c>
      <c r="AJ819" s="1182">
        <f>SUM(AI819:AI830)</f>
        <v>227580200</v>
      </c>
      <c r="AK819" s="1060">
        <v>75000</v>
      </c>
      <c r="AL819" s="1061">
        <f t="shared" si="70"/>
        <v>75000</v>
      </c>
      <c r="AM819" s="1057">
        <f>SUM(AL819:AL833)</f>
        <v>1130590</v>
      </c>
      <c r="AN819" s="1057">
        <f>AM819+AJ819+AG819</f>
        <v>298886790</v>
      </c>
      <c r="AO819" s="1058"/>
      <c r="AP819" s="1548">
        <f>(AG819+AI819)*15%</f>
        <v>29362140</v>
      </c>
      <c r="AQ819" s="1058">
        <f>(AG819+AI819)*1%</f>
        <v>1957476</v>
      </c>
      <c r="AR819" s="1548">
        <f>(AG819+AI819)*5%</f>
        <v>9787380</v>
      </c>
      <c r="AS819" s="1058">
        <f>0.5%*(AG819+AI819)*(3)</f>
        <v>2936214</v>
      </c>
      <c r="AT819" s="1057">
        <f>+AS819+AR819+AQ819+AP819+AO819</f>
        <v>44043210</v>
      </c>
      <c r="AU819" s="2015">
        <f>ROUND(AT819+AN819,-3)</f>
        <v>342930000</v>
      </c>
      <c r="AV819" s="1041"/>
    </row>
    <row r="820" spans="1:48" ht="16.5" customHeight="1">
      <c r="A820" s="1073"/>
      <c r="B820" s="1038" t="s">
        <v>16</v>
      </c>
      <c r="C820" s="1071" t="s">
        <v>1703</v>
      </c>
      <c r="D820" s="1074"/>
      <c r="E820" s="1071"/>
      <c r="F820" s="1138"/>
      <c r="G820" s="1074" t="s">
        <v>16</v>
      </c>
      <c r="H820" s="1074" t="s">
        <v>22</v>
      </c>
      <c r="I820" s="1127"/>
      <c r="J820" s="1128"/>
      <c r="K820" s="1067"/>
      <c r="L820" s="1139"/>
      <c r="M820" s="1294"/>
      <c r="N820" s="1074" t="s">
        <v>16</v>
      </c>
      <c r="O820" s="1123" t="s">
        <v>21</v>
      </c>
      <c r="P820" s="1075"/>
      <c r="Q820" s="1075">
        <v>16</v>
      </c>
      <c r="R820" s="1038"/>
      <c r="S820" s="1039"/>
      <c r="T820" s="1080"/>
      <c r="U820" s="1076">
        <v>2</v>
      </c>
      <c r="V820" s="1073" t="s">
        <v>32</v>
      </c>
      <c r="W820" s="1078"/>
      <c r="X820" s="1078">
        <v>3</v>
      </c>
      <c r="Y820" s="1080"/>
      <c r="Z820" s="1134">
        <f t="shared" si="72"/>
        <v>3</v>
      </c>
      <c r="AA820" s="1074"/>
      <c r="AB820" s="1126"/>
      <c r="AC820" s="1073"/>
      <c r="AD820" s="1084"/>
      <c r="AE820" s="1062"/>
      <c r="AF820" s="1085"/>
      <c r="AG820" s="1086"/>
      <c r="AH820" s="1087">
        <v>350000</v>
      </c>
      <c r="AI820" s="1087">
        <f>AH820*Q820*0.65</f>
        <v>3640000</v>
      </c>
      <c r="AJ820" s="1088"/>
      <c r="AK820" s="1089">
        <v>12650</v>
      </c>
      <c r="AL820" s="1090">
        <f>AK820*X820</f>
        <v>37950</v>
      </c>
      <c r="AM820" s="1086"/>
      <c r="AN820" s="1086"/>
      <c r="AO820" s="1087"/>
      <c r="AP820" s="1076"/>
      <c r="AQ820" s="1087"/>
      <c r="AR820" s="1076"/>
      <c r="AS820" s="1076"/>
      <c r="AT820" s="1086"/>
      <c r="AU820" s="1088"/>
      <c r="AV820" s="1067"/>
    </row>
    <row r="821" spans="1:48" ht="16.5" customHeight="1">
      <c r="A821" s="1073"/>
      <c r="B821" s="1038" t="s">
        <v>18</v>
      </c>
      <c r="C821" s="1039" t="s">
        <v>124</v>
      </c>
      <c r="D821" s="1074"/>
      <c r="E821" s="1039"/>
      <c r="F821" s="1138"/>
      <c r="G821" s="1074" t="s">
        <v>18</v>
      </c>
      <c r="H821" s="1074" t="s">
        <v>19</v>
      </c>
      <c r="I821" s="1127"/>
      <c r="J821" s="1128"/>
      <c r="K821" s="1067"/>
      <c r="L821" s="1139"/>
      <c r="M821" s="1294"/>
      <c r="N821" s="1074" t="s">
        <v>18</v>
      </c>
      <c r="O821" s="1131" t="s">
        <v>52</v>
      </c>
      <c r="P821" s="1075"/>
      <c r="Q821" s="1075">
        <v>8</v>
      </c>
      <c r="R821" s="1038"/>
      <c r="S821" s="1039"/>
      <c r="T821" s="1080"/>
      <c r="U821" s="1076">
        <v>3</v>
      </c>
      <c r="V821" s="1073" t="s">
        <v>841</v>
      </c>
      <c r="W821" s="1078"/>
      <c r="X821" s="1078">
        <v>1</v>
      </c>
      <c r="Y821" s="1080"/>
      <c r="Z821" s="1134">
        <f t="shared" si="72"/>
        <v>1</v>
      </c>
      <c r="AA821" s="1074"/>
      <c r="AB821" s="1126"/>
      <c r="AC821" s="1073"/>
      <c r="AD821" s="1084"/>
      <c r="AE821" s="1062"/>
      <c r="AF821" s="1085"/>
      <c r="AG821" s="1086"/>
      <c r="AH821" s="1087">
        <v>210000</v>
      </c>
      <c r="AI821" s="1087">
        <f>AH821*Q821*0.5</f>
        <v>840000</v>
      </c>
      <c r="AJ821" s="1088"/>
      <c r="AK821" s="1089">
        <v>105000</v>
      </c>
      <c r="AL821" s="1090">
        <f>AK821*X821</f>
        <v>105000</v>
      </c>
      <c r="AM821" s="1086"/>
      <c r="AN821" s="1086"/>
      <c r="AO821" s="1087"/>
      <c r="AP821" s="1076"/>
      <c r="AQ821" s="1087"/>
      <c r="AR821" s="1076"/>
      <c r="AS821" s="1076"/>
      <c r="AT821" s="1086"/>
      <c r="AU821" s="1088"/>
      <c r="AV821" s="1067"/>
    </row>
    <row r="822" spans="1:48" ht="49.5" customHeight="1">
      <c r="A822" s="1073"/>
      <c r="B822" s="1082" t="s">
        <v>12</v>
      </c>
      <c r="C822" s="1083" t="s">
        <v>210</v>
      </c>
      <c r="D822" s="1077"/>
      <c r="E822" s="1083"/>
      <c r="F822" s="1138"/>
      <c r="G822" s="1074"/>
      <c r="H822" s="1092"/>
      <c r="I822" s="1127"/>
      <c r="J822" s="1128"/>
      <c r="K822" s="1067"/>
      <c r="L822" s="1139"/>
      <c r="M822" s="1294"/>
      <c r="N822" s="1074" t="s">
        <v>12</v>
      </c>
      <c r="O822" s="1123" t="s">
        <v>175</v>
      </c>
      <c r="P822" s="1075"/>
      <c r="Q822" s="1075">
        <v>36</v>
      </c>
      <c r="R822" s="1038"/>
      <c r="S822" s="1039"/>
      <c r="T822" s="1080"/>
      <c r="U822" s="1076">
        <v>4</v>
      </c>
      <c r="V822" s="1073" t="s">
        <v>808</v>
      </c>
      <c r="W822" s="1078"/>
      <c r="X822" s="1078">
        <v>3</v>
      </c>
      <c r="Y822" s="1080"/>
      <c r="Z822" s="1134">
        <f t="shared" si="72"/>
        <v>3</v>
      </c>
      <c r="AA822" s="1074"/>
      <c r="AB822" s="1126"/>
      <c r="AC822" s="1073"/>
      <c r="AD822" s="1084"/>
      <c r="AE822" s="1062"/>
      <c r="AF822" s="1085"/>
      <c r="AG822" s="1086"/>
      <c r="AH822" s="1087">
        <v>300000</v>
      </c>
      <c r="AI822" s="1087">
        <f>AH822*Q822*0.5</f>
        <v>5400000</v>
      </c>
      <c r="AJ822" s="1088"/>
      <c r="AK822" s="1089">
        <v>82500</v>
      </c>
      <c r="AL822" s="1090">
        <f>AK822*X822</f>
        <v>247500</v>
      </c>
      <c r="AM822" s="1086"/>
      <c r="AN822" s="1086"/>
      <c r="AO822" s="1087"/>
      <c r="AP822" s="1076"/>
      <c r="AQ822" s="1087"/>
      <c r="AR822" s="1076"/>
      <c r="AS822" s="1076"/>
      <c r="AT822" s="1086"/>
      <c r="AU822" s="1088"/>
      <c r="AV822" s="1067"/>
    </row>
    <row r="823" spans="1:48" ht="16.5" customHeight="1">
      <c r="A823" s="1082"/>
      <c r="B823" s="1082" t="s">
        <v>8</v>
      </c>
      <c r="C823" s="1083" t="s">
        <v>1702</v>
      </c>
      <c r="D823" s="1077"/>
      <c r="E823" s="1083"/>
      <c r="F823" s="1138"/>
      <c r="G823" s="1074"/>
      <c r="H823" s="1092"/>
      <c r="I823" s="1127"/>
      <c r="J823" s="1128"/>
      <c r="K823" s="1067"/>
      <c r="L823" s="1139"/>
      <c r="M823" s="1294"/>
      <c r="N823" s="1074"/>
      <c r="O823" s="1131"/>
      <c r="P823" s="1075"/>
      <c r="Q823" s="1075"/>
      <c r="R823" s="1038"/>
      <c r="S823" s="1039"/>
      <c r="T823" s="1080"/>
      <c r="U823" s="1076">
        <v>5</v>
      </c>
      <c r="V823" s="1073" t="s">
        <v>144</v>
      </c>
      <c r="W823" s="1078"/>
      <c r="X823" s="1078">
        <v>3</v>
      </c>
      <c r="Y823" s="1080"/>
      <c r="Z823" s="1134">
        <f t="shared" si="72"/>
        <v>3</v>
      </c>
      <c r="AA823" s="1074"/>
      <c r="AB823" s="1126"/>
      <c r="AC823" s="1073"/>
      <c r="AD823" s="1084"/>
      <c r="AE823" s="1062"/>
      <c r="AF823" s="1085"/>
      <c r="AG823" s="1086"/>
      <c r="AH823" s="1087"/>
      <c r="AI823" s="1087">
        <f t="shared" ref="AI823:AI827" si="73">AH823*Q823*0.8</f>
        <v>0</v>
      </c>
      <c r="AJ823" s="1088"/>
      <c r="AK823" s="1089">
        <v>13250</v>
      </c>
      <c r="AL823" s="1090">
        <f>AK823*X823</f>
        <v>39750</v>
      </c>
      <c r="AM823" s="1086"/>
      <c r="AN823" s="1086"/>
      <c r="AO823" s="1087"/>
      <c r="AP823" s="1076"/>
      <c r="AQ823" s="1087"/>
      <c r="AR823" s="1076"/>
      <c r="AS823" s="1076"/>
      <c r="AT823" s="1086"/>
      <c r="AU823" s="1088"/>
      <c r="AV823" s="1067"/>
    </row>
    <row r="824" spans="1:48" ht="16.5" customHeight="1">
      <c r="A824" s="1082"/>
      <c r="B824" s="1082"/>
      <c r="C824" s="1083"/>
      <c r="D824" s="1077"/>
      <c r="E824" s="1083"/>
      <c r="F824" s="1138"/>
      <c r="G824" s="1074"/>
      <c r="H824" s="1092"/>
      <c r="I824" s="1127"/>
      <c r="J824" s="1128"/>
      <c r="K824" s="1067"/>
      <c r="L824" s="1139"/>
      <c r="M824" s="1294"/>
      <c r="N824" s="1074"/>
      <c r="O824" s="1123"/>
      <c r="P824" s="1075"/>
      <c r="Q824" s="1075"/>
      <c r="R824" s="1038"/>
      <c r="S824" s="1039"/>
      <c r="T824" s="1080"/>
      <c r="U824" s="1076">
        <v>6</v>
      </c>
      <c r="V824" s="1073" t="s">
        <v>419</v>
      </c>
      <c r="W824" s="1078">
        <v>6</v>
      </c>
      <c r="X824" s="1078"/>
      <c r="Y824" s="1080"/>
      <c r="Z824" s="1134">
        <f t="shared" si="72"/>
        <v>6</v>
      </c>
      <c r="AA824" s="1074"/>
      <c r="AB824" s="1126"/>
      <c r="AC824" s="1073"/>
      <c r="AD824" s="1084"/>
      <c r="AE824" s="1062"/>
      <c r="AF824" s="1085"/>
      <c r="AG824" s="1086"/>
      <c r="AH824" s="1087"/>
      <c r="AI824" s="1087">
        <f t="shared" si="73"/>
        <v>0</v>
      </c>
      <c r="AJ824" s="1088"/>
      <c r="AK824" s="1089">
        <v>15000</v>
      </c>
      <c r="AL824" s="1090">
        <f t="shared" si="70"/>
        <v>90000</v>
      </c>
      <c r="AM824" s="1086"/>
      <c r="AN824" s="1086"/>
      <c r="AO824" s="1087"/>
      <c r="AP824" s="1076"/>
      <c r="AQ824" s="1087"/>
      <c r="AR824" s="1076"/>
      <c r="AS824" s="1076"/>
      <c r="AT824" s="1086"/>
      <c r="AU824" s="1088"/>
      <c r="AV824" s="1067"/>
    </row>
    <row r="825" spans="1:48" ht="16.5" customHeight="1">
      <c r="A825" s="1082"/>
      <c r="B825" s="1082"/>
      <c r="C825" s="1083"/>
      <c r="D825" s="1077"/>
      <c r="E825" s="1083"/>
      <c r="F825" s="1138"/>
      <c r="G825" s="1074"/>
      <c r="H825" s="1092"/>
      <c r="I825" s="1127"/>
      <c r="J825" s="1128"/>
      <c r="K825" s="1067"/>
      <c r="L825" s="1139"/>
      <c r="M825" s="1294"/>
      <c r="N825" s="1074"/>
      <c r="O825" s="1293"/>
      <c r="P825" s="1075"/>
      <c r="Q825" s="1075"/>
      <c r="R825" s="1038"/>
      <c r="S825" s="1039"/>
      <c r="T825" s="1080"/>
      <c r="U825" s="1076">
        <v>7</v>
      </c>
      <c r="V825" s="1073" t="s">
        <v>221</v>
      </c>
      <c r="W825" s="1078"/>
      <c r="X825" s="1078">
        <v>5</v>
      </c>
      <c r="Y825" s="1080"/>
      <c r="Z825" s="1134">
        <f t="shared" si="72"/>
        <v>5</v>
      </c>
      <c r="AA825" s="1074"/>
      <c r="AB825" s="1126"/>
      <c r="AC825" s="1073"/>
      <c r="AD825" s="1084"/>
      <c r="AE825" s="1062"/>
      <c r="AF825" s="1085"/>
      <c r="AG825" s="1086"/>
      <c r="AH825" s="1087"/>
      <c r="AI825" s="1087">
        <f t="shared" si="73"/>
        <v>0</v>
      </c>
      <c r="AJ825" s="1088"/>
      <c r="AK825" s="1089">
        <v>3000</v>
      </c>
      <c r="AL825" s="1090">
        <f>AK825*X825</f>
        <v>15000</v>
      </c>
      <c r="AM825" s="1086"/>
      <c r="AN825" s="1086"/>
      <c r="AO825" s="1087"/>
      <c r="AP825" s="1076"/>
      <c r="AQ825" s="1087"/>
      <c r="AR825" s="1076"/>
      <c r="AS825" s="1076"/>
      <c r="AT825" s="1086"/>
      <c r="AU825" s="1088"/>
      <c r="AV825" s="1067"/>
    </row>
    <row r="826" spans="1:48" ht="16.5" customHeight="1">
      <c r="A826" s="1082"/>
      <c r="B826" s="1082"/>
      <c r="C826" s="1083"/>
      <c r="D826" s="1077"/>
      <c r="E826" s="1083"/>
      <c r="F826" s="1138"/>
      <c r="G826" s="1074"/>
      <c r="H826" s="1092"/>
      <c r="I826" s="1127"/>
      <c r="J826" s="1128"/>
      <c r="K826" s="1067"/>
      <c r="L826" s="1139"/>
      <c r="M826" s="1294"/>
      <c r="N826" s="1074"/>
      <c r="O826" s="1293"/>
      <c r="P826" s="1075"/>
      <c r="Q826" s="1075"/>
      <c r="R826" s="1038"/>
      <c r="S826" s="1039"/>
      <c r="T826" s="1080"/>
      <c r="U826" s="1076">
        <v>8</v>
      </c>
      <c r="V826" s="1073" t="s">
        <v>1633</v>
      </c>
      <c r="W826" s="1078">
        <v>1</v>
      </c>
      <c r="X826" s="1078"/>
      <c r="Y826" s="1080"/>
      <c r="Z826" s="1134">
        <f t="shared" si="72"/>
        <v>1</v>
      </c>
      <c r="AA826" s="1074"/>
      <c r="AB826" s="1126"/>
      <c r="AC826" s="1073"/>
      <c r="AD826" s="1084"/>
      <c r="AE826" s="1062"/>
      <c r="AF826" s="1085"/>
      <c r="AG826" s="1086"/>
      <c r="AH826" s="1087"/>
      <c r="AI826" s="1087">
        <f t="shared" si="73"/>
        <v>0</v>
      </c>
      <c r="AJ826" s="1088"/>
      <c r="AK826" s="1089">
        <v>4250</v>
      </c>
      <c r="AL826" s="1090">
        <f t="shared" si="70"/>
        <v>4250</v>
      </c>
      <c r="AM826" s="1086"/>
      <c r="AN826" s="1086"/>
      <c r="AO826" s="1087"/>
      <c r="AP826" s="1076"/>
      <c r="AQ826" s="1087"/>
      <c r="AR826" s="1076"/>
      <c r="AS826" s="1076"/>
      <c r="AT826" s="1086"/>
      <c r="AU826" s="1088"/>
      <c r="AV826" s="1067"/>
    </row>
    <row r="827" spans="1:48" ht="16.5" customHeight="1">
      <c r="A827" s="1082"/>
      <c r="B827" s="1082"/>
      <c r="C827" s="1083"/>
      <c r="D827" s="1077"/>
      <c r="E827" s="1083"/>
      <c r="F827" s="1138"/>
      <c r="G827" s="1074"/>
      <c r="H827" s="1092"/>
      <c r="I827" s="1127"/>
      <c r="J827" s="1128"/>
      <c r="K827" s="1067"/>
      <c r="L827" s="1139"/>
      <c r="M827" s="1294"/>
      <c r="N827" s="1542" t="s">
        <v>1701</v>
      </c>
      <c r="O827" s="1293"/>
      <c r="P827" s="1075"/>
      <c r="Q827" s="1075"/>
      <c r="R827" s="1038"/>
      <c r="S827" s="1039"/>
      <c r="T827" s="1080"/>
      <c r="U827" s="1076">
        <v>9</v>
      </c>
      <c r="V827" s="1073" t="s">
        <v>83</v>
      </c>
      <c r="W827" s="1078">
        <v>4</v>
      </c>
      <c r="X827" s="1078"/>
      <c r="Y827" s="1080"/>
      <c r="Z827" s="1134">
        <f t="shared" si="72"/>
        <v>4</v>
      </c>
      <c r="AA827" s="1074"/>
      <c r="AB827" s="1126"/>
      <c r="AC827" s="1073"/>
      <c r="AD827" s="1084"/>
      <c r="AE827" s="1062"/>
      <c r="AF827" s="1085"/>
      <c r="AG827" s="1086"/>
      <c r="AH827" s="1087"/>
      <c r="AI827" s="1087">
        <f t="shared" si="73"/>
        <v>0</v>
      </c>
      <c r="AJ827" s="1088"/>
      <c r="AK827" s="1089">
        <v>3000</v>
      </c>
      <c r="AL827" s="1090">
        <f t="shared" si="70"/>
        <v>12000</v>
      </c>
      <c r="AM827" s="1086"/>
      <c r="AN827" s="1086"/>
      <c r="AO827" s="1087"/>
      <c r="AP827" s="1076"/>
      <c r="AQ827" s="1087"/>
      <c r="AR827" s="1076"/>
      <c r="AS827" s="1076"/>
      <c r="AT827" s="1086"/>
      <c r="AU827" s="1088"/>
      <c r="AV827" s="1067"/>
    </row>
    <row r="828" spans="1:48" ht="33" customHeight="1">
      <c r="A828" s="1082"/>
      <c r="B828" s="1082"/>
      <c r="C828" s="1083"/>
      <c r="D828" s="1077"/>
      <c r="E828" s="1083"/>
      <c r="F828" s="1138"/>
      <c r="G828" s="1074"/>
      <c r="H828" s="1092"/>
      <c r="I828" s="1127"/>
      <c r="J828" s="1128"/>
      <c r="K828" s="1067"/>
      <c r="L828" s="1139"/>
      <c r="M828" s="1294"/>
      <c r="N828" s="1122" t="s">
        <v>25</v>
      </c>
      <c r="O828" s="1293" t="s">
        <v>62</v>
      </c>
      <c r="P828" s="1075"/>
      <c r="Q828" s="1075">
        <v>73.58</v>
      </c>
      <c r="R828" s="1038"/>
      <c r="S828" s="1039"/>
      <c r="T828" s="1080"/>
      <c r="U828" s="1076">
        <v>10</v>
      </c>
      <c r="V828" s="1073" t="s">
        <v>944</v>
      </c>
      <c r="W828" s="1078">
        <v>3</v>
      </c>
      <c r="X828" s="1078"/>
      <c r="Y828" s="1080"/>
      <c r="Z828" s="1134">
        <f t="shared" si="72"/>
        <v>3</v>
      </c>
      <c r="AA828" s="1074"/>
      <c r="AB828" s="1126"/>
      <c r="AC828" s="1073"/>
      <c r="AD828" s="1084"/>
      <c r="AE828" s="1062"/>
      <c r="AF828" s="1085"/>
      <c r="AG828" s="1086"/>
      <c r="AH828" s="1087">
        <v>1800000</v>
      </c>
      <c r="AI828" s="1087">
        <f>AH828*Q828*0.65</f>
        <v>86088600</v>
      </c>
      <c r="AJ828" s="1088"/>
      <c r="AK828" s="1089">
        <v>600</v>
      </c>
      <c r="AL828" s="1090">
        <f t="shared" si="70"/>
        <v>1800</v>
      </c>
      <c r="AM828" s="1086"/>
      <c r="AN828" s="1086"/>
      <c r="AO828" s="1087"/>
      <c r="AP828" s="1076"/>
      <c r="AQ828" s="1087"/>
      <c r="AR828" s="1076"/>
      <c r="AS828" s="1076"/>
      <c r="AT828" s="1086"/>
      <c r="AU828" s="1088"/>
      <c r="AV828" s="1067"/>
    </row>
    <row r="829" spans="1:48" ht="16.5" customHeight="1">
      <c r="A829" s="1082"/>
      <c r="B829" s="1082"/>
      <c r="C829" s="1083"/>
      <c r="D829" s="1077"/>
      <c r="E829" s="1083"/>
      <c r="F829" s="1138"/>
      <c r="G829" s="1074"/>
      <c r="H829" s="1092"/>
      <c r="I829" s="1127"/>
      <c r="J829" s="1128"/>
      <c r="K829" s="1067"/>
      <c r="L829" s="1139"/>
      <c r="M829" s="1294"/>
      <c r="N829" s="1038" t="s">
        <v>16</v>
      </c>
      <c r="O829" s="1123" t="s">
        <v>1544</v>
      </c>
      <c r="P829" s="1075"/>
      <c r="Q829" s="1075">
        <v>4</v>
      </c>
      <c r="R829" s="1038"/>
      <c r="S829" s="1039"/>
      <c r="T829" s="1080"/>
      <c r="U829" s="1076">
        <v>11</v>
      </c>
      <c r="V829" s="1073" t="s">
        <v>81</v>
      </c>
      <c r="W829" s="1078">
        <v>1</v>
      </c>
      <c r="X829" s="1078"/>
      <c r="Y829" s="1080"/>
      <c r="Z829" s="1134">
        <f t="shared" si="72"/>
        <v>1</v>
      </c>
      <c r="AA829" s="1074"/>
      <c r="AB829" s="1126"/>
      <c r="AC829" s="1073"/>
      <c r="AD829" s="1084"/>
      <c r="AE829" s="1062"/>
      <c r="AF829" s="1085"/>
      <c r="AG829" s="1086"/>
      <c r="AH829" s="1087">
        <v>125000</v>
      </c>
      <c r="AI829" s="1087">
        <f>AH829*Q829*0.5</f>
        <v>250000</v>
      </c>
      <c r="AJ829" s="1088"/>
      <c r="AK829" s="1089">
        <v>800</v>
      </c>
      <c r="AL829" s="1090">
        <f t="shared" si="70"/>
        <v>800</v>
      </c>
      <c r="AM829" s="1086"/>
      <c r="AN829" s="1086"/>
      <c r="AO829" s="1087"/>
      <c r="AP829" s="1076"/>
      <c r="AQ829" s="1087"/>
      <c r="AR829" s="1076"/>
      <c r="AS829" s="1076"/>
      <c r="AT829" s="1086"/>
      <c r="AU829" s="1088"/>
      <c r="AV829" s="1067"/>
    </row>
    <row r="830" spans="1:48" ht="16.5" customHeight="1">
      <c r="A830" s="1082"/>
      <c r="B830" s="1082"/>
      <c r="C830" s="1083"/>
      <c r="D830" s="1077"/>
      <c r="E830" s="1083"/>
      <c r="F830" s="1138"/>
      <c r="G830" s="1074"/>
      <c r="H830" s="1092"/>
      <c r="I830" s="1127"/>
      <c r="J830" s="1128"/>
      <c r="K830" s="1067"/>
      <c r="L830" s="1139"/>
      <c r="M830" s="1294"/>
      <c r="N830" s="1038" t="s">
        <v>18</v>
      </c>
      <c r="O830" s="1131" t="s">
        <v>175</v>
      </c>
      <c r="P830" s="1075"/>
      <c r="Q830" s="1075">
        <v>38.6</v>
      </c>
      <c r="R830" s="1038"/>
      <c r="S830" s="1039"/>
      <c r="T830" s="1080"/>
      <c r="U830" s="1076">
        <v>12</v>
      </c>
      <c r="V830" s="1073" t="s">
        <v>881</v>
      </c>
      <c r="W830" s="1078">
        <v>1</v>
      </c>
      <c r="X830" s="1078"/>
      <c r="Y830" s="1080"/>
      <c r="Z830" s="1134">
        <f t="shared" si="72"/>
        <v>1</v>
      </c>
      <c r="AA830" s="1074"/>
      <c r="AB830" s="1126"/>
      <c r="AC830" s="1073"/>
      <c r="AD830" s="1084"/>
      <c r="AE830" s="1062"/>
      <c r="AF830" s="1085"/>
      <c r="AG830" s="1086"/>
      <c r="AH830" s="1087">
        <v>300000</v>
      </c>
      <c r="AI830" s="1087">
        <f>AH830*Q830*0.5</f>
        <v>5790000</v>
      </c>
      <c r="AJ830" s="1088"/>
      <c r="AK830" s="1089">
        <v>1540</v>
      </c>
      <c r="AL830" s="1090">
        <f t="shared" si="70"/>
        <v>1540</v>
      </c>
      <c r="AM830" s="1086"/>
      <c r="AN830" s="1086"/>
      <c r="AO830" s="1087"/>
      <c r="AP830" s="1076"/>
      <c r="AQ830" s="1087"/>
      <c r="AR830" s="1076"/>
      <c r="AS830" s="1076"/>
      <c r="AT830" s="1086"/>
      <c r="AU830" s="1088"/>
      <c r="AV830" s="1067"/>
    </row>
    <row r="831" spans="1:48" ht="16.5" customHeight="1">
      <c r="A831" s="1082"/>
      <c r="B831" s="1082"/>
      <c r="C831" s="1083"/>
      <c r="D831" s="1077"/>
      <c r="E831" s="1083"/>
      <c r="F831" s="1138"/>
      <c r="G831" s="1074"/>
      <c r="H831" s="1092"/>
      <c r="I831" s="1127"/>
      <c r="J831" s="1128"/>
      <c r="K831" s="1067"/>
      <c r="L831" s="1139"/>
      <c r="M831" s="1294"/>
      <c r="N831" s="1074"/>
      <c r="O831" s="1083"/>
      <c r="P831" s="1073"/>
      <c r="Q831" s="1073"/>
      <c r="R831" s="1038"/>
      <c r="S831" s="1039"/>
      <c r="T831" s="1080"/>
      <c r="U831" s="1076">
        <v>13</v>
      </c>
      <c r="V831" s="1073" t="s">
        <v>232</v>
      </c>
      <c r="W831" s="1078">
        <v>16</v>
      </c>
      <c r="X831" s="1078"/>
      <c r="Y831" s="1080"/>
      <c r="Z831" s="1134">
        <f t="shared" si="72"/>
        <v>16</v>
      </c>
      <c r="AA831" s="1074"/>
      <c r="AB831" s="1126"/>
      <c r="AC831" s="1073"/>
      <c r="AD831" s="1084"/>
      <c r="AE831" s="1062"/>
      <c r="AF831" s="1085"/>
      <c r="AG831" s="1086"/>
      <c r="AH831" s="1087"/>
      <c r="AI831" s="1087"/>
      <c r="AJ831" s="1088"/>
      <c r="AK831" s="1089">
        <v>25000</v>
      </c>
      <c r="AL831" s="1090">
        <f t="shared" si="70"/>
        <v>400000</v>
      </c>
      <c r="AM831" s="1086"/>
      <c r="AN831" s="1086"/>
      <c r="AO831" s="1087"/>
      <c r="AP831" s="1076"/>
      <c r="AQ831" s="1087"/>
      <c r="AR831" s="1076"/>
      <c r="AS831" s="1076"/>
      <c r="AT831" s="1086"/>
      <c r="AU831" s="1088"/>
      <c r="AV831" s="1067"/>
    </row>
    <row r="832" spans="1:48" ht="16.5" customHeight="1">
      <c r="A832" s="1082"/>
      <c r="B832" s="1082"/>
      <c r="C832" s="1083"/>
      <c r="D832" s="1077"/>
      <c r="E832" s="1083"/>
      <c r="F832" s="1138"/>
      <c r="G832" s="1074"/>
      <c r="H832" s="1092"/>
      <c r="I832" s="1127"/>
      <c r="J832" s="1128"/>
      <c r="K832" s="1067"/>
      <c r="L832" s="1139"/>
      <c r="M832" s="1294"/>
      <c r="N832" s="1074"/>
      <c r="O832" s="1083"/>
      <c r="P832" s="1073"/>
      <c r="Q832" s="1073"/>
      <c r="R832" s="1038"/>
      <c r="S832" s="1039"/>
      <c r="T832" s="1080"/>
      <c r="U832" s="1076">
        <v>14</v>
      </c>
      <c r="V832" s="1073" t="s">
        <v>1366</v>
      </c>
      <c r="W832" s="1078">
        <v>1</v>
      </c>
      <c r="X832" s="1078"/>
      <c r="Y832" s="1080"/>
      <c r="Z832" s="1134">
        <f t="shared" si="72"/>
        <v>1</v>
      </c>
      <c r="AA832" s="1074"/>
      <c r="AB832" s="1126"/>
      <c r="AC832" s="1073"/>
      <c r="AD832" s="1084"/>
      <c r="AE832" s="1062"/>
      <c r="AF832" s="1085"/>
      <c r="AG832" s="1086"/>
      <c r="AH832" s="1087"/>
      <c r="AI832" s="1087"/>
      <c r="AJ832" s="1088"/>
      <c r="AK832" s="1089">
        <v>10000</v>
      </c>
      <c r="AL832" s="1090">
        <f t="shared" si="70"/>
        <v>10000</v>
      </c>
      <c r="AM832" s="1086"/>
      <c r="AN832" s="1086"/>
      <c r="AO832" s="1087"/>
      <c r="AP832" s="1076"/>
      <c r="AQ832" s="1087"/>
      <c r="AR832" s="1076"/>
      <c r="AS832" s="1076"/>
      <c r="AT832" s="1086"/>
      <c r="AU832" s="1088"/>
      <c r="AV832" s="1067"/>
    </row>
    <row r="833" spans="1:48" ht="16.5" customHeight="1">
      <c r="A833" s="1082"/>
      <c r="B833" s="1082"/>
      <c r="C833" s="1083"/>
      <c r="D833" s="1077"/>
      <c r="E833" s="1083"/>
      <c r="F833" s="1138"/>
      <c r="G833" s="1074"/>
      <c r="H833" s="1092"/>
      <c r="I833" s="1127"/>
      <c r="J833" s="1128"/>
      <c r="K833" s="1067"/>
      <c r="L833" s="1139"/>
      <c r="M833" s="1294"/>
      <c r="N833" s="1074"/>
      <c r="O833" s="1083"/>
      <c r="P833" s="1073"/>
      <c r="Q833" s="1073"/>
      <c r="R833" s="1038"/>
      <c r="S833" s="1039"/>
      <c r="T833" s="1080"/>
      <c r="U833" s="1076">
        <v>15</v>
      </c>
      <c r="V833" s="1073" t="s">
        <v>244</v>
      </c>
      <c r="W833" s="1078">
        <v>15</v>
      </c>
      <c r="X833" s="1078"/>
      <c r="Y833" s="1080"/>
      <c r="Z833" s="1134">
        <f t="shared" si="72"/>
        <v>15</v>
      </c>
      <c r="AA833" s="1074"/>
      <c r="AB833" s="1126"/>
      <c r="AC833" s="1073"/>
      <c r="AD833" s="1084"/>
      <c r="AE833" s="1062"/>
      <c r="AF833" s="1085"/>
      <c r="AG833" s="1086"/>
      <c r="AH833" s="1087"/>
      <c r="AI833" s="1087"/>
      <c r="AJ833" s="1088"/>
      <c r="AK833" s="1300">
        <v>6000</v>
      </c>
      <c r="AL833" s="1090">
        <f t="shared" si="70"/>
        <v>90000</v>
      </c>
      <c r="AM833" s="1086"/>
      <c r="AN833" s="1086"/>
      <c r="AO833" s="1087"/>
      <c r="AP833" s="1076"/>
      <c r="AQ833" s="1087"/>
      <c r="AR833" s="1076"/>
      <c r="AS833" s="1076"/>
      <c r="AT833" s="1086"/>
      <c r="AU833" s="1088"/>
      <c r="AV833" s="1067"/>
    </row>
    <row r="834" spans="1:48" ht="16.5" customHeight="1">
      <c r="A834" s="1098"/>
      <c r="B834" s="1098"/>
      <c r="C834" s="1105"/>
      <c r="D834" s="1151"/>
      <c r="E834" s="1105"/>
      <c r="F834" s="1150"/>
      <c r="G834" s="1094"/>
      <c r="H834" s="1099"/>
      <c r="I834" s="1152"/>
      <c r="J834" s="1153"/>
      <c r="K834" s="1101"/>
      <c r="L834" s="1154"/>
      <c r="M834" s="2019"/>
      <c r="N834" s="1095"/>
      <c r="O834" s="1105"/>
      <c r="P834" s="1107"/>
      <c r="Q834" s="1107"/>
      <c r="R834" s="1095"/>
      <c r="S834" s="1096"/>
      <c r="T834" s="1112"/>
      <c r="U834" s="1107"/>
      <c r="V834" s="1107"/>
      <c r="W834" s="1110"/>
      <c r="X834" s="1110"/>
      <c r="Y834" s="1112"/>
      <c r="Z834" s="1286"/>
      <c r="AA834" s="1094"/>
      <c r="AB834" s="1156"/>
      <c r="AC834" s="1107"/>
      <c r="AD834" s="1114"/>
      <c r="AE834" s="1093"/>
      <c r="AF834" s="1115"/>
      <c r="AG834" s="1116"/>
      <c r="AH834" s="1117"/>
      <c r="AI834" s="1117"/>
      <c r="AJ834" s="1118"/>
      <c r="AK834" s="1119"/>
      <c r="AL834" s="1120"/>
      <c r="AM834" s="1116"/>
      <c r="AN834" s="1116"/>
      <c r="AO834" s="1117"/>
      <c r="AP834" s="1108"/>
      <c r="AQ834" s="1117"/>
      <c r="AR834" s="1108"/>
      <c r="AS834" s="1108"/>
      <c r="AT834" s="1116"/>
      <c r="AU834" s="1118"/>
      <c r="AV834" s="1101"/>
    </row>
    <row r="835" spans="1:48" ht="16.5" customHeight="1">
      <c r="A835" s="1121">
        <v>62</v>
      </c>
      <c r="B835" s="1122" t="s">
        <v>25</v>
      </c>
      <c r="C835" s="1039" t="s">
        <v>1700</v>
      </c>
      <c r="D835" s="1123"/>
      <c r="E835" s="1074"/>
      <c r="F835" s="1138" t="s">
        <v>1699</v>
      </c>
      <c r="G835" s="1125" t="s">
        <v>25</v>
      </c>
      <c r="H835" s="1126" t="s">
        <v>1540</v>
      </c>
      <c r="I835" s="1587">
        <v>632</v>
      </c>
      <c r="J835" s="1128" t="s">
        <v>41</v>
      </c>
      <c r="K835" s="1067" t="s">
        <v>1698</v>
      </c>
      <c r="L835" s="1139" t="s">
        <v>46</v>
      </c>
      <c r="M835" s="1130" t="s">
        <v>46</v>
      </c>
      <c r="N835" s="1542" t="s">
        <v>1694</v>
      </c>
      <c r="O835" s="1131"/>
      <c r="P835" s="1075"/>
      <c r="Q835" s="1081"/>
      <c r="R835" s="1122"/>
      <c r="S835" s="1039"/>
      <c r="T835" s="1080"/>
      <c r="U835" s="1091">
        <v>1</v>
      </c>
      <c r="V835" s="1073" t="s">
        <v>268</v>
      </c>
      <c r="W835" s="1079">
        <v>1</v>
      </c>
      <c r="X835" s="1078"/>
      <c r="Y835" s="1039"/>
      <c r="Z835" s="1134">
        <f t="shared" ref="Z835:Z845" si="74">SUM(W835:Y835)</f>
        <v>1</v>
      </c>
      <c r="AA835" s="1123"/>
      <c r="AB835" s="1126"/>
      <c r="AC835" s="1073"/>
      <c r="AD835" s="1084"/>
      <c r="AE835" s="1062"/>
      <c r="AF835" s="1085">
        <f>+Resum!F4</f>
        <v>204000</v>
      </c>
      <c r="AG835" s="1086">
        <f>AF835*I835</f>
        <v>128928000</v>
      </c>
      <c r="AH835" s="1087"/>
      <c r="AI835" s="1087"/>
      <c r="AJ835" s="1135">
        <f>SUM(AI835:AI850)</f>
        <v>312576700</v>
      </c>
      <c r="AK835" s="1089">
        <v>200000</v>
      </c>
      <c r="AL835" s="1090">
        <f t="shared" si="70"/>
        <v>200000</v>
      </c>
      <c r="AM835" s="1086">
        <f>SUM(AL835:AL847)</f>
        <v>4913050</v>
      </c>
      <c r="AN835" s="1086">
        <f>AM835+AJ835+AG835</f>
        <v>446417750</v>
      </c>
      <c r="AO835" s="1087"/>
      <c r="AP835" s="1136">
        <f>(114444000+AI836)*15%</f>
        <v>28040850</v>
      </c>
      <c r="AQ835" s="1087">
        <f>(AG835+AI836)*1%</f>
        <v>2014230</v>
      </c>
      <c r="AR835" s="1136">
        <f>(AG835+AI836)*5%</f>
        <v>10071150</v>
      </c>
      <c r="AS835" s="1087">
        <f>0.5%*(AG835+AI836)*(3)</f>
        <v>3021345</v>
      </c>
      <c r="AT835" s="1086">
        <f>+AS835+AR835+AQ835+AP835+AO835</f>
        <v>43147575</v>
      </c>
      <c r="AU835" s="1137">
        <f>ROUND(AT835+AN835,-3)</f>
        <v>489565000</v>
      </c>
      <c r="AV835" s="1041"/>
    </row>
    <row r="836" spans="1:48" ht="16.5" customHeight="1">
      <c r="A836" s="1073"/>
      <c r="B836" s="1038" t="s">
        <v>16</v>
      </c>
      <c r="C836" s="1071" t="s">
        <v>1697</v>
      </c>
      <c r="D836" s="1074"/>
      <c r="E836" s="1063"/>
      <c r="F836" s="1138"/>
      <c r="G836" s="1074" t="s">
        <v>16</v>
      </c>
      <c r="H836" s="1074" t="s">
        <v>22</v>
      </c>
      <c r="I836" s="1127"/>
      <c r="J836" s="1128"/>
      <c r="K836" s="1067"/>
      <c r="L836" s="1139"/>
      <c r="M836" s="1130"/>
      <c r="N836" s="1122" t="s">
        <v>25</v>
      </c>
      <c r="O836" s="1293" t="s">
        <v>1543</v>
      </c>
      <c r="P836" s="1075"/>
      <c r="Q836" s="1081">
        <v>53.7</v>
      </c>
      <c r="R836" s="1038"/>
      <c r="S836" s="1039"/>
      <c r="T836" s="1080"/>
      <c r="U836" s="1091">
        <v>2</v>
      </c>
      <c r="V836" s="1073" t="s">
        <v>34</v>
      </c>
      <c r="W836" s="1079">
        <v>1</v>
      </c>
      <c r="X836" s="1078"/>
      <c r="Y836" s="1039"/>
      <c r="Z836" s="1134">
        <f t="shared" si="74"/>
        <v>1</v>
      </c>
      <c r="AA836" s="1074"/>
      <c r="AB836" s="1126"/>
      <c r="AC836" s="1073"/>
      <c r="AD836" s="1084"/>
      <c r="AE836" s="1062"/>
      <c r="AF836" s="1085"/>
      <c r="AG836" s="1086"/>
      <c r="AH836" s="1087">
        <v>1800000</v>
      </c>
      <c r="AI836" s="1087">
        <f>AH836*Q836*0.75</f>
        <v>72495000</v>
      </c>
      <c r="AJ836" s="1088"/>
      <c r="AK836" s="1089">
        <v>125000</v>
      </c>
      <c r="AL836" s="1090">
        <f t="shared" si="70"/>
        <v>125000</v>
      </c>
      <c r="AM836" s="1086"/>
      <c r="AN836" s="1086"/>
      <c r="AO836" s="1087"/>
      <c r="AP836" s="1076"/>
      <c r="AQ836" s="1087"/>
      <c r="AR836" s="1076"/>
      <c r="AS836" s="1076"/>
      <c r="AT836" s="1086"/>
      <c r="AU836" s="1088"/>
      <c r="AV836" s="1067"/>
    </row>
    <row r="837" spans="1:48" ht="16.5" customHeight="1">
      <c r="A837" s="1073"/>
      <c r="B837" s="1038" t="s">
        <v>18</v>
      </c>
      <c r="C837" s="1039" t="s">
        <v>38</v>
      </c>
      <c r="D837" s="1074"/>
      <c r="E837" s="1074"/>
      <c r="F837" s="1138"/>
      <c r="G837" s="1074" t="s">
        <v>18</v>
      </c>
      <c r="H837" s="1074" t="s">
        <v>19</v>
      </c>
      <c r="I837" s="1127"/>
      <c r="J837" s="1128"/>
      <c r="K837" s="1067"/>
      <c r="L837" s="1139"/>
      <c r="M837" s="1130"/>
      <c r="N837" s="1074" t="s">
        <v>16</v>
      </c>
      <c r="O837" s="1123" t="s">
        <v>21</v>
      </c>
      <c r="P837" s="1075"/>
      <c r="Q837" s="1081">
        <v>6.6</v>
      </c>
      <c r="R837" s="1038"/>
      <c r="S837" s="1039"/>
      <c r="T837" s="1080"/>
      <c r="U837" s="1091">
        <v>3</v>
      </c>
      <c r="V837" s="1073" t="s">
        <v>139</v>
      </c>
      <c r="W837" s="1079">
        <v>6</v>
      </c>
      <c r="X837" s="1078"/>
      <c r="Y837" s="1039"/>
      <c r="Z837" s="1134">
        <f t="shared" si="74"/>
        <v>6</v>
      </c>
      <c r="AA837" s="1074"/>
      <c r="AB837" s="1126"/>
      <c r="AC837" s="1073"/>
      <c r="AD837" s="1084"/>
      <c r="AE837" s="1062"/>
      <c r="AF837" s="1085"/>
      <c r="AG837" s="1086"/>
      <c r="AH837" s="1087">
        <v>100000</v>
      </c>
      <c r="AI837" s="1087">
        <f>AH837*Q837*0.75</f>
        <v>495000</v>
      </c>
      <c r="AJ837" s="1088"/>
      <c r="AK837" s="1089">
        <v>75000</v>
      </c>
      <c r="AL837" s="1090">
        <f t="shared" si="70"/>
        <v>450000</v>
      </c>
      <c r="AM837" s="1086"/>
      <c r="AN837" s="1086"/>
      <c r="AO837" s="1087"/>
      <c r="AP837" s="1076"/>
      <c r="AQ837" s="1087"/>
      <c r="AR837" s="1076"/>
      <c r="AS837" s="1076"/>
      <c r="AT837" s="1086"/>
      <c r="AU837" s="1088"/>
      <c r="AV837" s="1067"/>
    </row>
    <row r="838" spans="1:48" ht="49.5" customHeight="1">
      <c r="A838" s="1073"/>
      <c r="B838" s="1082" t="s">
        <v>12</v>
      </c>
      <c r="C838" s="1083" t="s">
        <v>1696</v>
      </c>
      <c r="D838" s="1077"/>
      <c r="E838" s="1126"/>
      <c r="F838" s="1138"/>
      <c r="G838" s="1074"/>
      <c r="H838" s="1077"/>
      <c r="I838" s="1127"/>
      <c r="J838" s="1128"/>
      <c r="K838" s="1067"/>
      <c r="L838" s="1139"/>
      <c r="M838" s="1130"/>
      <c r="N838" s="1074" t="s">
        <v>18</v>
      </c>
      <c r="O838" s="1131" t="s">
        <v>17</v>
      </c>
      <c r="P838" s="1075">
        <v>1</v>
      </c>
      <c r="Q838" s="1081"/>
      <c r="R838" s="1038"/>
      <c r="S838" s="1039"/>
      <c r="T838" s="1080"/>
      <c r="U838" s="1091">
        <v>4</v>
      </c>
      <c r="V838" s="1073" t="s">
        <v>14</v>
      </c>
      <c r="W838" s="1079">
        <v>2</v>
      </c>
      <c r="X838" s="1078"/>
      <c r="Y838" s="1039"/>
      <c r="Z838" s="1134">
        <f t="shared" si="74"/>
        <v>2</v>
      </c>
      <c r="AA838" s="1074"/>
      <c r="AB838" s="1063"/>
      <c r="AC838" s="1075"/>
      <c r="AD838" s="1084"/>
      <c r="AE838" s="1062"/>
      <c r="AF838" s="1085"/>
      <c r="AG838" s="1086"/>
      <c r="AH838" s="1087">
        <v>2500000</v>
      </c>
      <c r="AI838" s="1087">
        <f>AH838*P838*0.5</f>
        <v>1250000</v>
      </c>
      <c r="AJ838" s="1088"/>
      <c r="AK838" s="1089">
        <v>350000</v>
      </c>
      <c r="AL838" s="1087">
        <f t="shared" si="70"/>
        <v>700000</v>
      </c>
      <c r="AM838" s="1086"/>
      <c r="AN838" s="1086"/>
      <c r="AO838" s="1087"/>
      <c r="AP838" s="1076"/>
      <c r="AQ838" s="1087"/>
      <c r="AR838" s="1076"/>
      <c r="AS838" s="1076"/>
      <c r="AT838" s="1086"/>
      <c r="AU838" s="1088"/>
      <c r="AV838" s="1067"/>
    </row>
    <row r="839" spans="1:48" ht="16.5" customHeight="1">
      <c r="A839" s="1073"/>
      <c r="B839" s="1082" t="s">
        <v>8</v>
      </c>
      <c r="C839" s="1083" t="s">
        <v>1695</v>
      </c>
      <c r="D839" s="1077"/>
      <c r="E839" s="1126"/>
      <c r="F839" s="1138"/>
      <c r="G839" s="1074"/>
      <c r="H839" s="1077"/>
      <c r="I839" s="1127"/>
      <c r="J839" s="1128"/>
      <c r="K839" s="1067"/>
      <c r="L839" s="1139"/>
      <c r="M839" s="1130"/>
      <c r="N839" s="1074" t="s">
        <v>12</v>
      </c>
      <c r="O839" s="1131" t="s">
        <v>11</v>
      </c>
      <c r="P839" s="1075">
        <v>1</v>
      </c>
      <c r="Q839" s="1081"/>
      <c r="R839" s="1038"/>
      <c r="S839" s="1039"/>
      <c r="T839" s="1080"/>
      <c r="U839" s="1091"/>
      <c r="V839" s="1073" t="s">
        <v>14</v>
      </c>
      <c r="W839" s="1079"/>
      <c r="X839" s="1078">
        <v>13</v>
      </c>
      <c r="Y839" s="1039"/>
      <c r="Z839" s="1134">
        <f t="shared" si="74"/>
        <v>13</v>
      </c>
      <c r="AA839" s="1074"/>
      <c r="AB839" s="1063"/>
      <c r="AC839" s="1075"/>
      <c r="AD839" s="1084"/>
      <c r="AE839" s="1062"/>
      <c r="AF839" s="1085"/>
      <c r="AG839" s="1086"/>
      <c r="AH839" s="1087">
        <v>2500000</v>
      </c>
      <c r="AI839" s="1087">
        <f>AH839*P839*0.75</f>
        <v>1875000</v>
      </c>
      <c r="AJ839" s="1088"/>
      <c r="AK839" s="1089">
        <v>231000</v>
      </c>
      <c r="AL839" s="1087">
        <f>AK839*X839</f>
        <v>3003000</v>
      </c>
      <c r="AM839" s="1086"/>
      <c r="AN839" s="1086"/>
      <c r="AO839" s="1087"/>
      <c r="AP839" s="1076"/>
      <c r="AQ839" s="1087"/>
      <c r="AR839" s="1076"/>
      <c r="AS839" s="1076"/>
      <c r="AT839" s="1086"/>
      <c r="AU839" s="1088"/>
      <c r="AV839" s="1067"/>
    </row>
    <row r="840" spans="1:48" ht="33" customHeight="1">
      <c r="A840" s="1073"/>
      <c r="B840" s="1082"/>
      <c r="C840" s="1083"/>
      <c r="D840" s="1077"/>
      <c r="E840" s="1126"/>
      <c r="F840" s="1138"/>
      <c r="G840" s="1074"/>
      <c r="H840" s="1077"/>
      <c r="I840" s="1127"/>
      <c r="J840" s="1128"/>
      <c r="K840" s="1067"/>
      <c r="L840" s="1139"/>
      <c r="M840" s="1130"/>
      <c r="O840" s="1247"/>
      <c r="P840" s="1320"/>
      <c r="R840" s="1038"/>
      <c r="S840" s="1039"/>
      <c r="T840" s="1080"/>
      <c r="U840" s="1091">
        <v>5</v>
      </c>
      <c r="V840" s="1073" t="s">
        <v>32</v>
      </c>
      <c r="W840" s="1079">
        <v>3</v>
      </c>
      <c r="X840" s="1078"/>
      <c r="Y840" s="1039"/>
      <c r="Z840" s="1134">
        <f t="shared" si="74"/>
        <v>3</v>
      </c>
      <c r="AA840" s="1074"/>
      <c r="AB840" s="1063"/>
      <c r="AC840" s="1075"/>
      <c r="AD840" s="1084"/>
      <c r="AE840" s="1062"/>
      <c r="AF840" s="1085"/>
      <c r="AG840" s="1086"/>
      <c r="AH840" s="1087"/>
      <c r="AI840" s="1087">
        <f t="shared" ref="AI840:AI845" si="75">AH840*Q840*0.65</f>
        <v>0</v>
      </c>
      <c r="AJ840" s="1088"/>
      <c r="AK840" s="1089">
        <v>25300</v>
      </c>
      <c r="AL840" s="1090">
        <f t="shared" ref="AL840:AL845" si="76">AK840*W840</f>
        <v>75900</v>
      </c>
      <c r="AM840" s="1086"/>
      <c r="AN840" s="1086"/>
      <c r="AO840" s="1087"/>
      <c r="AP840" s="1076"/>
      <c r="AQ840" s="1087"/>
      <c r="AR840" s="1076"/>
      <c r="AS840" s="1076"/>
      <c r="AT840" s="1086"/>
      <c r="AU840" s="1088"/>
      <c r="AV840" s="1067"/>
    </row>
    <row r="841" spans="1:48" ht="16.5" customHeight="1">
      <c r="A841" s="1073"/>
      <c r="B841" s="1082"/>
      <c r="C841" s="1083"/>
      <c r="D841" s="1077"/>
      <c r="E841" s="1126"/>
      <c r="F841" s="1138"/>
      <c r="G841" s="1074"/>
      <c r="H841" s="1077"/>
      <c r="I841" s="1127"/>
      <c r="J841" s="1128"/>
      <c r="K841" s="1067"/>
      <c r="L841" s="1139"/>
      <c r="M841" s="1130"/>
      <c r="N841" s="1542" t="s">
        <v>1691</v>
      </c>
      <c r="O841" s="1131"/>
      <c r="P841" s="1075"/>
      <c r="Q841" s="1081"/>
      <c r="R841" s="1038"/>
      <c r="S841" s="1039"/>
      <c r="T841" s="1080"/>
      <c r="U841" s="1091">
        <v>6</v>
      </c>
      <c r="V841" s="1073" t="s">
        <v>1600</v>
      </c>
      <c r="W841" s="1079">
        <v>25</v>
      </c>
      <c r="X841" s="1078"/>
      <c r="Y841" s="1039"/>
      <c r="Z841" s="1134">
        <f t="shared" si="74"/>
        <v>25</v>
      </c>
      <c r="AA841" s="1074"/>
      <c r="AB841" s="1063"/>
      <c r="AC841" s="1075"/>
      <c r="AD841" s="1084"/>
      <c r="AE841" s="1062"/>
      <c r="AF841" s="1085"/>
      <c r="AG841" s="1086"/>
      <c r="AH841" s="1087"/>
      <c r="AI841" s="1087">
        <f t="shared" si="75"/>
        <v>0</v>
      </c>
      <c r="AJ841" s="1088"/>
      <c r="AK841" s="1089"/>
      <c r="AL841" s="1090">
        <f t="shared" si="76"/>
        <v>0</v>
      </c>
      <c r="AM841" s="1086"/>
      <c r="AN841" s="1086"/>
      <c r="AO841" s="1087"/>
      <c r="AP841" s="1076"/>
      <c r="AQ841" s="1087"/>
      <c r="AR841" s="1076"/>
      <c r="AS841" s="1076"/>
      <c r="AT841" s="1086"/>
      <c r="AU841" s="1088"/>
      <c r="AV841" s="1067"/>
    </row>
    <row r="842" spans="1:48" ht="33" customHeight="1">
      <c r="A842" s="1073"/>
      <c r="B842" s="1082"/>
      <c r="C842" s="1083"/>
      <c r="D842" s="1077"/>
      <c r="E842" s="1126"/>
      <c r="F842" s="1138"/>
      <c r="G842" s="1074"/>
      <c r="H842" s="1077"/>
      <c r="I842" s="1127"/>
      <c r="J842" s="1128"/>
      <c r="K842" s="1067"/>
      <c r="L842" s="1139"/>
      <c r="M842" s="1130"/>
      <c r="N842" s="1122" t="s">
        <v>25</v>
      </c>
      <c r="O842" s="1293" t="s">
        <v>26</v>
      </c>
      <c r="P842" s="1075"/>
      <c r="Q842" s="1081">
        <v>72.3</v>
      </c>
      <c r="R842" s="1038"/>
      <c r="S842" s="1039"/>
      <c r="T842" s="1080"/>
      <c r="U842" s="1091">
        <v>7</v>
      </c>
      <c r="V842" s="1073" t="s">
        <v>1693</v>
      </c>
      <c r="W842" s="1079">
        <v>20</v>
      </c>
      <c r="X842" s="1078"/>
      <c r="Y842" s="1039"/>
      <c r="Z842" s="1134">
        <f t="shared" si="74"/>
        <v>20</v>
      </c>
      <c r="AA842" s="1074"/>
      <c r="AB842" s="1063"/>
      <c r="AC842" s="1075"/>
      <c r="AD842" s="1084"/>
      <c r="AE842" s="1062"/>
      <c r="AF842" s="1085"/>
      <c r="AG842" s="1086"/>
      <c r="AH842" s="1087">
        <v>2530000</v>
      </c>
      <c r="AI842" s="1087">
        <f>AH842*Q842*0.8</f>
        <v>146335200</v>
      </c>
      <c r="AJ842" s="1088"/>
      <c r="AK842" s="1089">
        <v>2400</v>
      </c>
      <c r="AL842" s="1090">
        <f t="shared" si="76"/>
        <v>48000</v>
      </c>
      <c r="AM842" s="1086"/>
      <c r="AN842" s="1086"/>
      <c r="AO842" s="1087"/>
      <c r="AP842" s="1076"/>
      <c r="AQ842" s="1087"/>
      <c r="AR842" s="1076"/>
      <c r="AS842" s="1076"/>
      <c r="AT842" s="1086"/>
      <c r="AU842" s="1088"/>
      <c r="AV842" s="1067"/>
    </row>
    <row r="843" spans="1:48" ht="16.5" customHeight="1">
      <c r="A843" s="1073"/>
      <c r="B843" s="1082"/>
      <c r="C843" s="1083"/>
      <c r="D843" s="1077"/>
      <c r="E843" s="1126"/>
      <c r="F843" s="1138"/>
      <c r="G843" s="1074"/>
      <c r="H843" s="1077"/>
      <c r="I843" s="1127"/>
      <c r="J843" s="1128"/>
      <c r="K843" s="1067"/>
      <c r="L843" s="1139"/>
      <c r="M843" s="1130"/>
      <c r="N843" s="1074" t="s">
        <v>16</v>
      </c>
      <c r="O843" s="1131" t="s">
        <v>21</v>
      </c>
      <c r="P843" s="1075"/>
      <c r="Q843" s="1081">
        <v>8.25</v>
      </c>
      <c r="R843" s="1038"/>
      <c r="S843" s="1039"/>
      <c r="T843" s="1080"/>
      <c r="U843" s="1091">
        <v>8</v>
      </c>
      <c r="V843" s="1073" t="s">
        <v>826</v>
      </c>
      <c r="W843" s="1079">
        <v>50</v>
      </c>
      <c r="X843" s="1078"/>
      <c r="Y843" s="1039"/>
      <c r="Z843" s="1134">
        <f t="shared" si="74"/>
        <v>50</v>
      </c>
      <c r="AA843" s="1074"/>
      <c r="AB843" s="1063"/>
      <c r="AC843" s="1075"/>
      <c r="AD843" s="1084"/>
      <c r="AE843" s="1062"/>
      <c r="AF843" s="1085"/>
      <c r="AG843" s="1086"/>
      <c r="AH843" s="1087">
        <v>350000</v>
      </c>
      <c r="AI843" s="1087">
        <f>AH843*Q843*0.8</f>
        <v>2310000</v>
      </c>
      <c r="AJ843" s="1088"/>
      <c r="AK843" s="1089">
        <v>2645</v>
      </c>
      <c r="AL843" s="1090">
        <f t="shared" si="76"/>
        <v>132250</v>
      </c>
      <c r="AM843" s="1086"/>
      <c r="AN843" s="1086"/>
      <c r="AO843" s="1087"/>
      <c r="AP843" s="1076"/>
      <c r="AQ843" s="1087"/>
      <c r="AR843" s="1076"/>
      <c r="AS843" s="1076"/>
      <c r="AT843" s="1086"/>
      <c r="AU843" s="1088"/>
      <c r="AV843" s="1067"/>
    </row>
    <row r="844" spans="1:48" ht="16.5" customHeight="1">
      <c r="A844" s="1073"/>
      <c r="B844" s="1082"/>
      <c r="C844" s="1083"/>
      <c r="D844" s="1077"/>
      <c r="E844" s="1126"/>
      <c r="F844" s="1138"/>
      <c r="G844" s="1074"/>
      <c r="H844" s="1077"/>
      <c r="I844" s="1127"/>
      <c r="J844" s="1128"/>
      <c r="K844" s="1067"/>
      <c r="L844" s="1139"/>
      <c r="M844" s="1130"/>
      <c r="O844" s="1247"/>
      <c r="P844" s="1320"/>
      <c r="Q844" s="1081"/>
      <c r="R844" s="1038"/>
      <c r="S844" s="1039"/>
      <c r="T844" s="1080"/>
      <c r="U844" s="1091">
        <v>9</v>
      </c>
      <c r="V844" s="1073" t="s">
        <v>83</v>
      </c>
      <c r="W844" s="1079">
        <v>50</v>
      </c>
      <c r="X844" s="1078"/>
      <c r="Y844" s="1039"/>
      <c r="Z844" s="1134">
        <f t="shared" si="74"/>
        <v>50</v>
      </c>
      <c r="AA844" s="1074"/>
      <c r="AB844" s="1063"/>
      <c r="AC844" s="1075"/>
      <c r="AD844" s="1084"/>
      <c r="AE844" s="1062"/>
      <c r="AF844" s="1085"/>
      <c r="AG844" s="1086"/>
      <c r="AH844" s="1087"/>
      <c r="AI844" s="1087">
        <f t="shared" si="75"/>
        <v>0</v>
      </c>
      <c r="AJ844" s="1088"/>
      <c r="AK844" s="1089">
        <v>3000</v>
      </c>
      <c r="AL844" s="1090">
        <f t="shared" si="76"/>
        <v>150000</v>
      </c>
      <c r="AM844" s="1086"/>
      <c r="AN844" s="1086"/>
      <c r="AO844" s="1087"/>
      <c r="AP844" s="1076"/>
      <c r="AQ844" s="1087"/>
      <c r="AR844" s="1076"/>
      <c r="AS844" s="1076"/>
      <c r="AT844" s="1086"/>
      <c r="AU844" s="1088"/>
      <c r="AV844" s="1067"/>
    </row>
    <row r="845" spans="1:48" ht="16.5" customHeight="1">
      <c r="A845" s="1073"/>
      <c r="B845" s="1082"/>
      <c r="C845" s="1083"/>
      <c r="D845" s="1077"/>
      <c r="E845" s="1126"/>
      <c r="F845" s="1138"/>
      <c r="G845" s="1074"/>
      <c r="H845" s="1077"/>
      <c r="I845" s="1127"/>
      <c r="J845" s="1128"/>
      <c r="K845" s="1067"/>
      <c r="L845" s="1139"/>
      <c r="M845" s="1130"/>
      <c r="N845" s="1542" t="s">
        <v>1690</v>
      </c>
      <c r="O845" s="1131"/>
      <c r="P845" s="1075"/>
      <c r="Q845" s="1081"/>
      <c r="R845" s="1038"/>
      <c r="S845" s="1039"/>
      <c r="T845" s="1080"/>
      <c r="U845" s="1091">
        <v>10</v>
      </c>
      <c r="V845" s="1073" t="s">
        <v>1692</v>
      </c>
      <c r="W845" s="1079">
        <v>4</v>
      </c>
      <c r="X845" s="1078"/>
      <c r="Y845" s="1039"/>
      <c r="Z845" s="1134">
        <f t="shared" si="74"/>
        <v>4</v>
      </c>
      <c r="AA845" s="1074"/>
      <c r="AB845" s="1063"/>
      <c r="AC845" s="1075"/>
      <c r="AD845" s="1084"/>
      <c r="AE845" s="1062"/>
      <c r="AF845" s="1085"/>
      <c r="AG845" s="1086"/>
      <c r="AH845" s="1087"/>
      <c r="AI845" s="1087">
        <f t="shared" si="75"/>
        <v>0</v>
      </c>
      <c r="AJ845" s="1088"/>
      <c r="AK845" s="1089">
        <v>1600</v>
      </c>
      <c r="AL845" s="1090">
        <f t="shared" si="76"/>
        <v>6400</v>
      </c>
      <c r="AM845" s="1086"/>
      <c r="AN845" s="1086"/>
      <c r="AO845" s="1087"/>
      <c r="AP845" s="1076"/>
      <c r="AQ845" s="1087"/>
      <c r="AR845" s="1076"/>
      <c r="AS845" s="1076"/>
      <c r="AT845" s="1086"/>
      <c r="AU845" s="1088"/>
      <c r="AV845" s="1067"/>
    </row>
    <row r="846" spans="1:48" ht="16.5" customHeight="1">
      <c r="A846" s="1073"/>
      <c r="B846" s="1082"/>
      <c r="C846" s="1083"/>
      <c r="D846" s="1077"/>
      <c r="E846" s="1126"/>
      <c r="F846" s="1138"/>
      <c r="G846" s="1074"/>
      <c r="H846" s="1077"/>
      <c r="I846" s="1127"/>
      <c r="J846" s="1128"/>
      <c r="K846" s="1067"/>
      <c r="L846" s="1139"/>
      <c r="M846" s="1130"/>
      <c r="N846" s="1122" t="s">
        <v>25</v>
      </c>
      <c r="O846" s="1293" t="s">
        <v>26</v>
      </c>
      <c r="P846" s="1075"/>
      <c r="Q846" s="1081">
        <v>62.45</v>
      </c>
      <c r="R846" s="1038"/>
      <c r="S846" s="1039"/>
      <c r="T846" s="1080"/>
      <c r="U846" s="1091">
        <v>11</v>
      </c>
      <c r="V846" s="1073" t="s">
        <v>81</v>
      </c>
      <c r="W846" s="1079"/>
      <c r="X846" s="1078">
        <v>45</v>
      </c>
      <c r="Y846" s="1039"/>
      <c r="Z846" s="1183"/>
      <c r="AA846" s="1074"/>
      <c r="AB846" s="1063"/>
      <c r="AC846" s="1075"/>
      <c r="AD846" s="1084"/>
      <c r="AE846" s="1062"/>
      <c r="AF846" s="1085"/>
      <c r="AG846" s="1086"/>
      <c r="AH846" s="1087">
        <v>2200000</v>
      </c>
      <c r="AI846" s="1087">
        <f>AH846*Q846*0.6</f>
        <v>82434000</v>
      </c>
      <c r="AJ846" s="1088"/>
      <c r="AK846" s="1089">
        <v>500</v>
      </c>
      <c r="AL846" s="1090">
        <f>AK846*X846</f>
        <v>22500</v>
      </c>
      <c r="AM846" s="1086"/>
      <c r="AN846" s="1086"/>
      <c r="AO846" s="1087"/>
      <c r="AP846" s="1076"/>
      <c r="AQ846" s="1087"/>
      <c r="AR846" s="1076"/>
      <c r="AS846" s="1076"/>
      <c r="AT846" s="1086"/>
      <c r="AU846" s="1088"/>
      <c r="AV846" s="1067"/>
    </row>
    <row r="847" spans="1:48" ht="16.5" customHeight="1">
      <c r="A847" s="1073"/>
      <c r="B847" s="1082"/>
      <c r="C847" s="1083"/>
      <c r="D847" s="1077"/>
      <c r="E847" s="1126"/>
      <c r="F847" s="1138"/>
      <c r="G847" s="1074"/>
      <c r="H847" s="1077"/>
      <c r="I847" s="1127"/>
      <c r="J847" s="1128"/>
      <c r="K847" s="1067"/>
      <c r="L847" s="1139"/>
      <c r="M847" s="1130"/>
      <c r="N847" s="1074" t="s">
        <v>16</v>
      </c>
      <c r="O847" s="1131" t="s">
        <v>21</v>
      </c>
      <c r="P847" s="1075"/>
      <c r="Q847" s="1081">
        <v>10.75</v>
      </c>
      <c r="R847" s="1038"/>
      <c r="S847" s="1039"/>
      <c r="T847" s="1080"/>
      <c r="U847" s="1077"/>
      <c r="V847" s="1073"/>
      <c r="W847" s="1079"/>
      <c r="X847" s="1078"/>
      <c r="Y847" s="1039"/>
      <c r="Z847" s="1183"/>
      <c r="AA847" s="1074"/>
      <c r="AB847" s="1063"/>
      <c r="AC847" s="1075"/>
      <c r="AD847" s="1084"/>
      <c r="AE847" s="1062"/>
      <c r="AF847" s="1085"/>
      <c r="AG847" s="1086"/>
      <c r="AH847" s="1087">
        <v>350000</v>
      </c>
      <c r="AI847" s="1087">
        <f>AH847*Q847*0.6</f>
        <v>2257500</v>
      </c>
      <c r="AJ847" s="1088"/>
      <c r="AK847" s="1089"/>
      <c r="AL847" s="1090"/>
      <c r="AM847" s="1086"/>
      <c r="AN847" s="1086"/>
      <c r="AO847" s="1087"/>
      <c r="AP847" s="1076"/>
      <c r="AQ847" s="1087"/>
      <c r="AR847" s="1076"/>
      <c r="AS847" s="1076"/>
      <c r="AT847" s="1086"/>
      <c r="AU847" s="1088"/>
      <c r="AV847" s="1067"/>
    </row>
    <row r="848" spans="1:48" ht="16.5" customHeight="1">
      <c r="A848" s="1073"/>
      <c r="B848" s="1082"/>
      <c r="C848" s="1083"/>
      <c r="D848" s="1077"/>
      <c r="E848" s="1126"/>
      <c r="F848" s="1138"/>
      <c r="G848" s="1074"/>
      <c r="H848" s="1077"/>
      <c r="I848" s="1127"/>
      <c r="J848" s="1128"/>
      <c r="K848" s="1067"/>
      <c r="L848" s="1139"/>
      <c r="M848" s="1130"/>
      <c r="N848" s="1074" t="s">
        <v>18</v>
      </c>
      <c r="O848" s="1131" t="s">
        <v>17</v>
      </c>
      <c r="P848" s="1075">
        <v>1</v>
      </c>
      <c r="Q848" s="1081"/>
      <c r="R848" s="1038"/>
      <c r="S848" s="1039"/>
      <c r="T848" s="1080"/>
      <c r="U848" s="1077"/>
      <c r="V848" s="1073"/>
      <c r="W848" s="1079"/>
      <c r="X848" s="1078"/>
      <c r="Y848" s="1039"/>
      <c r="Z848" s="1183"/>
      <c r="AA848" s="1074"/>
      <c r="AB848" s="1063"/>
      <c r="AC848" s="1075"/>
      <c r="AD848" s="1084"/>
      <c r="AE848" s="1062"/>
      <c r="AF848" s="1085"/>
      <c r="AG848" s="1086"/>
      <c r="AH848" s="1087">
        <v>2500000</v>
      </c>
      <c r="AI848" s="1087">
        <f>AH848*P848*0.5</f>
        <v>1250000</v>
      </c>
      <c r="AJ848" s="1088"/>
      <c r="AK848" s="1089"/>
      <c r="AL848" s="1090"/>
      <c r="AM848" s="1086"/>
      <c r="AN848" s="1086"/>
      <c r="AO848" s="1087"/>
      <c r="AP848" s="1076"/>
      <c r="AQ848" s="1087"/>
      <c r="AR848" s="1076"/>
      <c r="AS848" s="1076"/>
      <c r="AT848" s="1086"/>
      <c r="AU848" s="1088"/>
      <c r="AV848" s="1067"/>
    </row>
    <row r="849" spans="1:48" ht="16.5" customHeight="1">
      <c r="A849" s="1073"/>
      <c r="B849" s="1082"/>
      <c r="C849" s="1083"/>
      <c r="D849" s="1077"/>
      <c r="E849" s="1126"/>
      <c r="F849" s="1138"/>
      <c r="G849" s="1074"/>
      <c r="H849" s="1077"/>
      <c r="I849" s="1127"/>
      <c r="J849" s="1128"/>
      <c r="K849" s="1067"/>
      <c r="L849" s="1139"/>
      <c r="M849" s="1130"/>
      <c r="N849" s="1074" t="s">
        <v>12</v>
      </c>
      <c r="O849" s="1131" t="s">
        <v>11</v>
      </c>
      <c r="P849" s="1075">
        <v>1</v>
      </c>
      <c r="Q849" s="1081"/>
      <c r="R849" s="1038"/>
      <c r="S849" s="1039"/>
      <c r="T849" s="1080"/>
      <c r="U849" s="1077"/>
      <c r="V849" s="1073"/>
      <c r="W849" s="1079"/>
      <c r="X849" s="1078"/>
      <c r="Y849" s="1039"/>
      <c r="Z849" s="1183"/>
      <c r="AA849" s="1074"/>
      <c r="AB849" s="1063"/>
      <c r="AC849" s="1075"/>
      <c r="AD849" s="1084"/>
      <c r="AE849" s="1062"/>
      <c r="AF849" s="1085"/>
      <c r="AG849" s="1086"/>
      <c r="AH849" s="1087">
        <v>2500000</v>
      </c>
      <c r="AI849" s="1087">
        <f>AH849*P849*0.75</f>
        <v>1875000</v>
      </c>
      <c r="AJ849" s="1088"/>
      <c r="AK849" s="1089"/>
      <c r="AL849" s="1090"/>
      <c r="AM849" s="1086"/>
      <c r="AN849" s="1086"/>
      <c r="AO849" s="1087"/>
      <c r="AP849" s="1076"/>
      <c r="AQ849" s="1087"/>
      <c r="AR849" s="1076"/>
      <c r="AS849" s="1076"/>
      <c r="AT849" s="1086"/>
      <c r="AU849" s="1088"/>
      <c r="AV849" s="1067"/>
    </row>
    <row r="850" spans="1:48" ht="16.5" customHeight="1">
      <c r="A850" s="1073"/>
      <c r="B850" s="1082"/>
      <c r="C850" s="1083"/>
      <c r="D850" s="1077"/>
      <c r="E850" s="1126"/>
      <c r="F850" s="1138"/>
      <c r="G850" s="1074"/>
      <c r="H850" s="1077"/>
      <c r="I850" s="1127"/>
      <c r="J850" s="1128"/>
      <c r="K850" s="1067"/>
      <c r="L850" s="1139"/>
      <c r="M850" s="1130"/>
      <c r="N850" s="1074"/>
      <c r="O850" s="1257"/>
      <c r="P850" s="1073"/>
      <c r="Q850" s="1077"/>
      <c r="R850" s="1038"/>
      <c r="S850" s="1039"/>
      <c r="T850" s="1080"/>
      <c r="U850" s="1077"/>
      <c r="V850" s="1073"/>
      <c r="W850" s="1079"/>
      <c r="X850" s="1078"/>
      <c r="Y850" s="1039"/>
      <c r="Z850" s="1183"/>
      <c r="AA850" s="1074"/>
      <c r="AB850" s="1063"/>
      <c r="AC850" s="1075"/>
      <c r="AD850" s="1084"/>
      <c r="AE850" s="1062"/>
      <c r="AF850" s="1085"/>
      <c r="AG850" s="1086"/>
      <c r="AH850" s="1087"/>
      <c r="AI850" s="1087"/>
      <c r="AJ850" s="1088"/>
      <c r="AK850" s="1089"/>
      <c r="AL850" s="1090"/>
      <c r="AM850" s="1086"/>
      <c r="AN850" s="1086"/>
      <c r="AO850" s="1087"/>
      <c r="AP850" s="1076"/>
      <c r="AQ850" s="1087"/>
      <c r="AR850" s="1076"/>
      <c r="AS850" s="1076"/>
      <c r="AT850" s="1086"/>
      <c r="AU850" s="1088"/>
      <c r="AV850" s="1067"/>
    </row>
    <row r="851" spans="1:48" ht="16.5" customHeight="1">
      <c r="A851" s="1073"/>
      <c r="B851" s="1082"/>
      <c r="C851" s="1083"/>
      <c r="D851" s="1077"/>
      <c r="E851" s="1126"/>
      <c r="F851" s="1138"/>
      <c r="G851" s="1074"/>
      <c r="H851" s="1077"/>
      <c r="I851" s="1127"/>
      <c r="J851" s="1128"/>
      <c r="K851" s="1067"/>
      <c r="L851" s="1139"/>
      <c r="M851" s="1130"/>
      <c r="N851" s="1542"/>
      <c r="O851" s="1126"/>
      <c r="P851" s="1073"/>
      <c r="Q851" s="1077"/>
      <c r="R851" s="1038"/>
      <c r="S851" s="1039"/>
      <c r="T851" s="1080"/>
      <c r="U851" s="1077"/>
      <c r="V851" s="1073"/>
      <c r="W851" s="1079"/>
      <c r="X851" s="1078"/>
      <c r="Y851" s="1039"/>
      <c r="Z851" s="1183"/>
      <c r="AA851" s="1074"/>
      <c r="AB851" s="1063"/>
      <c r="AC851" s="1075"/>
      <c r="AD851" s="1084"/>
      <c r="AE851" s="1062"/>
      <c r="AF851" s="1085"/>
      <c r="AG851" s="1086"/>
      <c r="AH851" s="1087"/>
      <c r="AI851" s="1087"/>
      <c r="AJ851" s="1088"/>
      <c r="AK851" s="1089"/>
      <c r="AL851" s="1090"/>
      <c r="AM851" s="1086"/>
      <c r="AN851" s="1086"/>
      <c r="AO851" s="1087"/>
      <c r="AP851" s="1076"/>
      <c r="AQ851" s="1087"/>
      <c r="AR851" s="1076"/>
      <c r="AS851" s="1076"/>
      <c r="AT851" s="1086"/>
      <c r="AU851" s="1088"/>
      <c r="AV851" s="1067"/>
    </row>
    <row r="852" spans="1:48" ht="16.5" customHeight="1">
      <c r="A852" s="1073"/>
      <c r="B852" s="1082"/>
      <c r="C852" s="1083"/>
      <c r="D852" s="1077"/>
      <c r="E852" s="1126"/>
      <c r="F852" s="1138"/>
      <c r="G852" s="1074"/>
      <c r="H852" s="1077"/>
      <c r="I852" s="1127"/>
      <c r="J852" s="1128"/>
      <c r="K852" s="1067"/>
      <c r="L852" s="1139"/>
      <c r="M852" s="1130"/>
      <c r="N852" s="1122"/>
      <c r="O852" s="1246"/>
      <c r="P852" s="1073"/>
      <c r="Q852" s="1077"/>
      <c r="R852" s="1038"/>
      <c r="S852" s="1039"/>
      <c r="T852" s="1080"/>
      <c r="U852" s="1077"/>
      <c r="V852" s="1073"/>
      <c r="W852" s="1079"/>
      <c r="X852" s="1078"/>
      <c r="Y852" s="1039"/>
      <c r="Z852" s="1183"/>
      <c r="AA852" s="1074"/>
      <c r="AB852" s="1063"/>
      <c r="AC852" s="1075"/>
      <c r="AD852" s="1084"/>
      <c r="AE852" s="1062"/>
      <c r="AF852" s="1085"/>
      <c r="AG852" s="1086"/>
      <c r="AH852" s="1087"/>
      <c r="AI852" s="1087"/>
      <c r="AJ852" s="1088"/>
      <c r="AK852" s="1089"/>
      <c r="AL852" s="1090"/>
      <c r="AM852" s="1086"/>
      <c r="AN852" s="1086"/>
      <c r="AO852" s="1087"/>
      <c r="AP852" s="1076"/>
      <c r="AQ852" s="1087"/>
      <c r="AR852" s="1076"/>
      <c r="AS852" s="1076"/>
      <c r="AT852" s="1086"/>
      <c r="AU852" s="1088"/>
      <c r="AV852" s="1067"/>
    </row>
    <row r="853" spans="1:48" ht="16.5" customHeight="1">
      <c r="A853" s="1073"/>
      <c r="B853" s="1082"/>
      <c r="C853" s="1083"/>
      <c r="D853" s="1077"/>
      <c r="E853" s="1126"/>
      <c r="F853" s="1138"/>
      <c r="G853" s="1074"/>
      <c r="H853" s="1077"/>
      <c r="I853" s="1127"/>
      <c r="J853" s="1128"/>
      <c r="K853" s="1067"/>
      <c r="L853" s="1139"/>
      <c r="M853" s="1130"/>
      <c r="N853" s="1074"/>
      <c r="O853" s="1126"/>
      <c r="P853" s="1073"/>
      <c r="Q853" s="1077"/>
      <c r="R853" s="1038"/>
      <c r="S853" s="1039"/>
      <c r="T853" s="1080"/>
      <c r="U853" s="1077"/>
      <c r="V853" s="1073"/>
      <c r="W853" s="1079"/>
      <c r="X853" s="1078"/>
      <c r="Y853" s="1039"/>
      <c r="Z853" s="1183"/>
      <c r="AA853" s="1074"/>
      <c r="AB853" s="1063"/>
      <c r="AC853" s="1075"/>
      <c r="AD853" s="1084"/>
      <c r="AE853" s="1062"/>
      <c r="AF853" s="1085"/>
      <c r="AG853" s="1086"/>
      <c r="AH853" s="1087"/>
      <c r="AI853" s="1087"/>
      <c r="AJ853" s="1088"/>
      <c r="AK853" s="1089"/>
      <c r="AL853" s="1090"/>
      <c r="AM853" s="1086"/>
      <c r="AN853" s="1086"/>
      <c r="AO853" s="1087"/>
      <c r="AP853" s="1076"/>
      <c r="AQ853" s="1087"/>
      <c r="AR853" s="1076"/>
      <c r="AS853" s="1076"/>
      <c r="AT853" s="1086"/>
      <c r="AU853" s="1088"/>
      <c r="AV853" s="1067"/>
    </row>
    <row r="854" spans="1:48" ht="16.5" customHeight="1">
      <c r="A854" s="1073"/>
      <c r="B854" s="1082"/>
      <c r="C854" s="1083"/>
      <c r="D854" s="1077"/>
      <c r="E854" s="1126"/>
      <c r="F854" s="1138"/>
      <c r="G854" s="1074"/>
      <c r="H854" s="1077"/>
      <c r="I854" s="1127"/>
      <c r="J854" s="1128"/>
      <c r="K854" s="1067"/>
      <c r="L854" s="1139"/>
      <c r="M854" s="1130"/>
      <c r="N854" s="1074"/>
      <c r="O854" s="1126"/>
      <c r="P854" s="1073"/>
      <c r="Q854" s="1077"/>
      <c r="R854" s="1038"/>
      <c r="S854" s="1039"/>
      <c r="T854" s="1080"/>
      <c r="U854" s="1077"/>
      <c r="V854" s="1073"/>
      <c r="W854" s="1079"/>
      <c r="X854" s="1078"/>
      <c r="Y854" s="1039"/>
      <c r="Z854" s="1183"/>
      <c r="AA854" s="1074"/>
      <c r="AB854" s="1063"/>
      <c r="AC854" s="1075"/>
      <c r="AD854" s="1084"/>
      <c r="AE854" s="1062"/>
      <c r="AF854" s="1085"/>
      <c r="AG854" s="1086"/>
      <c r="AH854" s="1087"/>
      <c r="AI854" s="1087"/>
      <c r="AJ854" s="1088"/>
      <c r="AK854" s="1089"/>
      <c r="AL854" s="1090"/>
      <c r="AM854" s="1086"/>
      <c r="AN854" s="1086"/>
      <c r="AO854" s="1087"/>
      <c r="AP854" s="1076"/>
      <c r="AQ854" s="1087"/>
      <c r="AR854" s="1076"/>
      <c r="AS854" s="1076"/>
      <c r="AT854" s="1086"/>
      <c r="AU854" s="1088"/>
      <c r="AV854" s="1067"/>
    </row>
    <row r="855" spans="1:48" ht="16.5" customHeight="1">
      <c r="A855" s="1073"/>
      <c r="B855" s="1082"/>
      <c r="C855" s="1083"/>
      <c r="D855" s="1077"/>
      <c r="E855" s="1126"/>
      <c r="F855" s="1138"/>
      <c r="G855" s="1074"/>
      <c r="H855" s="1077"/>
      <c r="I855" s="1127"/>
      <c r="J855" s="1128"/>
      <c r="K855" s="1067"/>
      <c r="L855" s="1139"/>
      <c r="M855" s="1130"/>
      <c r="N855" s="1074"/>
      <c r="O855" s="1126"/>
      <c r="P855" s="1073"/>
      <c r="Q855" s="1077"/>
      <c r="R855" s="1038"/>
      <c r="S855" s="1039"/>
      <c r="T855" s="1080"/>
      <c r="U855" s="1077"/>
      <c r="V855" s="1073"/>
      <c r="W855" s="1079"/>
      <c r="X855" s="1078"/>
      <c r="Y855" s="1039"/>
      <c r="Z855" s="1183"/>
      <c r="AA855" s="1074"/>
      <c r="AB855" s="1063"/>
      <c r="AC855" s="1075"/>
      <c r="AD855" s="1084"/>
      <c r="AE855" s="1062"/>
      <c r="AF855" s="1085"/>
      <c r="AG855" s="1086"/>
      <c r="AH855" s="1087"/>
      <c r="AI855" s="1087"/>
      <c r="AJ855" s="1088"/>
      <c r="AK855" s="1089"/>
      <c r="AL855" s="1090"/>
      <c r="AM855" s="1086"/>
      <c r="AN855" s="1086"/>
      <c r="AO855" s="1087"/>
      <c r="AP855" s="1076"/>
      <c r="AQ855" s="1087"/>
      <c r="AR855" s="1076"/>
      <c r="AS855" s="1076"/>
      <c r="AT855" s="1086"/>
      <c r="AU855" s="1088"/>
      <c r="AV855" s="1067"/>
    </row>
    <row r="856" spans="1:48" ht="16.5" customHeight="1">
      <c r="A856" s="1073"/>
      <c r="B856" s="1082"/>
      <c r="C856" s="1083"/>
      <c r="D856" s="1077"/>
      <c r="E856" s="1126"/>
      <c r="F856" s="1138"/>
      <c r="G856" s="1074"/>
      <c r="H856" s="1077"/>
      <c r="I856" s="1127"/>
      <c r="J856" s="1128"/>
      <c r="K856" s="1067"/>
      <c r="L856" s="1139"/>
      <c r="M856" s="1130"/>
      <c r="N856" s="1542"/>
      <c r="O856" s="1126"/>
      <c r="P856" s="1073"/>
      <c r="Q856" s="1077"/>
      <c r="R856" s="1038"/>
      <c r="S856" s="1039"/>
      <c r="T856" s="1080"/>
      <c r="U856" s="1077"/>
      <c r="V856" s="1073"/>
      <c r="W856" s="1079"/>
      <c r="X856" s="1078"/>
      <c r="Y856" s="1039"/>
      <c r="Z856" s="1183"/>
      <c r="AA856" s="1074"/>
      <c r="AB856" s="1063"/>
      <c r="AC856" s="1075"/>
      <c r="AD856" s="1084"/>
      <c r="AE856" s="1062"/>
      <c r="AF856" s="1085"/>
      <c r="AG856" s="1086"/>
      <c r="AH856" s="1087"/>
      <c r="AI856" s="1087"/>
      <c r="AJ856" s="1088"/>
      <c r="AK856" s="1089"/>
      <c r="AL856" s="1090"/>
      <c r="AM856" s="1086"/>
      <c r="AN856" s="1086"/>
      <c r="AO856" s="1087"/>
      <c r="AP856" s="1076"/>
      <c r="AQ856" s="1087"/>
      <c r="AR856" s="1076"/>
      <c r="AS856" s="1076"/>
      <c r="AT856" s="1086"/>
      <c r="AU856" s="1088"/>
      <c r="AV856" s="1067"/>
    </row>
    <row r="857" spans="1:48" ht="16.5" customHeight="1">
      <c r="A857" s="1073"/>
      <c r="B857" s="1082"/>
      <c r="C857" s="1083"/>
      <c r="D857" s="1077"/>
      <c r="E857" s="1126"/>
      <c r="F857" s="1138"/>
      <c r="G857" s="1074"/>
      <c r="H857" s="1077"/>
      <c r="I857" s="1127"/>
      <c r="J857" s="1128"/>
      <c r="K857" s="1067"/>
      <c r="L857" s="1139"/>
      <c r="M857" s="1130"/>
      <c r="N857" s="1122"/>
      <c r="O857" s="1246"/>
      <c r="P857" s="1073"/>
      <c r="Q857" s="1077"/>
      <c r="R857" s="1038"/>
      <c r="S857" s="1039"/>
      <c r="T857" s="1080"/>
      <c r="U857" s="1077"/>
      <c r="V857" s="1073"/>
      <c r="W857" s="1079"/>
      <c r="X857" s="1078"/>
      <c r="Y857" s="1039"/>
      <c r="Z857" s="1183"/>
      <c r="AA857" s="1074"/>
      <c r="AB857" s="1063"/>
      <c r="AC857" s="1075"/>
      <c r="AD857" s="1084"/>
      <c r="AE857" s="1062"/>
      <c r="AF857" s="1085"/>
      <c r="AG857" s="1086"/>
      <c r="AH857" s="1087"/>
      <c r="AI857" s="1087"/>
      <c r="AJ857" s="1088"/>
      <c r="AK857" s="1089"/>
      <c r="AL857" s="1090"/>
      <c r="AM857" s="1086"/>
      <c r="AN857" s="1086"/>
      <c r="AO857" s="1087"/>
      <c r="AP857" s="1076"/>
      <c r="AQ857" s="1087"/>
      <c r="AR857" s="1076"/>
      <c r="AS857" s="1076"/>
      <c r="AT857" s="1086"/>
      <c r="AU857" s="1088"/>
      <c r="AV857" s="1067"/>
    </row>
    <row r="858" spans="1:48" ht="16.5" customHeight="1">
      <c r="A858" s="1073"/>
      <c r="B858" s="1082"/>
      <c r="C858" s="1083"/>
      <c r="D858" s="1077"/>
      <c r="E858" s="1126"/>
      <c r="F858" s="1138"/>
      <c r="G858" s="1074"/>
      <c r="H858" s="1077"/>
      <c r="I858" s="1127"/>
      <c r="J858" s="1128"/>
      <c r="K858" s="1067"/>
      <c r="L858" s="1139"/>
      <c r="M858" s="1130"/>
      <c r="N858" s="1074"/>
      <c r="O858" s="1126"/>
      <c r="P858" s="1073"/>
      <c r="Q858" s="1077"/>
      <c r="R858" s="1038"/>
      <c r="S858" s="1039"/>
      <c r="T858" s="1080"/>
      <c r="U858" s="1077"/>
      <c r="V858" s="1073"/>
      <c r="W858" s="1079"/>
      <c r="X858" s="1078"/>
      <c r="Y858" s="1039"/>
      <c r="Z858" s="1183"/>
      <c r="AA858" s="1074"/>
      <c r="AB858" s="1063"/>
      <c r="AC858" s="1075"/>
      <c r="AD858" s="1084"/>
      <c r="AE858" s="1062"/>
      <c r="AF858" s="1085"/>
      <c r="AG858" s="1086"/>
      <c r="AH858" s="1087"/>
      <c r="AI858" s="1087"/>
      <c r="AJ858" s="1088"/>
      <c r="AK858" s="1089"/>
      <c r="AL858" s="1090"/>
      <c r="AM858" s="1086"/>
      <c r="AN858" s="1086"/>
      <c r="AO858" s="1087"/>
      <c r="AP858" s="1076"/>
      <c r="AQ858" s="1087"/>
      <c r="AR858" s="1076"/>
      <c r="AS858" s="1076"/>
      <c r="AT858" s="1086"/>
      <c r="AU858" s="1088"/>
      <c r="AV858" s="1067"/>
    </row>
    <row r="859" spans="1:48" ht="16.5" customHeight="1">
      <c r="A859" s="1073"/>
      <c r="B859" s="1082"/>
      <c r="C859" s="1083"/>
      <c r="D859" s="1077"/>
      <c r="E859" s="1126"/>
      <c r="F859" s="1138"/>
      <c r="G859" s="1074"/>
      <c r="H859" s="1077"/>
      <c r="I859" s="1127"/>
      <c r="J859" s="1128"/>
      <c r="K859" s="1067"/>
      <c r="L859" s="1139"/>
      <c r="M859" s="1130"/>
      <c r="N859" s="1074"/>
      <c r="O859" s="1126"/>
      <c r="P859" s="1073"/>
      <c r="Q859" s="1077"/>
      <c r="R859" s="1038"/>
      <c r="S859" s="1039"/>
      <c r="T859" s="1080"/>
      <c r="U859" s="1077"/>
      <c r="V859" s="1073"/>
      <c r="W859" s="1079"/>
      <c r="X859" s="1078"/>
      <c r="Y859" s="1039"/>
      <c r="Z859" s="1183"/>
      <c r="AA859" s="1074"/>
      <c r="AB859" s="1063"/>
      <c r="AC859" s="1075"/>
      <c r="AD859" s="1084"/>
      <c r="AE859" s="1062"/>
      <c r="AF859" s="1085"/>
      <c r="AG859" s="1086"/>
      <c r="AH859" s="1087"/>
      <c r="AI859" s="1087"/>
      <c r="AJ859" s="1088"/>
      <c r="AK859" s="1089"/>
      <c r="AL859" s="1090"/>
      <c r="AM859" s="1086"/>
      <c r="AN859" s="1086"/>
      <c r="AO859" s="1087"/>
      <c r="AP859" s="1076"/>
      <c r="AQ859" s="1087"/>
      <c r="AR859" s="1076"/>
      <c r="AS859" s="1076"/>
      <c r="AT859" s="1086"/>
      <c r="AU859" s="1088"/>
      <c r="AV859" s="1067"/>
    </row>
    <row r="860" spans="1:48" ht="16.5" customHeight="1">
      <c r="A860" s="1073"/>
      <c r="B860" s="1082"/>
      <c r="C860" s="1083"/>
      <c r="D860" s="1077"/>
      <c r="E860" s="1126"/>
      <c r="F860" s="1138"/>
      <c r="G860" s="1074"/>
      <c r="H860" s="1077"/>
      <c r="I860" s="1127"/>
      <c r="J860" s="1128"/>
      <c r="K860" s="1067"/>
      <c r="L860" s="1139"/>
      <c r="M860" s="1130"/>
      <c r="N860" s="1074"/>
      <c r="O860" s="1126"/>
      <c r="P860" s="1073"/>
      <c r="Q860" s="1077"/>
      <c r="R860" s="1038"/>
      <c r="S860" s="1039"/>
      <c r="T860" s="1080"/>
      <c r="U860" s="1077"/>
      <c r="V860" s="1073"/>
      <c r="W860" s="1079"/>
      <c r="X860" s="1078"/>
      <c r="Y860" s="1039"/>
      <c r="Z860" s="1183"/>
      <c r="AA860" s="1074"/>
      <c r="AB860" s="1063"/>
      <c r="AC860" s="1075"/>
      <c r="AD860" s="1084"/>
      <c r="AE860" s="1062"/>
      <c r="AF860" s="1085"/>
      <c r="AG860" s="1086"/>
      <c r="AH860" s="1087"/>
      <c r="AI860" s="1087"/>
      <c r="AJ860" s="1088"/>
      <c r="AK860" s="1089"/>
      <c r="AL860" s="1090"/>
      <c r="AM860" s="1086"/>
      <c r="AN860" s="1086"/>
      <c r="AO860" s="1087"/>
      <c r="AP860" s="1076"/>
      <c r="AQ860" s="1087"/>
      <c r="AR860" s="1076"/>
      <c r="AS860" s="1076"/>
      <c r="AT860" s="1086"/>
      <c r="AU860" s="1088"/>
      <c r="AV860" s="1067"/>
    </row>
    <row r="861" spans="1:48" ht="16.5" customHeight="1">
      <c r="A861" s="1073"/>
      <c r="B861" s="1082"/>
      <c r="C861" s="1083"/>
      <c r="D861" s="1077"/>
      <c r="E861" s="1126"/>
      <c r="F861" s="1138"/>
      <c r="G861" s="1074"/>
      <c r="H861" s="1077"/>
      <c r="I861" s="1127"/>
      <c r="J861" s="1128"/>
      <c r="K861" s="1067"/>
      <c r="L861" s="1139"/>
      <c r="M861" s="1130"/>
      <c r="N861" s="1074"/>
      <c r="O861" s="1126"/>
      <c r="P861" s="1073"/>
      <c r="Q861" s="1077"/>
      <c r="R861" s="1038"/>
      <c r="S861" s="1039"/>
      <c r="T861" s="1080"/>
      <c r="U861" s="1077"/>
      <c r="V861" s="1073"/>
      <c r="W861" s="1079"/>
      <c r="X861" s="1078"/>
      <c r="Y861" s="1039"/>
      <c r="Z861" s="1183"/>
      <c r="AA861" s="1074"/>
      <c r="AB861" s="1063"/>
      <c r="AC861" s="1075"/>
      <c r="AD861" s="1084"/>
      <c r="AE861" s="1062"/>
      <c r="AF861" s="1085"/>
      <c r="AG861" s="1086"/>
      <c r="AH861" s="1087"/>
      <c r="AI861" s="1087"/>
      <c r="AJ861" s="1088"/>
      <c r="AK861" s="1089"/>
      <c r="AL861" s="1090"/>
      <c r="AM861" s="1086"/>
      <c r="AN861" s="1086"/>
      <c r="AO861" s="1087"/>
      <c r="AP861" s="1076"/>
      <c r="AQ861" s="1087"/>
      <c r="AR861" s="1076"/>
      <c r="AS861" s="1076"/>
      <c r="AT861" s="1086"/>
      <c r="AU861" s="1088"/>
      <c r="AV861" s="1067"/>
    </row>
    <row r="862" spans="1:48" ht="16.5" customHeight="1">
      <c r="A862" s="1107"/>
      <c r="B862" s="1095"/>
      <c r="C862" s="1186"/>
      <c r="D862" s="1094"/>
      <c r="E862" s="1149"/>
      <c r="F862" s="1150"/>
      <c r="G862" s="1094"/>
      <c r="H862" s="1151"/>
      <c r="I862" s="1152"/>
      <c r="J862" s="1153"/>
      <c r="K862" s="1101"/>
      <c r="L862" s="1154"/>
      <c r="M862" s="1155"/>
      <c r="N862" s="1094"/>
      <c r="O862" s="1156"/>
      <c r="P862" s="1107"/>
      <c r="Q862" s="1151"/>
      <c r="R862" s="1095"/>
      <c r="S862" s="1096"/>
      <c r="T862" s="1112"/>
      <c r="U862" s="1109"/>
      <c r="V862" s="1108"/>
      <c r="W862" s="1111"/>
      <c r="X862" s="1110"/>
      <c r="Y862" s="1096"/>
      <c r="Z862" s="1166"/>
      <c r="AA862" s="1094"/>
      <c r="AB862" s="1167"/>
      <c r="AC862" s="1168"/>
      <c r="AD862" s="1114"/>
      <c r="AE862" s="1093"/>
      <c r="AF862" s="1115"/>
      <c r="AG862" s="1116"/>
      <c r="AH862" s="1117"/>
      <c r="AI862" s="1117"/>
      <c r="AJ862" s="1118"/>
      <c r="AK862" s="1119"/>
      <c r="AL862" s="1120"/>
      <c r="AM862" s="1116"/>
      <c r="AN862" s="1116"/>
      <c r="AO862" s="1117"/>
      <c r="AP862" s="1108"/>
      <c r="AQ862" s="1117"/>
      <c r="AR862" s="1108"/>
      <c r="AS862" s="1108"/>
      <c r="AT862" s="1116"/>
      <c r="AU862" s="1118"/>
      <c r="AV862" s="1101"/>
    </row>
    <row r="863" spans="1:48" ht="16.5" customHeight="1">
      <c r="A863" s="1169">
        <v>63</v>
      </c>
      <c r="B863" s="1033" t="s">
        <v>25</v>
      </c>
      <c r="C863" s="1036" t="s">
        <v>1689</v>
      </c>
      <c r="D863" s="1034"/>
      <c r="E863" s="1199"/>
      <c r="F863" s="1375" t="s">
        <v>1688</v>
      </c>
      <c r="G863" s="1172" t="s">
        <v>25</v>
      </c>
      <c r="H863" s="1173" t="s">
        <v>1540</v>
      </c>
      <c r="I863" s="1275">
        <v>323.08800000000002</v>
      </c>
      <c r="J863" s="1175" t="s">
        <v>41</v>
      </c>
      <c r="K863" s="1041" t="s">
        <v>1687</v>
      </c>
      <c r="L863" s="1276"/>
      <c r="M863" s="1048"/>
      <c r="N863" s="1122" t="s">
        <v>25</v>
      </c>
      <c r="O863" s="1293" t="s">
        <v>26</v>
      </c>
      <c r="P863" s="1048"/>
      <c r="Q863" s="1054">
        <v>69</v>
      </c>
      <c r="R863" s="1035"/>
      <c r="S863" s="1034"/>
      <c r="T863" s="1053"/>
      <c r="U863" s="1353"/>
      <c r="V863" s="1319"/>
      <c r="W863" s="1052"/>
      <c r="X863" s="1051"/>
      <c r="Y863" s="1036"/>
      <c r="Z863" s="1312"/>
      <c r="AA863" s="1034"/>
      <c r="AB863" s="1181"/>
      <c r="AC863" s="1048"/>
      <c r="AD863" s="1180"/>
      <c r="AE863" s="1049"/>
      <c r="AF863" s="1056">
        <f>+Resum!F4</f>
        <v>204000</v>
      </c>
      <c r="AG863" s="1086">
        <f>AF863*I863</f>
        <v>65909952.000000007</v>
      </c>
      <c r="AH863" s="1058">
        <v>1500000</v>
      </c>
      <c r="AI863" s="1087">
        <f>AH863*Q863*0.75</f>
        <v>77625000</v>
      </c>
      <c r="AJ863" s="1182">
        <f>SUM(AI863:AI868)</f>
        <v>96162500</v>
      </c>
      <c r="AK863" s="1060"/>
      <c r="AL863" s="1061"/>
      <c r="AM863" s="1057"/>
      <c r="AN863" s="1086">
        <f>AM863+AJ863+AG863</f>
        <v>162072452</v>
      </c>
      <c r="AO863" s="1058"/>
      <c r="AP863" s="1136">
        <f>(AG863+AJ863)*15%</f>
        <v>24310867.800000001</v>
      </c>
      <c r="AQ863" s="1087">
        <f>(AG863+AJ863)*1%</f>
        <v>1620724.52</v>
      </c>
      <c r="AR863" s="1136">
        <f>(AG863+AJ863)*5%</f>
        <v>8103622.6000000006</v>
      </c>
      <c r="AS863" s="1087">
        <f>0.5%*(AG863+AJ863)*(3)</f>
        <v>2431086.7800000003</v>
      </c>
      <c r="AT863" s="1086">
        <f>+AS863+AR863+AQ863+AP863+AO863</f>
        <v>36466301.700000003</v>
      </c>
      <c r="AU863" s="1137">
        <f>ROUND(AT863+AN863,-3)</f>
        <v>198539000</v>
      </c>
      <c r="AV863" s="1279"/>
    </row>
    <row r="864" spans="1:48" ht="16.5" customHeight="1">
      <c r="A864" s="1073"/>
      <c r="B864" s="1038" t="s">
        <v>16</v>
      </c>
      <c r="C864" s="1039" t="s">
        <v>1686</v>
      </c>
      <c r="D864" s="1074"/>
      <c r="E864" s="1204"/>
      <c r="F864" s="1138"/>
      <c r="G864" s="1074" t="s">
        <v>16</v>
      </c>
      <c r="H864" s="1074" t="s">
        <v>22</v>
      </c>
      <c r="I864" s="1127"/>
      <c r="J864" s="1128"/>
      <c r="K864" s="1067"/>
      <c r="L864" s="1221"/>
      <c r="M864" s="1075"/>
      <c r="N864" s="1074"/>
      <c r="O864" s="1131"/>
      <c r="P864" s="1075"/>
      <c r="Q864" s="1081"/>
      <c r="R864" s="1038"/>
      <c r="S864" s="1074"/>
      <c r="T864" s="1080"/>
      <c r="U864" s="1184"/>
      <c r="V864" s="1185"/>
      <c r="W864" s="1079"/>
      <c r="X864" s="1078"/>
      <c r="Y864" s="1039"/>
      <c r="Z864" s="1183"/>
      <c r="AA864" s="1074"/>
      <c r="AB864" s="1063"/>
      <c r="AC864" s="1075"/>
      <c r="AD864" s="1091"/>
      <c r="AE864" s="1076"/>
      <c r="AF864" s="1085"/>
      <c r="AG864" s="1086"/>
      <c r="AH864" s="1087">
        <v>0</v>
      </c>
      <c r="AI864" s="1087"/>
      <c r="AJ864" s="1088"/>
      <c r="AK864" s="1089"/>
      <c r="AL864" s="1090"/>
      <c r="AM864" s="1086"/>
      <c r="AN864" s="1086"/>
      <c r="AO864" s="1087"/>
      <c r="AP864" s="1076"/>
      <c r="AQ864" s="1087"/>
      <c r="AR864" s="1076"/>
      <c r="AS864" s="1076"/>
      <c r="AT864" s="1086"/>
      <c r="AU864" s="1088"/>
      <c r="AV864" s="1235"/>
    </row>
    <row r="865" spans="1:48" ht="16.5" customHeight="1">
      <c r="A865" s="1073"/>
      <c r="B865" s="1038" t="s">
        <v>18</v>
      </c>
      <c r="C865" s="1083" t="s">
        <v>124</v>
      </c>
      <c r="D865" s="1074"/>
      <c r="E865" s="1204"/>
      <c r="F865" s="1138"/>
      <c r="G865" s="1074" t="s">
        <v>18</v>
      </c>
      <c r="H865" s="1074" t="s">
        <v>19</v>
      </c>
      <c r="I865" s="1127"/>
      <c r="J865" s="1128"/>
      <c r="K865" s="1067"/>
      <c r="L865" s="1221"/>
      <c r="M865" s="1075"/>
      <c r="N865" s="1074" t="s">
        <v>18</v>
      </c>
      <c r="O865" s="1131" t="s">
        <v>21</v>
      </c>
      <c r="P865" s="1075"/>
      <c r="Q865" s="1081">
        <v>34.25</v>
      </c>
      <c r="R865" s="1038"/>
      <c r="S865" s="1074"/>
      <c r="T865" s="1080"/>
      <c r="U865" s="1184"/>
      <c r="V865" s="1185"/>
      <c r="W865" s="1079"/>
      <c r="X865" s="1078"/>
      <c r="Y865" s="1039"/>
      <c r="Z865" s="1183"/>
      <c r="AA865" s="1074"/>
      <c r="AB865" s="1063"/>
      <c r="AC865" s="1075"/>
      <c r="AD865" s="1091"/>
      <c r="AE865" s="1076"/>
      <c r="AF865" s="1085"/>
      <c r="AG865" s="1086"/>
      <c r="AH865" s="1087">
        <v>750000</v>
      </c>
      <c r="AI865" s="1087">
        <f>AH865*Q865*0.6</f>
        <v>15412500</v>
      </c>
      <c r="AJ865" s="1088"/>
      <c r="AK865" s="1089"/>
      <c r="AL865" s="1090"/>
      <c r="AM865" s="1086"/>
      <c r="AN865" s="1086"/>
      <c r="AO865" s="1087"/>
      <c r="AP865" s="1076"/>
      <c r="AQ865" s="1087"/>
      <c r="AR865" s="1076"/>
      <c r="AS865" s="1076"/>
      <c r="AT865" s="1086"/>
      <c r="AU865" s="1088"/>
      <c r="AV865" s="1235"/>
    </row>
    <row r="866" spans="1:48" ht="66" customHeight="1">
      <c r="A866" s="1073"/>
      <c r="B866" s="1082" t="s">
        <v>12</v>
      </c>
      <c r="C866" s="1083" t="s">
        <v>1685</v>
      </c>
      <c r="D866" s="1074"/>
      <c r="E866" s="1204"/>
      <c r="F866" s="1138"/>
      <c r="G866" s="1074"/>
      <c r="H866" s="1077"/>
      <c r="I866" s="1127"/>
      <c r="J866" s="1128"/>
      <c r="K866" s="1067"/>
      <c r="L866" s="1221"/>
      <c r="M866" s="1075"/>
      <c r="N866" s="1074" t="s">
        <v>12</v>
      </c>
      <c r="O866" s="1131" t="s">
        <v>17</v>
      </c>
      <c r="P866" s="1075">
        <v>1</v>
      </c>
      <c r="Q866" s="1081"/>
      <c r="R866" s="1038"/>
      <c r="S866" s="1074"/>
      <c r="T866" s="1080"/>
      <c r="U866" s="1184"/>
      <c r="V866" s="1185"/>
      <c r="W866" s="1079"/>
      <c r="X866" s="1078"/>
      <c r="Y866" s="1039"/>
      <c r="Z866" s="1183"/>
      <c r="AA866" s="1074"/>
      <c r="AB866" s="1063"/>
      <c r="AC866" s="1075"/>
      <c r="AD866" s="1091"/>
      <c r="AE866" s="1076"/>
      <c r="AF866" s="1085"/>
      <c r="AG866" s="1086"/>
      <c r="AH866" s="1087">
        <v>2500000</v>
      </c>
      <c r="AI866" s="1087">
        <f>AH866*P866*0.5</f>
        <v>1250000</v>
      </c>
      <c r="AJ866" s="1088"/>
      <c r="AK866" s="1089"/>
      <c r="AL866" s="1090"/>
      <c r="AM866" s="1086"/>
      <c r="AN866" s="1086"/>
      <c r="AO866" s="1087"/>
      <c r="AP866" s="1076"/>
      <c r="AQ866" s="1087"/>
      <c r="AR866" s="1076"/>
      <c r="AS866" s="1076"/>
      <c r="AT866" s="1086"/>
      <c r="AU866" s="1088"/>
      <c r="AV866" s="1235"/>
    </row>
    <row r="867" spans="1:48" ht="16.5" customHeight="1">
      <c r="A867" s="1073"/>
      <c r="B867" s="1082" t="s">
        <v>8</v>
      </c>
      <c r="C867" s="1083" t="s">
        <v>1684</v>
      </c>
      <c r="D867" s="1074"/>
      <c r="E867" s="1204"/>
      <c r="F867" s="1138"/>
      <c r="G867" s="1074"/>
      <c r="H867" s="1077"/>
      <c r="I867" s="1127"/>
      <c r="J867" s="1128"/>
      <c r="K867" s="1067"/>
      <c r="L867" s="1221"/>
      <c r="M867" s="1075"/>
      <c r="N867" s="1074" t="s">
        <v>8</v>
      </c>
      <c r="O867" s="1131" t="s">
        <v>11</v>
      </c>
      <c r="P867" s="1075">
        <v>1</v>
      </c>
      <c r="Q867" s="1081"/>
      <c r="R867" s="1038"/>
      <c r="S867" s="1074"/>
      <c r="T867" s="1080"/>
      <c r="U867" s="1184"/>
      <c r="V867" s="1185"/>
      <c r="W867" s="1079"/>
      <c r="X867" s="1078"/>
      <c r="Y867" s="1039"/>
      <c r="Z867" s="1183"/>
      <c r="AA867" s="1074"/>
      <c r="AB867" s="1063"/>
      <c r="AC867" s="1075"/>
      <c r="AD867" s="1091"/>
      <c r="AE867" s="1076"/>
      <c r="AF867" s="1085"/>
      <c r="AG867" s="1086"/>
      <c r="AH867" s="1087">
        <v>2500000</v>
      </c>
      <c r="AI867" s="1087">
        <f>AH867*P867*0.75</f>
        <v>1875000</v>
      </c>
      <c r="AJ867" s="1088"/>
      <c r="AK867" s="1089"/>
      <c r="AL867" s="1090"/>
      <c r="AM867" s="1086"/>
      <c r="AN867" s="1086"/>
      <c r="AO867" s="1087"/>
      <c r="AP867" s="1076"/>
      <c r="AQ867" s="1087"/>
      <c r="AR867" s="1076"/>
      <c r="AS867" s="1076"/>
      <c r="AT867" s="1086"/>
      <c r="AU867" s="1088"/>
      <c r="AV867" s="1235"/>
    </row>
    <row r="868" spans="1:48" ht="16.5" customHeight="1">
      <c r="A868" s="1073"/>
      <c r="B868" s="1082"/>
      <c r="C868" s="1083"/>
      <c r="D868" s="1074"/>
      <c r="E868" s="1204"/>
      <c r="F868" s="1138"/>
      <c r="G868" s="1074"/>
      <c r="H868" s="1077"/>
      <c r="I868" s="1127"/>
      <c r="J868" s="1128"/>
      <c r="K868" s="1067"/>
      <c r="L868" s="1221"/>
      <c r="M868" s="1075"/>
      <c r="N868" s="1074"/>
      <c r="O868" s="1126"/>
      <c r="P868" s="1073"/>
      <c r="Q868" s="1077"/>
      <c r="R868" s="1038"/>
      <c r="S868" s="1074"/>
      <c r="T868" s="1080"/>
      <c r="U868" s="1184"/>
      <c r="V868" s="1185"/>
      <c r="W868" s="1079"/>
      <c r="X868" s="1078"/>
      <c r="Y868" s="1039"/>
      <c r="Z868" s="1183"/>
      <c r="AA868" s="1074"/>
      <c r="AB868" s="1063"/>
      <c r="AC868" s="1075"/>
      <c r="AD868" s="1091"/>
      <c r="AE868" s="1076"/>
      <c r="AF868" s="1085"/>
      <c r="AG868" s="1086"/>
      <c r="AH868" s="1087"/>
      <c r="AI868" s="1087"/>
      <c r="AJ868" s="1088"/>
      <c r="AK868" s="1089"/>
      <c r="AL868" s="1090"/>
      <c r="AM868" s="1086"/>
      <c r="AN868" s="1086"/>
      <c r="AO868" s="1087"/>
      <c r="AP868" s="1076"/>
      <c r="AQ868" s="1087"/>
      <c r="AR868" s="1076"/>
      <c r="AS868" s="1076"/>
      <c r="AT868" s="1086"/>
      <c r="AU868" s="1088"/>
      <c r="AV868" s="1235"/>
    </row>
    <row r="869" spans="1:48" ht="16.5" customHeight="1">
      <c r="A869" s="1073"/>
      <c r="B869" s="1082"/>
      <c r="C869" s="1083"/>
      <c r="D869" s="1074"/>
      <c r="E869" s="1204"/>
      <c r="F869" s="1138"/>
      <c r="G869" s="1074"/>
      <c r="H869" s="1077"/>
      <c r="I869" s="1127"/>
      <c r="J869" s="1128"/>
      <c r="K869" s="1067"/>
      <c r="L869" s="1221"/>
      <c r="M869" s="1075"/>
      <c r="N869" s="1074"/>
      <c r="O869" s="1126"/>
      <c r="P869" s="1073"/>
      <c r="Q869" s="1077"/>
      <c r="R869" s="1038"/>
      <c r="S869" s="1074"/>
      <c r="T869" s="1080"/>
      <c r="U869" s="1184"/>
      <c r="V869" s="1185"/>
      <c r="W869" s="1079"/>
      <c r="X869" s="1078"/>
      <c r="Y869" s="1039"/>
      <c r="Z869" s="1183"/>
      <c r="AA869" s="1074"/>
      <c r="AB869" s="1063"/>
      <c r="AC869" s="1075"/>
      <c r="AD869" s="1091"/>
      <c r="AE869" s="1076"/>
      <c r="AF869" s="1085"/>
      <c r="AG869" s="1086"/>
      <c r="AH869" s="1087"/>
      <c r="AI869" s="1087"/>
      <c r="AJ869" s="1088"/>
      <c r="AK869" s="1089"/>
      <c r="AL869" s="1090"/>
      <c r="AM869" s="1086"/>
      <c r="AN869" s="1086"/>
      <c r="AO869" s="1087"/>
      <c r="AP869" s="1076"/>
      <c r="AQ869" s="1087"/>
      <c r="AR869" s="1076"/>
      <c r="AS869" s="1076"/>
      <c r="AT869" s="1086"/>
      <c r="AU869" s="1088"/>
      <c r="AV869" s="1235"/>
    </row>
    <row r="870" spans="1:48" ht="16.5" customHeight="1">
      <c r="A870" s="1073"/>
      <c r="B870" s="1082"/>
      <c r="C870" s="1083"/>
      <c r="D870" s="1074"/>
      <c r="E870" s="1204"/>
      <c r="F870" s="1138"/>
      <c r="G870" s="1074"/>
      <c r="H870" s="1077"/>
      <c r="I870" s="1127"/>
      <c r="J870" s="1128"/>
      <c r="K870" s="1067"/>
      <c r="L870" s="1221"/>
      <c r="M870" s="1075"/>
      <c r="N870" s="1074"/>
      <c r="O870" s="1126"/>
      <c r="P870" s="1073"/>
      <c r="Q870" s="1077"/>
      <c r="R870" s="1038"/>
      <c r="S870" s="1074"/>
      <c r="T870" s="1080"/>
      <c r="U870" s="1184"/>
      <c r="V870" s="1185"/>
      <c r="W870" s="1079"/>
      <c r="X870" s="1078"/>
      <c r="Y870" s="1039"/>
      <c r="Z870" s="1183"/>
      <c r="AA870" s="1074"/>
      <c r="AB870" s="1063"/>
      <c r="AC870" s="1075"/>
      <c r="AD870" s="1091"/>
      <c r="AE870" s="1076"/>
      <c r="AF870" s="1085"/>
      <c r="AG870" s="1086"/>
      <c r="AH870" s="1087"/>
      <c r="AI870" s="1087"/>
      <c r="AJ870" s="1088"/>
      <c r="AK870" s="1089"/>
      <c r="AL870" s="1090"/>
      <c r="AM870" s="1086"/>
      <c r="AN870" s="1086"/>
      <c r="AO870" s="1087"/>
      <c r="AP870" s="1076"/>
      <c r="AQ870" s="1087"/>
      <c r="AR870" s="1076"/>
      <c r="AS870" s="1076"/>
      <c r="AT870" s="1086"/>
      <c r="AU870" s="1088"/>
      <c r="AV870" s="1235"/>
    </row>
    <row r="871" spans="1:48" ht="16.5" customHeight="1">
      <c r="A871" s="1107"/>
      <c r="B871" s="1095"/>
      <c r="C871" s="1186"/>
      <c r="D871" s="1094"/>
      <c r="E871" s="1149"/>
      <c r="F871" s="1150"/>
      <c r="G871" s="1094"/>
      <c r="H871" s="1151"/>
      <c r="I871" s="1152"/>
      <c r="J871" s="1153"/>
      <c r="K871" s="1101"/>
      <c r="L871" s="1224"/>
      <c r="M871" s="1168"/>
      <c r="N871" s="1094"/>
      <c r="O871" s="1156"/>
      <c r="P871" s="1107"/>
      <c r="Q871" s="1151"/>
      <c r="R871" s="1095"/>
      <c r="S871" s="1094"/>
      <c r="T871" s="1112"/>
      <c r="U871" s="1188"/>
      <c r="V871" s="1189"/>
      <c r="W871" s="1111"/>
      <c r="X871" s="1110"/>
      <c r="Y871" s="1096"/>
      <c r="Z871" s="1166"/>
      <c r="AA871" s="1094"/>
      <c r="AB871" s="1167"/>
      <c r="AC871" s="1168"/>
      <c r="AD871" s="1109"/>
      <c r="AE871" s="1108"/>
      <c r="AF871" s="1115"/>
      <c r="AG871" s="1116"/>
      <c r="AH871" s="1117"/>
      <c r="AI871" s="1117"/>
      <c r="AJ871" s="1118"/>
      <c r="AK871" s="1119"/>
      <c r="AL871" s="1120"/>
      <c r="AM871" s="1116"/>
      <c r="AN871" s="1116"/>
      <c r="AO871" s="1117"/>
      <c r="AP871" s="1108"/>
      <c r="AQ871" s="1117"/>
      <c r="AR871" s="1108"/>
      <c r="AS871" s="1108"/>
      <c r="AT871" s="1116"/>
      <c r="AU871" s="1118"/>
      <c r="AV871" s="1287"/>
    </row>
    <row r="872" spans="1:48" ht="16.5" customHeight="1">
      <c r="A872" s="1169">
        <v>64</v>
      </c>
      <c r="B872" s="1033" t="s">
        <v>25</v>
      </c>
      <c r="C872" s="1036" t="s">
        <v>1683</v>
      </c>
      <c r="D872" s="1170"/>
      <c r="E872" s="1034"/>
      <c r="F872" s="1375" t="s">
        <v>1682</v>
      </c>
      <c r="G872" s="1172" t="s">
        <v>25</v>
      </c>
      <c r="H872" s="1173" t="s">
        <v>1540</v>
      </c>
      <c r="I872" s="1275">
        <v>288.053</v>
      </c>
      <c r="J872" s="1175" t="s">
        <v>41</v>
      </c>
      <c r="K872" s="1041" t="s">
        <v>1681</v>
      </c>
      <c r="L872" s="1276"/>
      <c r="M872" s="1048"/>
      <c r="N872" s="1034" t="s">
        <v>25</v>
      </c>
      <c r="O872" s="1177" t="s">
        <v>26</v>
      </c>
      <c r="P872" s="1048"/>
      <c r="Q872" s="1054">
        <v>82</v>
      </c>
      <c r="R872" s="1035"/>
      <c r="S872" s="1034"/>
      <c r="T872" s="1053"/>
      <c r="U872" s="1180">
        <v>1</v>
      </c>
      <c r="V872" s="1047" t="s">
        <v>14</v>
      </c>
      <c r="W872" s="1052">
        <v>2</v>
      </c>
      <c r="X872" s="1051"/>
      <c r="Y872" s="1036"/>
      <c r="Z872" s="1134">
        <f t="shared" ref="Z872:Z889" si="77">SUM(W872:Y872)</f>
        <v>2</v>
      </c>
      <c r="AA872" s="1034"/>
      <c r="AB872" s="1050"/>
      <c r="AC872" s="1047"/>
      <c r="AD872" s="1180"/>
      <c r="AE872" s="1049"/>
      <c r="AF872" s="1056">
        <f>+Resum!F4</f>
        <v>204000</v>
      </c>
      <c r="AG872" s="1086">
        <f>AF872*I872</f>
        <v>58762812</v>
      </c>
      <c r="AH872" s="1058">
        <v>2530000</v>
      </c>
      <c r="AI872" s="1087">
        <f>AH872*Q872*0.85</f>
        <v>176341000</v>
      </c>
      <c r="AJ872" s="1182">
        <f>SUM(AI872:AI874)</f>
        <v>180953500</v>
      </c>
      <c r="AK872" s="1089">
        <v>350000</v>
      </c>
      <c r="AL872" s="1087">
        <f t="shared" si="70"/>
        <v>700000</v>
      </c>
      <c r="AM872" s="1057">
        <f>SUM(AL872:AL889)</f>
        <v>2946955</v>
      </c>
      <c r="AN872" s="1086">
        <f>AM872+AJ872+AG872</f>
        <v>242663267</v>
      </c>
      <c r="AO872" s="1058"/>
      <c r="AP872" s="1136">
        <f>(AG872+AJ872)*15%</f>
        <v>35957446.799999997</v>
      </c>
      <c r="AQ872" s="1087">
        <f>(AG872+AJ872)*1%</f>
        <v>2397163.12</v>
      </c>
      <c r="AR872" s="1136">
        <f>(AG872+AJ872)*5%</f>
        <v>11985815.600000001</v>
      </c>
      <c r="AS872" s="1087">
        <f>0.5%*(AG872+AJ872)*(3)</f>
        <v>3595744.68</v>
      </c>
      <c r="AT872" s="1086">
        <f>+AS872+AR872+AQ872+AP872+AO872</f>
        <v>53936170.200000003</v>
      </c>
      <c r="AU872" s="1137">
        <f>ROUND(AT872+AN872,-3)</f>
        <v>296599000</v>
      </c>
      <c r="AV872" s="1279"/>
    </row>
    <row r="873" spans="1:48" ht="16.5" customHeight="1">
      <c r="A873" s="1073"/>
      <c r="B873" s="1038" t="s">
        <v>16</v>
      </c>
      <c r="C873" s="1071" t="s">
        <v>1680</v>
      </c>
      <c r="D873" s="1074"/>
      <c r="E873" s="1063"/>
      <c r="F873" s="1138"/>
      <c r="G873" s="1074" t="s">
        <v>16</v>
      </c>
      <c r="H873" s="1074" t="s">
        <v>22</v>
      </c>
      <c r="I873" s="1127"/>
      <c r="J873" s="1128"/>
      <c r="K873" s="1067"/>
      <c r="L873" s="1221"/>
      <c r="M873" s="1075"/>
      <c r="N873" s="1074" t="s">
        <v>16</v>
      </c>
      <c r="O873" s="1123" t="s">
        <v>21</v>
      </c>
      <c r="P873" s="1075"/>
      <c r="Q873" s="1081">
        <v>15</v>
      </c>
      <c r="R873" s="1038"/>
      <c r="S873" s="1074"/>
      <c r="T873" s="1075"/>
      <c r="U873" s="1091">
        <v>2</v>
      </c>
      <c r="V873" s="1185" t="s">
        <v>808</v>
      </c>
      <c r="W873" s="1079">
        <v>1</v>
      </c>
      <c r="X873" s="1078"/>
      <c r="Y873" s="1039"/>
      <c r="Z873" s="1134">
        <f t="shared" si="77"/>
        <v>1</v>
      </c>
      <c r="AA873" s="1074"/>
      <c r="AB873" s="1077"/>
      <c r="AC873" s="1073"/>
      <c r="AD873" s="1091"/>
      <c r="AE873" s="1076"/>
      <c r="AF873" s="1085"/>
      <c r="AG873" s="1086"/>
      <c r="AH873" s="1087">
        <v>350000</v>
      </c>
      <c r="AI873" s="1087">
        <f>AH873*Q873*0.85</f>
        <v>4462500</v>
      </c>
      <c r="AJ873" s="1088"/>
      <c r="AK873" s="1300">
        <v>125000</v>
      </c>
      <c r="AL873" s="1090">
        <f t="shared" si="70"/>
        <v>125000</v>
      </c>
      <c r="AM873" s="1086"/>
      <c r="AN873" s="1086"/>
      <c r="AO873" s="1087"/>
      <c r="AP873" s="1076"/>
      <c r="AQ873" s="1087"/>
      <c r="AR873" s="1076"/>
      <c r="AS873" s="1076"/>
      <c r="AT873" s="1086"/>
      <c r="AU873" s="1088"/>
      <c r="AV873" s="1235"/>
    </row>
    <row r="874" spans="1:48" ht="16.5" customHeight="1">
      <c r="A874" s="1073"/>
      <c r="B874" s="1038"/>
      <c r="C874" s="1039" t="s">
        <v>124</v>
      </c>
      <c r="D874" s="1074"/>
      <c r="E874" s="1063"/>
      <c r="F874" s="1138"/>
      <c r="G874" s="1074"/>
      <c r="H874" s="1074"/>
      <c r="I874" s="1127"/>
      <c r="J874" s="1128"/>
      <c r="K874" s="1067"/>
      <c r="L874" s="1221"/>
      <c r="M874" s="1075"/>
      <c r="N874" s="1074" t="s">
        <v>18</v>
      </c>
      <c r="O874" s="1123" t="s">
        <v>1679</v>
      </c>
      <c r="P874" s="1075"/>
      <c r="Q874" s="1081">
        <v>2</v>
      </c>
      <c r="R874" s="1038"/>
      <c r="S874" s="1074"/>
      <c r="T874" s="1075"/>
      <c r="U874" s="1091"/>
      <c r="V874" s="1185" t="s">
        <v>808</v>
      </c>
      <c r="W874" s="1079"/>
      <c r="X874" s="1078"/>
      <c r="Y874" s="1039">
        <v>27</v>
      </c>
      <c r="Z874" s="1134"/>
      <c r="AA874" s="1074"/>
      <c r="AB874" s="1077"/>
      <c r="AC874" s="1073"/>
      <c r="AD874" s="1091"/>
      <c r="AE874" s="1076"/>
      <c r="AF874" s="1085"/>
      <c r="AG874" s="1086"/>
      <c r="AH874" s="1087">
        <v>150000</v>
      </c>
      <c r="AI874" s="1087">
        <f>AH874*Q874*0.5</f>
        <v>150000</v>
      </c>
      <c r="AJ874" s="1088"/>
      <c r="AK874" s="1089">
        <v>41200</v>
      </c>
      <c r="AL874" s="1090">
        <f>AK874*Y874</f>
        <v>1112400</v>
      </c>
      <c r="AM874" s="1086"/>
      <c r="AN874" s="1086"/>
      <c r="AO874" s="1087"/>
      <c r="AP874" s="1076"/>
      <c r="AQ874" s="1087"/>
      <c r="AR874" s="1076"/>
      <c r="AS874" s="1076"/>
      <c r="AT874" s="1086"/>
      <c r="AU874" s="1088"/>
      <c r="AV874" s="1235"/>
    </row>
    <row r="875" spans="1:48" ht="66" customHeight="1">
      <c r="A875" s="1073"/>
      <c r="B875" s="1038" t="s">
        <v>18</v>
      </c>
      <c r="C875" s="1083" t="s">
        <v>1678</v>
      </c>
      <c r="D875" s="1074"/>
      <c r="E875" s="1074"/>
      <c r="F875" s="1138"/>
      <c r="G875" s="1074" t="s">
        <v>18</v>
      </c>
      <c r="H875" s="1074" t="s">
        <v>19</v>
      </c>
      <c r="I875" s="1127"/>
      <c r="J875" s="1128"/>
      <c r="K875" s="1067"/>
      <c r="L875" s="1221"/>
      <c r="M875" s="1075"/>
      <c r="N875" s="1074"/>
      <c r="O875" s="1257"/>
      <c r="P875" s="1320"/>
      <c r="Q875" s="1321"/>
      <c r="R875" s="1038"/>
      <c r="S875" s="1074"/>
      <c r="T875" s="1075"/>
      <c r="U875" s="1091">
        <v>3</v>
      </c>
      <c r="V875" s="1185" t="s">
        <v>139</v>
      </c>
      <c r="W875" s="1079"/>
      <c r="X875" s="1078"/>
      <c r="Y875" s="1092">
        <v>2</v>
      </c>
      <c r="Z875" s="1134">
        <f t="shared" si="77"/>
        <v>2</v>
      </c>
      <c r="AA875" s="1074"/>
      <c r="AB875" s="1077"/>
      <c r="AC875" s="1073"/>
      <c r="AD875" s="1091"/>
      <c r="AE875" s="1076"/>
      <c r="AF875" s="1085"/>
      <c r="AG875" s="1086"/>
      <c r="AH875" s="1087"/>
      <c r="AI875" s="1087"/>
      <c r="AJ875" s="1088"/>
      <c r="AK875" s="1089">
        <v>24750</v>
      </c>
      <c r="AL875" s="1090">
        <f>AK875*Y875</f>
        <v>49500</v>
      </c>
      <c r="AM875" s="1086"/>
      <c r="AN875" s="1086"/>
      <c r="AO875" s="1087"/>
      <c r="AP875" s="1076"/>
      <c r="AQ875" s="1087"/>
      <c r="AR875" s="1076"/>
      <c r="AS875" s="1076"/>
      <c r="AT875" s="1086"/>
      <c r="AU875" s="1088"/>
      <c r="AV875" s="1235"/>
    </row>
    <row r="876" spans="1:48" ht="16.5" customHeight="1">
      <c r="A876" s="1073"/>
      <c r="B876" s="1082" t="s">
        <v>12</v>
      </c>
      <c r="C876" s="1083" t="s">
        <v>1677</v>
      </c>
      <c r="D876" s="1074"/>
      <c r="E876" s="1126"/>
      <c r="F876" s="1138"/>
      <c r="G876" s="1074"/>
      <c r="H876" s="1077"/>
      <c r="I876" s="1127"/>
      <c r="J876" s="1128"/>
      <c r="K876" s="1067"/>
      <c r="L876" s="1221"/>
      <c r="M876" s="1075"/>
      <c r="N876" s="1074"/>
      <c r="O876" s="1126"/>
      <c r="P876" s="1073"/>
      <c r="Q876" s="1077"/>
      <c r="R876" s="1038"/>
      <c r="S876" s="1074"/>
      <c r="T876" s="1075"/>
      <c r="U876" s="1091">
        <v>4</v>
      </c>
      <c r="V876" s="1185" t="s">
        <v>221</v>
      </c>
      <c r="W876" s="1079">
        <v>10</v>
      </c>
      <c r="X876" s="1078"/>
      <c r="Y876" s="1039"/>
      <c r="Z876" s="1134">
        <f t="shared" si="77"/>
        <v>10</v>
      </c>
      <c r="AA876" s="1074"/>
      <c r="AB876" s="1077"/>
      <c r="AC876" s="1073"/>
      <c r="AD876" s="1091"/>
      <c r="AE876" s="1076"/>
      <c r="AF876" s="1085"/>
      <c r="AG876" s="1086"/>
      <c r="AH876" s="1087"/>
      <c r="AI876" s="1087"/>
      <c r="AJ876" s="1088"/>
      <c r="AK876" s="1089">
        <v>4810</v>
      </c>
      <c r="AL876" s="1090">
        <f t="shared" si="70"/>
        <v>48100</v>
      </c>
      <c r="AM876" s="1086"/>
      <c r="AN876" s="1086"/>
      <c r="AO876" s="1087"/>
      <c r="AP876" s="1076"/>
      <c r="AQ876" s="1087"/>
      <c r="AR876" s="1076"/>
      <c r="AS876" s="1076"/>
      <c r="AT876" s="1086"/>
      <c r="AU876" s="1088"/>
      <c r="AV876" s="1235"/>
    </row>
    <row r="877" spans="1:48" ht="16.5" customHeight="1">
      <c r="A877" s="1073"/>
      <c r="B877" s="1082" t="s">
        <v>8</v>
      </c>
      <c r="D877" s="1074"/>
      <c r="E877" s="1126"/>
      <c r="F877" s="1138"/>
      <c r="G877" s="1074"/>
      <c r="H877" s="1077"/>
      <c r="I877" s="1127"/>
      <c r="J877" s="1128"/>
      <c r="K877" s="1067"/>
      <c r="L877" s="1221"/>
      <c r="M877" s="1075"/>
      <c r="N877" s="1074"/>
      <c r="O877" s="1126"/>
      <c r="P877" s="1073"/>
      <c r="Q877" s="1077"/>
      <c r="R877" s="1038"/>
      <c r="S877" s="1074"/>
      <c r="T877" s="1075"/>
      <c r="U877" s="1091">
        <v>5</v>
      </c>
      <c r="V877" s="1185" t="s">
        <v>81</v>
      </c>
      <c r="W877" s="1079"/>
      <c r="X877" s="1078">
        <v>20</v>
      </c>
      <c r="Y877" s="1039"/>
      <c r="Z877" s="1134">
        <f t="shared" si="77"/>
        <v>20</v>
      </c>
      <c r="AA877" s="1074"/>
      <c r="AB877" s="1077"/>
      <c r="AC877" s="1073"/>
      <c r="AD877" s="1091"/>
      <c r="AE877" s="1076"/>
      <c r="AF877" s="1085"/>
      <c r="AG877" s="1086"/>
      <c r="AH877" s="1087"/>
      <c r="AI877" s="1087"/>
      <c r="AJ877" s="1088"/>
      <c r="AK877" s="1089">
        <v>500</v>
      </c>
      <c r="AL877" s="1090">
        <f>AK877*X877</f>
        <v>10000</v>
      </c>
      <c r="AM877" s="1086"/>
      <c r="AN877" s="1086"/>
      <c r="AO877" s="1087"/>
      <c r="AP877" s="1076"/>
      <c r="AQ877" s="1087"/>
      <c r="AR877" s="1076"/>
      <c r="AS877" s="1076"/>
      <c r="AT877" s="1086"/>
      <c r="AU877" s="1088"/>
      <c r="AV877" s="1235"/>
    </row>
    <row r="878" spans="1:48" ht="16.5" customHeight="1">
      <c r="A878" s="1073"/>
      <c r="B878" s="1082"/>
      <c r="D878" s="1074"/>
      <c r="E878" s="1126"/>
      <c r="F878" s="1138"/>
      <c r="G878" s="1074"/>
      <c r="H878" s="1077"/>
      <c r="I878" s="1127"/>
      <c r="J878" s="1128"/>
      <c r="K878" s="1067"/>
      <c r="L878" s="1221"/>
      <c r="M878" s="1075"/>
      <c r="N878" s="1074"/>
      <c r="O878" s="1126"/>
      <c r="P878" s="1073"/>
      <c r="Q878" s="1077"/>
      <c r="R878" s="1038"/>
      <c r="S878" s="1074"/>
      <c r="T878" s="1075"/>
      <c r="U878" s="1091"/>
      <c r="V878" s="1185" t="s">
        <v>81</v>
      </c>
      <c r="W878" s="1079"/>
      <c r="X878" s="1078"/>
      <c r="Y878" s="1039">
        <v>62</v>
      </c>
      <c r="Z878" s="1134"/>
      <c r="AA878" s="1074"/>
      <c r="AB878" s="1077"/>
      <c r="AC878" s="1073"/>
      <c r="AD878" s="1091"/>
      <c r="AE878" s="1076"/>
      <c r="AF878" s="1085"/>
      <c r="AG878" s="1086"/>
      <c r="AH878" s="1087"/>
      <c r="AI878" s="1087"/>
      <c r="AJ878" s="1088"/>
      <c r="AK878" s="1089">
        <v>250</v>
      </c>
      <c r="AL878" s="1090">
        <f>AK878*Y878</f>
        <v>15500</v>
      </c>
      <c r="AM878" s="1086"/>
      <c r="AN878" s="1086"/>
      <c r="AO878" s="1087"/>
      <c r="AP878" s="1076"/>
      <c r="AQ878" s="1087"/>
      <c r="AR878" s="1076"/>
      <c r="AS878" s="1076"/>
      <c r="AT878" s="1086"/>
      <c r="AU878" s="1088"/>
      <c r="AV878" s="1235"/>
    </row>
    <row r="879" spans="1:48" ht="16.5" customHeight="1">
      <c r="A879" s="1073"/>
      <c r="B879" s="1082"/>
      <c r="C879" s="1083"/>
      <c r="D879" s="1074"/>
      <c r="E879" s="1126"/>
      <c r="F879" s="1138"/>
      <c r="G879" s="1074"/>
      <c r="H879" s="1077"/>
      <c r="I879" s="1127"/>
      <c r="J879" s="1128"/>
      <c r="K879" s="1067"/>
      <c r="L879" s="1221"/>
      <c r="M879" s="1075"/>
      <c r="N879" s="1074"/>
      <c r="O879" s="1126"/>
      <c r="P879" s="1073"/>
      <c r="Q879" s="1077"/>
      <c r="R879" s="1038"/>
      <c r="S879" s="1074"/>
      <c r="T879" s="1075"/>
      <c r="U879" s="1091">
        <v>6</v>
      </c>
      <c r="V879" s="1185" t="s">
        <v>48</v>
      </c>
      <c r="W879" s="1079">
        <v>8</v>
      </c>
      <c r="X879" s="1078"/>
      <c r="Y879" s="1039"/>
      <c r="Z879" s="1134">
        <f t="shared" si="77"/>
        <v>8</v>
      </c>
      <c r="AA879" s="1074"/>
      <c r="AB879" s="1077"/>
      <c r="AC879" s="1073"/>
      <c r="AD879" s="1091"/>
      <c r="AE879" s="1076"/>
      <c r="AF879" s="1085"/>
      <c r="AG879" s="1086"/>
      <c r="AH879" s="1087"/>
      <c r="AI879" s="1087"/>
      <c r="AJ879" s="1088"/>
      <c r="AK879" s="1089">
        <v>15000</v>
      </c>
      <c r="AL879" s="1090">
        <f t="shared" ref="AL879:AL944" si="78">AK879*W879</f>
        <v>120000</v>
      </c>
      <c r="AM879" s="1086"/>
      <c r="AN879" s="1086"/>
      <c r="AO879" s="1087"/>
      <c r="AP879" s="1076"/>
      <c r="AQ879" s="1087"/>
      <c r="AR879" s="1076"/>
      <c r="AS879" s="1076"/>
      <c r="AT879" s="1086"/>
      <c r="AU879" s="1088"/>
      <c r="AV879" s="1235"/>
    </row>
    <row r="880" spans="1:48" ht="16.5" customHeight="1">
      <c r="A880" s="1073"/>
      <c r="B880" s="1082"/>
      <c r="C880" s="1083"/>
      <c r="D880" s="1074"/>
      <c r="E880" s="1126"/>
      <c r="F880" s="1138"/>
      <c r="G880" s="1074"/>
      <c r="H880" s="1077"/>
      <c r="I880" s="1127"/>
      <c r="J880" s="1128"/>
      <c r="K880" s="1067"/>
      <c r="L880" s="1221"/>
      <c r="M880" s="1075"/>
      <c r="N880" s="1074"/>
      <c r="O880" s="1126"/>
      <c r="P880" s="1073"/>
      <c r="Q880" s="1077"/>
      <c r="R880" s="1038"/>
      <c r="S880" s="1074"/>
      <c r="T880" s="1075"/>
      <c r="U880" s="1091"/>
      <c r="V880" s="1185" t="s">
        <v>48</v>
      </c>
      <c r="W880" s="1079"/>
      <c r="X880" s="1078"/>
      <c r="Y880" s="1039">
        <v>12</v>
      </c>
      <c r="Z880" s="1134"/>
      <c r="AA880" s="1074"/>
      <c r="AB880" s="1077"/>
      <c r="AC880" s="1073"/>
      <c r="AD880" s="1091"/>
      <c r="AE880" s="1076"/>
      <c r="AF880" s="1085"/>
      <c r="AG880" s="1086"/>
      <c r="AH880" s="1087"/>
      <c r="AI880" s="1087"/>
      <c r="AJ880" s="1088"/>
      <c r="AK880" s="1089">
        <v>5000</v>
      </c>
      <c r="AL880" s="1090">
        <f>AK880*Y880</f>
        <v>60000</v>
      </c>
      <c r="AM880" s="1086"/>
      <c r="AN880" s="1086"/>
      <c r="AO880" s="1087"/>
      <c r="AP880" s="1076"/>
      <c r="AQ880" s="1087"/>
      <c r="AR880" s="1076"/>
      <c r="AS880" s="1076"/>
      <c r="AT880" s="1086"/>
      <c r="AU880" s="1088"/>
      <c r="AV880" s="1235"/>
    </row>
    <row r="881" spans="1:48" ht="16.5" customHeight="1">
      <c r="A881" s="1073"/>
      <c r="B881" s="1082"/>
      <c r="C881" s="1083"/>
      <c r="D881" s="1074"/>
      <c r="E881" s="1126"/>
      <c r="F881" s="1138"/>
      <c r="G881" s="1074"/>
      <c r="H881" s="1077"/>
      <c r="I881" s="1127"/>
      <c r="J881" s="1128"/>
      <c r="K881" s="1067"/>
      <c r="L881" s="1221"/>
      <c r="M881" s="1075"/>
      <c r="N881" s="1074"/>
      <c r="O881" s="1126"/>
      <c r="P881" s="1073"/>
      <c r="Q881" s="1077"/>
      <c r="R881" s="1038"/>
      <c r="S881" s="1074"/>
      <c r="T881" s="1075"/>
      <c r="U881" s="1091">
        <v>7</v>
      </c>
      <c r="V881" s="1185" t="s">
        <v>83</v>
      </c>
      <c r="W881" s="1079">
        <v>15</v>
      </c>
      <c r="X881" s="1078"/>
      <c r="Y881" s="1039"/>
      <c r="Z881" s="1134">
        <f t="shared" si="77"/>
        <v>15</v>
      </c>
      <c r="AA881" s="1074"/>
      <c r="AB881" s="1077"/>
      <c r="AC881" s="1073"/>
      <c r="AD881" s="1091"/>
      <c r="AE881" s="1076"/>
      <c r="AF881" s="1085"/>
      <c r="AG881" s="1086"/>
      <c r="AH881" s="1087"/>
      <c r="AI881" s="1087"/>
      <c r="AJ881" s="1088"/>
      <c r="AK881" s="1089">
        <v>3000</v>
      </c>
      <c r="AL881" s="1090">
        <f t="shared" si="78"/>
        <v>45000</v>
      </c>
      <c r="AM881" s="1086"/>
      <c r="AN881" s="1086"/>
      <c r="AO881" s="1087"/>
      <c r="AP881" s="1076"/>
      <c r="AQ881" s="1087"/>
      <c r="AR881" s="1076"/>
      <c r="AS881" s="1076"/>
      <c r="AT881" s="1086"/>
      <c r="AU881" s="1088"/>
      <c r="AV881" s="1235"/>
    </row>
    <row r="882" spans="1:48" ht="16.5" customHeight="1">
      <c r="A882" s="1073"/>
      <c r="B882" s="1082"/>
      <c r="C882" s="1083"/>
      <c r="D882" s="1074"/>
      <c r="E882" s="1126"/>
      <c r="F882" s="1138"/>
      <c r="G882" s="1074"/>
      <c r="H882" s="1077"/>
      <c r="I882" s="1127"/>
      <c r="J882" s="1128"/>
      <c r="K882" s="1067"/>
      <c r="L882" s="1221"/>
      <c r="M882" s="1075"/>
      <c r="N882" s="1074"/>
      <c r="O882" s="1126"/>
      <c r="P882" s="1073"/>
      <c r="Q882" s="1077"/>
      <c r="R882" s="1038"/>
      <c r="S882" s="1074"/>
      <c r="T882" s="1075"/>
      <c r="U882" s="1091">
        <v>8</v>
      </c>
      <c r="V882" s="1185" t="s">
        <v>826</v>
      </c>
      <c r="W882" s="1079">
        <v>19</v>
      </c>
      <c r="X882" s="1078"/>
      <c r="Y882" s="1039"/>
      <c r="Z882" s="1134">
        <f t="shared" si="77"/>
        <v>19</v>
      </c>
      <c r="AA882" s="1074"/>
      <c r="AB882" s="1077"/>
      <c r="AC882" s="1073"/>
      <c r="AD882" s="1091"/>
      <c r="AE882" s="1076"/>
      <c r="AF882" s="1085"/>
      <c r="AG882" s="1086"/>
      <c r="AH882" s="1087"/>
      <c r="AI882" s="1087"/>
      <c r="AJ882" s="1088"/>
      <c r="AK882" s="1089">
        <v>2645</v>
      </c>
      <c r="AL882" s="1090">
        <f t="shared" si="78"/>
        <v>50255</v>
      </c>
      <c r="AM882" s="1086"/>
      <c r="AN882" s="1086"/>
      <c r="AO882" s="1087"/>
      <c r="AP882" s="1076"/>
      <c r="AQ882" s="1087"/>
      <c r="AR882" s="1076"/>
      <c r="AS882" s="1076"/>
      <c r="AT882" s="1086"/>
      <c r="AU882" s="1088"/>
      <c r="AV882" s="1235"/>
    </row>
    <row r="883" spans="1:48" ht="16.5" customHeight="1">
      <c r="A883" s="1073"/>
      <c r="B883" s="1082"/>
      <c r="C883" s="1083"/>
      <c r="D883" s="1074"/>
      <c r="E883" s="1126"/>
      <c r="F883" s="1138"/>
      <c r="G883" s="1074"/>
      <c r="H883" s="1077"/>
      <c r="I883" s="1127"/>
      <c r="J883" s="1128"/>
      <c r="K883" s="1067"/>
      <c r="L883" s="1221"/>
      <c r="M883" s="1075"/>
      <c r="N883" s="1074"/>
      <c r="O883" s="1126"/>
      <c r="P883" s="1073"/>
      <c r="Q883" s="1077"/>
      <c r="R883" s="1038"/>
      <c r="S883" s="1074"/>
      <c r="T883" s="1075"/>
      <c r="U883" s="1091">
        <v>9</v>
      </c>
      <c r="V883" s="1185" t="s">
        <v>268</v>
      </c>
      <c r="W883" s="1079">
        <v>1</v>
      </c>
      <c r="X883" s="1078"/>
      <c r="Y883" s="1039"/>
      <c r="Z883" s="1134">
        <f t="shared" si="77"/>
        <v>1</v>
      </c>
      <c r="AA883" s="1074"/>
      <c r="AB883" s="1077"/>
      <c r="AC883" s="1073"/>
      <c r="AD883" s="1091"/>
      <c r="AE883" s="1076"/>
      <c r="AF883" s="1085"/>
      <c r="AG883" s="1086"/>
      <c r="AH883" s="1087"/>
      <c r="AI883" s="1087"/>
      <c r="AJ883" s="1088"/>
      <c r="AK883" s="1089">
        <v>200000</v>
      </c>
      <c r="AL883" s="1090">
        <f t="shared" si="78"/>
        <v>200000</v>
      </c>
      <c r="AM883" s="1086"/>
      <c r="AN883" s="1086"/>
      <c r="AO883" s="1087"/>
      <c r="AP883" s="1076"/>
      <c r="AQ883" s="1087"/>
      <c r="AR883" s="1076"/>
      <c r="AS883" s="1076"/>
      <c r="AT883" s="1086"/>
      <c r="AU883" s="1088"/>
      <c r="AV883" s="1235"/>
    </row>
    <row r="884" spans="1:48" ht="16.5" customHeight="1">
      <c r="A884" s="1073"/>
      <c r="B884" s="1082"/>
      <c r="C884" s="1083"/>
      <c r="D884" s="1074"/>
      <c r="E884" s="1126"/>
      <c r="F884" s="1138"/>
      <c r="G884" s="1074"/>
      <c r="H884" s="1077"/>
      <c r="I884" s="1127"/>
      <c r="J884" s="1128"/>
      <c r="K884" s="1067"/>
      <c r="L884" s="1221"/>
      <c r="M884" s="1075"/>
      <c r="N884" s="1074"/>
      <c r="O884" s="1126"/>
      <c r="P884" s="1073"/>
      <c r="Q884" s="1077"/>
      <c r="R884" s="1038"/>
      <c r="S884" s="1074"/>
      <c r="T884" s="1075"/>
      <c r="U884" s="1091">
        <v>10</v>
      </c>
      <c r="V884" s="1185" t="s">
        <v>1366</v>
      </c>
      <c r="W884" s="1079">
        <v>7</v>
      </c>
      <c r="X884" s="1078"/>
      <c r="Y884" s="1039"/>
      <c r="Z884" s="1134">
        <f t="shared" si="77"/>
        <v>7</v>
      </c>
      <c r="AA884" s="1074"/>
      <c r="AB884" s="1077"/>
      <c r="AC884" s="1073"/>
      <c r="AD884" s="1091"/>
      <c r="AE884" s="1076"/>
      <c r="AF884" s="1085"/>
      <c r="AG884" s="1086"/>
      <c r="AH884" s="1087"/>
      <c r="AI884" s="1087"/>
      <c r="AJ884" s="1088"/>
      <c r="AK884" s="1089">
        <v>10000</v>
      </c>
      <c r="AL884" s="1090">
        <f t="shared" si="78"/>
        <v>70000</v>
      </c>
      <c r="AM884" s="1086"/>
      <c r="AN884" s="1086"/>
      <c r="AO884" s="1087"/>
      <c r="AP884" s="1076"/>
      <c r="AQ884" s="1087"/>
      <c r="AR884" s="1076"/>
      <c r="AS884" s="1076"/>
      <c r="AT884" s="1086"/>
      <c r="AU884" s="1088"/>
      <c r="AV884" s="1235"/>
    </row>
    <row r="885" spans="1:48" ht="16.5" customHeight="1">
      <c r="A885" s="1073"/>
      <c r="B885" s="1082"/>
      <c r="C885" s="1083"/>
      <c r="D885" s="1074"/>
      <c r="E885" s="1126"/>
      <c r="F885" s="1138"/>
      <c r="G885" s="1074"/>
      <c r="H885" s="1077"/>
      <c r="I885" s="1127"/>
      <c r="J885" s="1128"/>
      <c r="K885" s="1067"/>
      <c r="L885" s="1221"/>
      <c r="M885" s="1075"/>
      <c r="N885" s="1074"/>
      <c r="O885" s="1126"/>
      <c r="P885" s="1073"/>
      <c r="Q885" s="1077"/>
      <c r="R885" s="1038"/>
      <c r="S885" s="1074"/>
      <c r="T885" s="1075"/>
      <c r="U885" s="1091">
        <v>11</v>
      </c>
      <c r="V885" s="1185" t="s">
        <v>1676</v>
      </c>
      <c r="W885" s="1079"/>
      <c r="X885" s="1078"/>
      <c r="Y885" s="1039">
        <v>1</v>
      </c>
      <c r="Z885" s="1134">
        <f t="shared" si="77"/>
        <v>1</v>
      </c>
      <c r="AA885" s="1074"/>
      <c r="AB885" s="1077"/>
      <c r="AC885" s="1073"/>
      <c r="AD885" s="1091"/>
      <c r="AE885" s="1076"/>
      <c r="AF885" s="1085"/>
      <c r="AG885" s="1086"/>
      <c r="AH885" s="1087"/>
      <c r="AI885" s="1087"/>
      <c r="AJ885" s="1088"/>
      <c r="AK885" s="1089">
        <v>148500</v>
      </c>
      <c r="AL885" s="1090">
        <f>AK885*Y885</f>
        <v>148500</v>
      </c>
      <c r="AM885" s="1086"/>
      <c r="AN885" s="1086"/>
      <c r="AO885" s="1087"/>
      <c r="AP885" s="1076"/>
      <c r="AQ885" s="1087"/>
      <c r="AR885" s="1076"/>
      <c r="AS885" s="1076"/>
      <c r="AT885" s="1086"/>
      <c r="AU885" s="1088"/>
      <c r="AV885" s="1235"/>
    </row>
    <row r="886" spans="1:48" ht="16.5" customHeight="1">
      <c r="A886" s="1073"/>
      <c r="B886" s="1082"/>
      <c r="C886" s="1083"/>
      <c r="D886" s="1074"/>
      <c r="E886" s="1126"/>
      <c r="F886" s="1138"/>
      <c r="G886" s="1074"/>
      <c r="H886" s="1077"/>
      <c r="I886" s="1127"/>
      <c r="J886" s="1128"/>
      <c r="K886" s="1067"/>
      <c r="L886" s="1221"/>
      <c r="M886" s="1075"/>
      <c r="N886" s="1074"/>
      <c r="O886" s="1126"/>
      <c r="P886" s="1073"/>
      <c r="Q886" s="1077"/>
      <c r="R886" s="1038"/>
      <c r="S886" s="1074"/>
      <c r="T886" s="1075"/>
      <c r="U886" s="1091">
        <v>12</v>
      </c>
      <c r="V886" s="1185" t="s">
        <v>1646</v>
      </c>
      <c r="W886" s="1079"/>
      <c r="X886" s="1078"/>
      <c r="Y886" s="1039">
        <v>1</v>
      </c>
      <c r="Z886" s="1134">
        <f t="shared" si="77"/>
        <v>1</v>
      </c>
      <c r="AA886" s="1074"/>
      <c r="AB886" s="1077"/>
      <c r="AC886" s="1073"/>
      <c r="AD886" s="1091"/>
      <c r="AE886" s="1076"/>
      <c r="AF886" s="1085"/>
      <c r="AG886" s="1086"/>
      <c r="AH886" s="1087"/>
      <c r="AI886" s="1087"/>
      <c r="AJ886" s="1088"/>
      <c r="AK886" s="1089">
        <v>53000</v>
      </c>
      <c r="AL886" s="1090">
        <f>AK886*Y886</f>
        <v>53000</v>
      </c>
      <c r="AM886" s="1086"/>
      <c r="AN886" s="1086"/>
      <c r="AO886" s="1087"/>
      <c r="AP886" s="1076"/>
      <c r="AQ886" s="1087"/>
      <c r="AR886" s="1076"/>
      <c r="AS886" s="1076"/>
      <c r="AT886" s="1086"/>
      <c r="AU886" s="1088"/>
      <c r="AV886" s="1235"/>
    </row>
    <row r="887" spans="1:48" ht="16.5" customHeight="1">
      <c r="A887" s="1073"/>
      <c r="B887" s="1082"/>
      <c r="C887" s="1083"/>
      <c r="D887" s="1074"/>
      <c r="E887" s="1126"/>
      <c r="F887" s="1138"/>
      <c r="G887" s="1074"/>
      <c r="H887" s="1077"/>
      <c r="I887" s="1127"/>
      <c r="J887" s="1128"/>
      <c r="K887" s="1067"/>
      <c r="L887" s="1221"/>
      <c r="M887" s="1075"/>
      <c r="N887" s="1074"/>
      <c r="O887" s="1126"/>
      <c r="P887" s="1073"/>
      <c r="Q887" s="1077"/>
      <c r="R887" s="1038"/>
      <c r="S887" s="1074"/>
      <c r="T887" s="1075"/>
      <c r="U887" s="1091">
        <v>13</v>
      </c>
      <c r="V887" s="1185" t="s">
        <v>265</v>
      </c>
      <c r="W887" s="1079"/>
      <c r="X887" s="1078"/>
      <c r="Y887" s="1039">
        <v>2</v>
      </c>
      <c r="Z887" s="1134">
        <f t="shared" si="77"/>
        <v>2</v>
      </c>
      <c r="AA887" s="1074"/>
      <c r="AB887" s="1077"/>
      <c r="AC887" s="1073"/>
      <c r="AD887" s="1091"/>
      <c r="AE887" s="1076"/>
      <c r="AF887" s="1085"/>
      <c r="AG887" s="1086"/>
      <c r="AH887" s="1087"/>
      <c r="AI887" s="1087"/>
      <c r="AJ887" s="1088"/>
      <c r="AK887" s="1089">
        <v>66000</v>
      </c>
      <c r="AL887" s="1090">
        <f>AK887*Y887</f>
        <v>132000</v>
      </c>
      <c r="AM887" s="1086"/>
      <c r="AN887" s="1086"/>
      <c r="AO887" s="1087"/>
      <c r="AP887" s="1076"/>
      <c r="AQ887" s="1087"/>
      <c r="AR887" s="1076"/>
      <c r="AS887" s="1076"/>
      <c r="AT887" s="1086"/>
      <c r="AU887" s="1088"/>
      <c r="AV887" s="1235"/>
    </row>
    <row r="888" spans="1:48" ht="16.5" customHeight="1">
      <c r="A888" s="1073"/>
      <c r="B888" s="1082"/>
      <c r="C888" s="1083"/>
      <c r="D888" s="1074"/>
      <c r="E888" s="1126"/>
      <c r="F888" s="1138"/>
      <c r="G888" s="1074"/>
      <c r="H888" s="1077"/>
      <c r="I888" s="1127"/>
      <c r="J888" s="1128"/>
      <c r="K888" s="1067"/>
      <c r="L888" s="1221"/>
      <c r="M888" s="1075"/>
      <c r="N888" s="1074"/>
      <c r="O888" s="1126"/>
      <c r="P888" s="1073"/>
      <c r="Q888" s="1077"/>
      <c r="R888" s="1038"/>
      <c r="S888" s="1074"/>
      <c r="T888" s="1075"/>
      <c r="U888" s="1091">
        <v>14</v>
      </c>
      <c r="V888" s="1185" t="s">
        <v>1675</v>
      </c>
      <c r="W888" s="1079">
        <v>8</v>
      </c>
      <c r="X888" s="1078"/>
      <c r="Y888" s="1039"/>
      <c r="Z888" s="1134">
        <f t="shared" si="77"/>
        <v>8</v>
      </c>
      <c r="AA888" s="1074"/>
      <c r="AB888" s="1077"/>
      <c r="AC888" s="1073"/>
      <c r="AD888" s="1091"/>
      <c r="AE888" s="1076"/>
      <c r="AF888" s="1085"/>
      <c r="AG888" s="1086"/>
      <c r="AH888" s="1087"/>
      <c r="AI888" s="1087"/>
      <c r="AJ888" s="1088"/>
      <c r="AK888" s="1089"/>
      <c r="AL888" s="1090">
        <f t="shared" si="78"/>
        <v>0</v>
      </c>
      <c r="AM888" s="1086"/>
      <c r="AN888" s="1086"/>
      <c r="AO888" s="1087"/>
      <c r="AP888" s="1076"/>
      <c r="AQ888" s="1087"/>
      <c r="AR888" s="1076"/>
      <c r="AS888" s="1076"/>
      <c r="AT888" s="1086"/>
      <c r="AU888" s="1088"/>
      <c r="AV888" s="1235"/>
    </row>
    <row r="889" spans="1:48" ht="33" customHeight="1">
      <c r="A889" s="1073"/>
      <c r="B889" s="1082"/>
      <c r="C889" s="1083"/>
      <c r="D889" s="1074"/>
      <c r="E889" s="1126"/>
      <c r="F889" s="1138"/>
      <c r="G889" s="1074"/>
      <c r="H889" s="1077"/>
      <c r="I889" s="1127"/>
      <c r="J889" s="1128"/>
      <c r="K889" s="1067"/>
      <c r="L889" s="1221"/>
      <c r="M889" s="1075"/>
      <c r="N889" s="1074"/>
      <c r="O889" s="1126"/>
      <c r="P889" s="1073"/>
      <c r="Q889" s="1077"/>
      <c r="R889" s="1038"/>
      <c r="S889" s="1074"/>
      <c r="T889" s="1075"/>
      <c r="U889" s="1091">
        <v>15</v>
      </c>
      <c r="V889" s="1211" t="s">
        <v>1674</v>
      </c>
      <c r="W889" s="1079">
        <v>2</v>
      </c>
      <c r="X889" s="1078"/>
      <c r="Y889" s="1039"/>
      <c r="Z889" s="1134">
        <f t="shared" si="77"/>
        <v>2</v>
      </c>
      <c r="AA889" s="1074"/>
      <c r="AB889" s="1077"/>
      <c r="AC889" s="1073"/>
      <c r="AD889" s="1091"/>
      <c r="AE889" s="1076"/>
      <c r="AF889" s="1085"/>
      <c r="AG889" s="1086"/>
      <c r="AH889" s="1087"/>
      <c r="AI889" s="1087"/>
      <c r="AJ889" s="1088"/>
      <c r="AK889" s="1089">
        <v>3850</v>
      </c>
      <c r="AL889" s="1090">
        <f t="shared" si="78"/>
        <v>7700</v>
      </c>
      <c r="AM889" s="1086"/>
      <c r="AN889" s="1086"/>
      <c r="AO889" s="1087"/>
      <c r="AP889" s="1076"/>
      <c r="AQ889" s="1087"/>
      <c r="AR889" s="1076"/>
      <c r="AS889" s="1076"/>
      <c r="AT889" s="1086"/>
      <c r="AU889" s="1088"/>
      <c r="AV889" s="1235"/>
    </row>
    <row r="890" spans="1:48" ht="16.5" customHeight="1">
      <c r="A890" s="1107"/>
      <c r="B890" s="1095"/>
      <c r="C890" s="1186"/>
      <c r="D890" s="1094"/>
      <c r="E890" s="1149"/>
      <c r="F890" s="1150"/>
      <c r="G890" s="1094"/>
      <c r="H890" s="1151"/>
      <c r="I890" s="1152"/>
      <c r="J890" s="1153"/>
      <c r="K890" s="1101"/>
      <c r="L890" s="1224"/>
      <c r="M890" s="1168"/>
      <c r="N890" s="1094"/>
      <c r="O890" s="1156"/>
      <c r="P890" s="1107"/>
      <c r="Q890" s="1151"/>
      <c r="R890" s="1095"/>
      <c r="S890" s="1094"/>
      <c r="T890" s="1168"/>
      <c r="U890" s="1109"/>
      <c r="V890" s="1108"/>
      <c r="W890" s="1111"/>
      <c r="X890" s="1110"/>
      <c r="Y890" s="1096"/>
      <c r="Z890" s="1286"/>
      <c r="AA890" s="1094"/>
      <c r="AB890" s="1151"/>
      <c r="AC890" s="1107"/>
      <c r="AD890" s="1109"/>
      <c r="AE890" s="1108"/>
      <c r="AF890" s="1115"/>
      <c r="AG890" s="1116"/>
      <c r="AH890" s="1117"/>
      <c r="AI890" s="1117"/>
      <c r="AJ890" s="1118"/>
      <c r="AK890" s="1119"/>
      <c r="AL890" s="1120"/>
      <c r="AM890" s="1116"/>
      <c r="AN890" s="1116"/>
      <c r="AO890" s="1117"/>
      <c r="AP890" s="1108"/>
      <c r="AQ890" s="1117"/>
      <c r="AR890" s="1108"/>
      <c r="AS890" s="1108"/>
      <c r="AT890" s="1116"/>
      <c r="AU890" s="1118"/>
      <c r="AV890" s="1287"/>
    </row>
    <row r="891" spans="1:48" ht="16.5" customHeight="1">
      <c r="A891" s="1169">
        <v>65</v>
      </c>
      <c r="B891" s="1033" t="s">
        <v>25</v>
      </c>
      <c r="C891" s="1036" t="s">
        <v>1673</v>
      </c>
      <c r="D891" s="1170"/>
      <c r="E891" s="1034"/>
      <c r="F891" s="1375" t="s">
        <v>1672</v>
      </c>
      <c r="G891" s="1172" t="s">
        <v>25</v>
      </c>
      <c r="H891" s="1173" t="s">
        <v>1568</v>
      </c>
      <c r="I891" s="1275">
        <v>295</v>
      </c>
      <c r="J891" s="1175" t="s">
        <v>41</v>
      </c>
      <c r="K891" s="1041" t="s">
        <v>1671</v>
      </c>
      <c r="L891" s="1276"/>
      <c r="M891" s="1048"/>
      <c r="N891" s="1034" t="s">
        <v>25</v>
      </c>
      <c r="O891" s="1177" t="s">
        <v>26</v>
      </c>
      <c r="P891" s="1048"/>
      <c r="Q891" s="1054">
        <v>78</v>
      </c>
      <c r="R891" s="1035"/>
      <c r="S891" s="1034" t="s">
        <v>15</v>
      </c>
      <c r="T891" s="1053"/>
      <c r="U891" s="1180">
        <v>1</v>
      </c>
      <c r="V891" s="1047" t="s">
        <v>1577</v>
      </c>
      <c r="W891" s="1052">
        <v>1</v>
      </c>
      <c r="X891" s="1051"/>
      <c r="Y891" s="1036"/>
      <c r="Z891" s="1203">
        <f t="shared" ref="Z891:Z893" si="79">SUM(W891:Y891)</f>
        <v>1</v>
      </c>
      <c r="AA891" s="1034"/>
      <c r="AB891" s="1050"/>
      <c r="AC891" s="1047"/>
      <c r="AD891" s="1180"/>
      <c r="AE891" s="1049"/>
      <c r="AF891" s="1056">
        <f>+Resum!F4</f>
        <v>204000</v>
      </c>
      <c r="AG891" s="1086">
        <f>AF891*I891</f>
        <v>60180000</v>
      </c>
      <c r="AH891" s="1058">
        <v>2200000</v>
      </c>
      <c r="AI891" s="1087">
        <f>AH891*Q891*0.75</f>
        <v>128700000</v>
      </c>
      <c r="AJ891" s="1182">
        <f>SUM(AI891:AI896)</f>
        <v>230937500</v>
      </c>
      <c r="AK891" s="1300">
        <v>125000</v>
      </c>
      <c r="AL891" s="1090">
        <f t="shared" si="78"/>
        <v>125000</v>
      </c>
      <c r="AM891" s="1057">
        <f>SUM(AL891:AL906)</f>
        <v>1543850</v>
      </c>
      <c r="AN891" s="1086">
        <f>AM891+AJ891+AG891</f>
        <v>292661350</v>
      </c>
      <c r="AO891" s="1058"/>
      <c r="AP891" s="1136">
        <f>(AG891+AJ891)*15%</f>
        <v>43667625</v>
      </c>
      <c r="AQ891" s="1087">
        <f>(AG891+AJ891)*1%</f>
        <v>2911175</v>
      </c>
      <c r="AR891" s="1136">
        <f>(AG891+AJ891)*5%</f>
        <v>14555875</v>
      </c>
      <c r="AS891" s="1087">
        <f>0.5%*(AG891+AJ891)*(3)</f>
        <v>4366762.5</v>
      </c>
      <c r="AT891" s="1086">
        <f>+AS891+AR891+AQ891+AP891+AO891</f>
        <v>65501437.5</v>
      </c>
      <c r="AU891" s="1137">
        <f>ROUND(AT891+AN891,-3)</f>
        <v>358163000</v>
      </c>
      <c r="AV891" s="1279"/>
    </row>
    <row r="892" spans="1:48" ht="16.5" customHeight="1">
      <c r="A892" s="1073"/>
      <c r="B892" s="1038" t="s">
        <v>16</v>
      </c>
      <c r="C892" s="1071" t="s">
        <v>1670</v>
      </c>
      <c r="D892" s="1074"/>
      <c r="E892" s="1063"/>
      <c r="F892" s="1138"/>
      <c r="G892" s="1074" t="s">
        <v>16</v>
      </c>
      <c r="H892" s="1074" t="s">
        <v>22</v>
      </c>
      <c r="I892" s="1127"/>
      <c r="J892" s="1128"/>
      <c r="K892" s="1067"/>
      <c r="L892" s="1221"/>
      <c r="M892" s="1075"/>
      <c r="N892" s="1074" t="s">
        <v>16</v>
      </c>
      <c r="O892" s="1123" t="s">
        <v>21</v>
      </c>
      <c r="P892" s="1075"/>
      <c r="Q892" s="1081">
        <v>4.5</v>
      </c>
      <c r="R892" s="1038"/>
      <c r="S892" s="1074"/>
      <c r="T892" s="1080"/>
      <c r="U892" s="1091">
        <v>2</v>
      </c>
      <c r="V892" s="1073" t="s">
        <v>4</v>
      </c>
      <c r="W892" s="1079">
        <v>3</v>
      </c>
      <c r="X892" s="1078"/>
      <c r="Y892" s="1039"/>
      <c r="Z892" s="1134">
        <f t="shared" si="79"/>
        <v>3</v>
      </c>
      <c r="AA892" s="1074"/>
      <c r="AB892" s="1077"/>
      <c r="AC892" s="1073"/>
      <c r="AD892" s="1091"/>
      <c r="AE892" s="1076"/>
      <c r="AF892" s="1085"/>
      <c r="AG892" s="1086"/>
      <c r="AH892" s="1087">
        <v>100000</v>
      </c>
      <c r="AI892" s="1087">
        <f>AH892*Q892*0.65</f>
        <v>292500</v>
      </c>
      <c r="AJ892" s="1088"/>
      <c r="AK892" s="1089">
        <v>250</v>
      </c>
      <c r="AL892" s="1090">
        <f t="shared" si="78"/>
        <v>750</v>
      </c>
      <c r="AM892" s="1086"/>
      <c r="AN892" s="1086"/>
      <c r="AO892" s="1087"/>
      <c r="AP892" s="1076"/>
      <c r="AQ892" s="1087"/>
      <c r="AR892" s="1076"/>
      <c r="AS892" s="1076"/>
      <c r="AT892" s="1086"/>
      <c r="AU892" s="1088"/>
      <c r="AV892" s="1235"/>
    </row>
    <row r="893" spans="1:48" ht="16.5" customHeight="1">
      <c r="A893" s="1073"/>
      <c r="B893" s="1038" t="s">
        <v>18</v>
      </c>
      <c r="C893" s="1039" t="s">
        <v>124</v>
      </c>
      <c r="D893" s="1074"/>
      <c r="E893" s="1074"/>
      <c r="F893" s="1138"/>
      <c r="G893" s="1074" t="s">
        <v>18</v>
      </c>
      <c r="H893" s="1074" t="s">
        <v>19</v>
      </c>
      <c r="I893" s="1127"/>
      <c r="J893" s="1128"/>
      <c r="K893" s="1067"/>
      <c r="L893" s="1221"/>
      <c r="M893" s="1075"/>
      <c r="N893" s="1074" t="s">
        <v>18</v>
      </c>
      <c r="O893" s="1131" t="s">
        <v>26</v>
      </c>
      <c r="P893" s="1075"/>
      <c r="Q893" s="1081">
        <v>78</v>
      </c>
      <c r="R893" s="1038"/>
      <c r="S893" s="1074"/>
      <c r="T893" s="1080"/>
      <c r="U893" s="1091">
        <v>3</v>
      </c>
      <c r="V893" s="1073" t="s">
        <v>139</v>
      </c>
      <c r="W893" s="1079"/>
      <c r="X893" s="1078"/>
      <c r="Y893" s="1039">
        <v>2</v>
      </c>
      <c r="Z893" s="1134">
        <f t="shared" si="79"/>
        <v>2</v>
      </c>
      <c r="AA893" s="1074"/>
      <c r="AB893" s="1077"/>
      <c r="AC893" s="1073"/>
      <c r="AD893" s="1091"/>
      <c r="AE893" s="1076"/>
      <c r="AF893" s="1085"/>
      <c r="AG893" s="1086"/>
      <c r="AH893" s="1087">
        <v>1800000</v>
      </c>
      <c r="AI893" s="1087">
        <f>AH893*Q893*0.7</f>
        <v>98280000</v>
      </c>
      <c r="AJ893" s="1088"/>
      <c r="AK893" s="1089">
        <v>24750</v>
      </c>
      <c r="AL893" s="1090">
        <f>AK893*Y893</f>
        <v>49500</v>
      </c>
      <c r="AM893" s="1086"/>
      <c r="AN893" s="1086"/>
      <c r="AO893" s="1087"/>
      <c r="AP893" s="1076"/>
      <c r="AQ893" s="1087"/>
      <c r="AR893" s="1076"/>
      <c r="AS893" s="1076"/>
      <c r="AT893" s="1086"/>
      <c r="AU893" s="1088"/>
      <c r="AV893" s="1235"/>
    </row>
    <row r="894" spans="1:48" ht="49.5" customHeight="1">
      <c r="A894" s="1073"/>
      <c r="B894" s="1082" t="s">
        <v>12</v>
      </c>
      <c r="C894" s="1083" t="s">
        <v>98</v>
      </c>
      <c r="D894" s="1074"/>
      <c r="E894" s="1126"/>
      <c r="F894" s="1138"/>
      <c r="G894" s="1074"/>
      <c r="H894" s="1077"/>
      <c r="I894" s="1127"/>
      <c r="J894" s="1128"/>
      <c r="K894" s="1067"/>
      <c r="L894" s="1221"/>
      <c r="M894" s="1075"/>
      <c r="N894" s="1074" t="s">
        <v>12</v>
      </c>
      <c r="O894" s="1123" t="s">
        <v>21</v>
      </c>
      <c r="P894" s="1075"/>
      <c r="Q894" s="1081">
        <v>9</v>
      </c>
      <c r="R894" s="1038"/>
      <c r="S894" s="1074"/>
      <c r="T894" s="1080"/>
      <c r="U894" s="1091">
        <v>4</v>
      </c>
      <c r="V894" s="1073" t="s">
        <v>136</v>
      </c>
      <c r="W894" s="1079">
        <v>1</v>
      </c>
      <c r="X894" s="1078"/>
      <c r="Y894" s="1039"/>
      <c r="Z894" s="1134">
        <f>SUM(W895:Y895)</f>
        <v>1</v>
      </c>
      <c r="AA894" s="1074"/>
      <c r="AB894" s="1077"/>
      <c r="AC894" s="1073"/>
      <c r="AD894" s="1091"/>
      <c r="AE894" s="1076"/>
      <c r="AF894" s="1085"/>
      <c r="AG894" s="1086"/>
      <c r="AH894" s="1087">
        <v>100000</v>
      </c>
      <c r="AI894" s="1087">
        <f>AH894*Q894*0.6</f>
        <v>540000</v>
      </c>
      <c r="AJ894" s="1088"/>
      <c r="AK894" s="1089">
        <v>46200</v>
      </c>
      <c r="AL894" s="1090">
        <f>AK894*W894</f>
        <v>46200</v>
      </c>
      <c r="AM894" s="1086"/>
      <c r="AN894" s="1086"/>
      <c r="AO894" s="1087"/>
      <c r="AP894" s="1076"/>
      <c r="AQ894" s="1087"/>
      <c r="AR894" s="1076"/>
      <c r="AS894" s="1076"/>
      <c r="AT894" s="1086"/>
      <c r="AU894" s="1088"/>
      <c r="AV894" s="1235"/>
    </row>
    <row r="895" spans="1:48" ht="16.5" customHeight="1">
      <c r="A895" s="1073"/>
      <c r="B895" s="1082" t="s">
        <v>1669</v>
      </c>
      <c r="C895" s="1083" t="s">
        <v>1668</v>
      </c>
      <c r="D895" s="1074"/>
      <c r="E895" s="1126"/>
      <c r="F895" s="1138"/>
      <c r="G895" s="1074"/>
      <c r="H895" s="1077"/>
      <c r="I895" s="1127"/>
      <c r="J895" s="1128"/>
      <c r="K895" s="1067"/>
      <c r="L895" s="1221"/>
      <c r="M895" s="1075"/>
      <c r="N895" s="1074" t="s">
        <v>8</v>
      </c>
      <c r="O895" s="1123" t="s">
        <v>17</v>
      </c>
      <c r="P895" s="1075">
        <v>1</v>
      </c>
      <c r="Q895" s="1081"/>
      <c r="R895" s="1038"/>
      <c r="S895" s="1074"/>
      <c r="T895" s="1080"/>
      <c r="U895" s="1091"/>
      <c r="V895" s="1073" t="s">
        <v>136</v>
      </c>
      <c r="W895" s="1079"/>
      <c r="X895" s="1078"/>
      <c r="Y895" s="1039">
        <v>1</v>
      </c>
      <c r="Z895" s="1134">
        <f>SUM(W897:Y897)</f>
        <v>9</v>
      </c>
      <c r="AA895" s="1074"/>
      <c r="AB895" s="1077"/>
      <c r="AC895" s="1073"/>
      <c r="AD895" s="1091"/>
      <c r="AE895" s="1076"/>
      <c r="AF895" s="1085"/>
      <c r="AG895" s="1086"/>
      <c r="AH895" s="1087">
        <v>2500000</v>
      </c>
      <c r="AI895" s="1087">
        <f>AH895*P895*0.5</f>
        <v>1250000</v>
      </c>
      <c r="AJ895" s="1088"/>
      <c r="AK895" s="1089">
        <v>13750</v>
      </c>
      <c r="AL895" s="1090">
        <f>AK895*Y895</f>
        <v>13750</v>
      </c>
      <c r="AM895" s="1086"/>
      <c r="AN895" s="1086"/>
      <c r="AO895" s="1087"/>
      <c r="AP895" s="1076"/>
      <c r="AQ895" s="1087"/>
      <c r="AR895" s="1076"/>
      <c r="AS895" s="1076"/>
      <c r="AT895" s="1086"/>
      <c r="AU895" s="1088"/>
      <c r="AV895" s="1235"/>
    </row>
    <row r="896" spans="1:48" ht="16.5" customHeight="1">
      <c r="A896" s="1073"/>
      <c r="B896" s="1082"/>
      <c r="C896" s="1083"/>
      <c r="D896" s="1074"/>
      <c r="E896" s="1126"/>
      <c r="F896" s="1138"/>
      <c r="G896" s="1074"/>
      <c r="H896" s="1077"/>
      <c r="I896" s="1127"/>
      <c r="J896" s="1128"/>
      <c r="K896" s="1067"/>
      <c r="L896" s="1221"/>
      <c r="M896" s="1075"/>
      <c r="N896" s="1074" t="s">
        <v>54</v>
      </c>
      <c r="O896" s="1123" t="s">
        <v>11</v>
      </c>
      <c r="P896" s="1075">
        <v>1</v>
      </c>
      <c r="Q896" s="1081"/>
      <c r="R896" s="1038"/>
      <c r="S896" s="1074"/>
      <c r="T896" s="1080"/>
      <c r="U896" s="1091">
        <v>5</v>
      </c>
      <c r="V896" s="1073" t="s">
        <v>808</v>
      </c>
      <c r="W896" s="1079">
        <v>1</v>
      </c>
      <c r="X896" s="1078"/>
      <c r="Y896" s="1039"/>
      <c r="Z896" s="1134"/>
      <c r="AA896" s="1074"/>
      <c r="AB896" s="1077"/>
      <c r="AC896" s="1073"/>
      <c r="AD896" s="1091"/>
      <c r="AE896" s="1076"/>
      <c r="AF896" s="1085"/>
      <c r="AG896" s="1086"/>
      <c r="AH896" s="1087">
        <v>2500000</v>
      </c>
      <c r="AI896" s="1087">
        <f>AH896*P896*0.75</f>
        <v>1875000</v>
      </c>
      <c r="AJ896" s="1088"/>
      <c r="AK896" s="1300">
        <v>125000</v>
      </c>
      <c r="AL896" s="1090">
        <f>AK896*W896</f>
        <v>125000</v>
      </c>
      <c r="AM896" s="1086"/>
      <c r="AN896" s="1086"/>
      <c r="AO896" s="1087"/>
      <c r="AP896" s="1076"/>
      <c r="AQ896" s="1087"/>
      <c r="AR896" s="1076"/>
      <c r="AS896" s="1076"/>
      <c r="AT896" s="1086"/>
      <c r="AU896" s="1088"/>
      <c r="AV896" s="1235"/>
    </row>
    <row r="897" spans="1:48" ht="16.5" customHeight="1">
      <c r="A897" s="1073"/>
      <c r="B897" s="1082"/>
      <c r="C897" s="1083"/>
      <c r="D897" s="1074"/>
      <c r="E897" s="1126"/>
      <c r="F897" s="1138"/>
      <c r="G897" s="1074"/>
      <c r="H897" s="1077"/>
      <c r="I897" s="1127"/>
      <c r="J897" s="1128"/>
      <c r="K897" s="1067"/>
      <c r="L897" s="1221"/>
      <c r="M897" s="1075"/>
      <c r="N897" s="1074"/>
      <c r="O897" s="1126"/>
      <c r="P897" s="1073"/>
      <c r="Q897" s="1077"/>
      <c r="R897" s="1038"/>
      <c r="S897" s="1074"/>
      <c r="T897" s="1080"/>
      <c r="U897" s="1091"/>
      <c r="V897" s="1073" t="s">
        <v>808</v>
      </c>
      <c r="W897" s="1079"/>
      <c r="X897" s="1078"/>
      <c r="Y897" s="1039">
        <v>9</v>
      </c>
      <c r="Z897" s="1134">
        <f>SUM(W898:Y898)</f>
        <v>1</v>
      </c>
      <c r="AA897" s="1074"/>
      <c r="AB897" s="1077"/>
      <c r="AC897" s="1073"/>
      <c r="AD897" s="1091"/>
      <c r="AE897" s="1076"/>
      <c r="AF897" s="1085"/>
      <c r="AG897" s="1086"/>
      <c r="AH897" s="1087"/>
      <c r="AI897" s="1087"/>
      <c r="AJ897" s="1088"/>
      <c r="AK897" s="1089">
        <v>41200</v>
      </c>
      <c r="AL897" s="1090">
        <f>AK897*Y897</f>
        <v>370800</v>
      </c>
      <c r="AM897" s="1086"/>
      <c r="AN897" s="1086"/>
      <c r="AO897" s="1087"/>
      <c r="AP897" s="1076"/>
      <c r="AQ897" s="1087"/>
      <c r="AR897" s="1076"/>
      <c r="AS897" s="1076"/>
      <c r="AT897" s="1086"/>
      <c r="AU897" s="1088"/>
      <c r="AV897" s="1235"/>
    </row>
    <row r="898" spans="1:48" ht="16.5" customHeight="1">
      <c r="A898" s="1073"/>
      <c r="B898" s="1082"/>
      <c r="C898" s="1083"/>
      <c r="D898" s="1074"/>
      <c r="E898" s="1126"/>
      <c r="F898" s="1138"/>
      <c r="G898" s="1074"/>
      <c r="H898" s="1077"/>
      <c r="I898" s="1127"/>
      <c r="J898" s="1128"/>
      <c r="K898" s="1067"/>
      <c r="L898" s="1221"/>
      <c r="M898" s="1075"/>
      <c r="N898" s="1074"/>
      <c r="O898" s="1126"/>
      <c r="P898" s="1073"/>
      <c r="Q898" s="1077"/>
      <c r="R898" s="1038"/>
      <c r="S898" s="1074"/>
      <c r="T898" s="1080"/>
      <c r="U898" s="1091">
        <v>6</v>
      </c>
      <c r="V898" s="1073" t="s">
        <v>144</v>
      </c>
      <c r="W898" s="1079"/>
      <c r="X898" s="1078">
        <v>1</v>
      </c>
      <c r="Y898" s="1039"/>
      <c r="Z898" s="1134">
        <f>SUM(W899:Y899)</f>
        <v>4</v>
      </c>
      <c r="AA898" s="1074"/>
      <c r="AB898" s="1077"/>
      <c r="AC898" s="1073"/>
      <c r="AD898" s="1091"/>
      <c r="AE898" s="1076"/>
      <c r="AF898" s="1085"/>
      <c r="AG898" s="1086"/>
      <c r="AH898" s="1087"/>
      <c r="AI898" s="1087"/>
      <c r="AJ898" s="1088"/>
      <c r="AK898" s="1089">
        <v>13250</v>
      </c>
      <c r="AL898" s="1090">
        <f>AK898*X898</f>
        <v>13250</v>
      </c>
      <c r="AM898" s="1086"/>
      <c r="AN898" s="1086"/>
      <c r="AO898" s="1087"/>
      <c r="AP898" s="1076"/>
      <c r="AQ898" s="1087"/>
      <c r="AR898" s="1076"/>
      <c r="AS898" s="1076"/>
      <c r="AT898" s="1086"/>
      <c r="AU898" s="1088"/>
      <c r="AV898" s="1235"/>
    </row>
    <row r="899" spans="1:48" ht="16.5" customHeight="1">
      <c r="A899" s="1073"/>
      <c r="B899" s="1082"/>
      <c r="C899" s="1083"/>
      <c r="D899" s="1074"/>
      <c r="E899" s="1126"/>
      <c r="F899" s="1138"/>
      <c r="G899" s="1074"/>
      <c r="H899" s="1077"/>
      <c r="I899" s="1127"/>
      <c r="J899" s="1128"/>
      <c r="K899" s="1067"/>
      <c r="L899" s="1221"/>
      <c r="M899" s="1075"/>
      <c r="N899" s="1074"/>
      <c r="O899" s="1126"/>
      <c r="P899" s="1073"/>
      <c r="Q899" s="1077"/>
      <c r="R899" s="1038"/>
      <c r="S899" s="1074"/>
      <c r="T899" s="1080"/>
      <c r="U899" s="1091">
        <v>7</v>
      </c>
      <c r="V899" s="1073" t="s">
        <v>14</v>
      </c>
      <c r="W899" s="1079"/>
      <c r="X899" s="1078"/>
      <c r="Y899" s="1039">
        <v>4</v>
      </c>
      <c r="Z899" s="1134">
        <f>SUM(W900:Y900)</f>
        <v>18</v>
      </c>
      <c r="AA899" s="1074"/>
      <c r="AB899" s="1077"/>
      <c r="AC899" s="1073"/>
      <c r="AD899" s="1091"/>
      <c r="AE899" s="1076"/>
      <c r="AF899" s="1085"/>
      <c r="AG899" s="1086"/>
      <c r="AH899" s="1087"/>
      <c r="AI899" s="1087"/>
      <c r="AJ899" s="1088"/>
      <c r="AK899" s="1089">
        <v>115500</v>
      </c>
      <c r="AL899" s="1087">
        <f>AK899*Y899</f>
        <v>462000</v>
      </c>
      <c r="AM899" s="1086"/>
      <c r="AN899" s="1086"/>
      <c r="AO899" s="1087"/>
      <c r="AP899" s="1076"/>
      <c r="AQ899" s="1087"/>
      <c r="AR899" s="1076"/>
      <c r="AS899" s="1076"/>
      <c r="AT899" s="1086"/>
      <c r="AU899" s="1088"/>
      <c r="AV899" s="1235"/>
    </row>
    <row r="900" spans="1:48" ht="16.5" customHeight="1">
      <c r="A900" s="1073"/>
      <c r="B900" s="1082"/>
      <c r="C900" s="1083"/>
      <c r="D900" s="1074"/>
      <c r="E900" s="1126"/>
      <c r="F900" s="1138"/>
      <c r="G900" s="1074"/>
      <c r="H900" s="1077"/>
      <c r="I900" s="1127"/>
      <c r="J900" s="1128"/>
      <c r="K900" s="1067"/>
      <c r="L900" s="1221"/>
      <c r="M900" s="1075"/>
      <c r="N900" s="1074"/>
      <c r="O900" s="1126"/>
      <c r="P900" s="1073"/>
      <c r="Q900" s="1077"/>
      <c r="R900" s="1038"/>
      <c r="S900" s="1074"/>
      <c r="T900" s="1080"/>
      <c r="U900" s="1091">
        <v>8</v>
      </c>
      <c r="V900" s="1073" t="s">
        <v>81</v>
      </c>
      <c r="W900" s="1079"/>
      <c r="X900" s="1078"/>
      <c r="Y900" s="1039">
        <v>18</v>
      </c>
      <c r="Z900" s="1134">
        <f>SUM(W901:Y901)</f>
        <v>11</v>
      </c>
      <c r="AA900" s="1074"/>
      <c r="AB900" s="1077"/>
      <c r="AC900" s="1073"/>
      <c r="AD900" s="1091"/>
      <c r="AE900" s="1076"/>
      <c r="AF900" s="1085"/>
      <c r="AG900" s="1086"/>
      <c r="AH900" s="1087"/>
      <c r="AI900" s="1087"/>
      <c r="AJ900" s="1088"/>
      <c r="AK900" s="1089">
        <v>250</v>
      </c>
      <c r="AL900" s="1090">
        <f>AK900*Y900</f>
        <v>4500</v>
      </c>
      <c r="AM900" s="1086"/>
      <c r="AN900" s="1086"/>
      <c r="AO900" s="1087"/>
      <c r="AP900" s="1076"/>
      <c r="AQ900" s="1087"/>
      <c r="AR900" s="1076"/>
      <c r="AS900" s="1076"/>
      <c r="AT900" s="1086"/>
      <c r="AU900" s="1088"/>
      <c r="AV900" s="1235"/>
    </row>
    <row r="901" spans="1:48" ht="16.5" customHeight="1">
      <c r="A901" s="1073"/>
      <c r="B901" s="1082"/>
      <c r="C901" s="1083"/>
      <c r="D901" s="1074"/>
      <c r="E901" s="1126"/>
      <c r="F901" s="1138"/>
      <c r="G901" s="1074"/>
      <c r="H901" s="1077"/>
      <c r="I901" s="1127"/>
      <c r="J901" s="1128"/>
      <c r="K901" s="1067"/>
      <c r="L901" s="1221"/>
      <c r="M901" s="1075"/>
      <c r="N901" s="1074"/>
      <c r="O901" s="1126"/>
      <c r="P901" s="1073"/>
      <c r="Q901" s="1077"/>
      <c r="R901" s="1038"/>
      <c r="S901" s="1074"/>
      <c r="T901" s="1080"/>
      <c r="U901" s="1091">
        <v>9</v>
      </c>
      <c r="V901" s="1073" t="s">
        <v>48</v>
      </c>
      <c r="W901" s="1079">
        <v>11</v>
      </c>
      <c r="X901" s="1078"/>
      <c r="Y901" s="1039"/>
      <c r="Z901" s="1134">
        <f>SUM(W903:Y903)</f>
        <v>1</v>
      </c>
      <c r="AA901" s="1074"/>
      <c r="AB901" s="1077"/>
      <c r="AC901" s="1073"/>
      <c r="AD901" s="1091"/>
      <c r="AE901" s="1076"/>
      <c r="AF901" s="1085"/>
      <c r="AG901" s="1086"/>
      <c r="AH901" s="1087"/>
      <c r="AI901" s="1087"/>
      <c r="AJ901" s="1088"/>
      <c r="AK901" s="1089">
        <v>15000</v>
      </c>
      <c r="AL901" s="1090">
        <f>AK901*Y902</f>
        <v>90000</v>
      </c>
      <c r="AM901" s="1086"/>
      <c r="AN901" s="1086"/>
      <c r="AO901" s="1087"/>
      <c r="AP901" s="1076"/>
      <c r="AQ901" s="1087"/>
      <c r="AR901" s="1076"/>
      <c r="AS901" s="1076"/>
      <c r="AT901" s="1086"/>
      <c r="AU901" s="1088"/>
      <c r="AV901" s="1235"/>
    </row>
    <row r="902" spans="1:48" ht="16.5" customHeight="1">
      <c r="A902" s="1073"/>
      <c r="B902" s="1082"/>
      <c r="C902" s="1083"/>
      <c r="D902" s="1074"/>
      <c r="E902" s="1126"/>
      <c r="F902" s="1138"/>
      <c r="G902" s="1074"/>
      <c r="H902" s="1077"/>
      <c r="I902" s="1127"/>
      <c r="J902" s="1128"/>
      <c r="K902" s="1067"/>
      <c r="L902" s="1221"/>
      <c r="M902" s="1075"/>
      <c r="N902" s="1074"/>
      <c r="O902" s="1126"/>
      <c r="P902" s="1073"/>
      <c r="Q902" s="1077"/>
      <c r="R902" s="1038"/>
      <c r="S902" s="1074"/>
      <c r="T902" s="1080"/>
      <c r="U902" s="1091"/>
      <c r="V902" s="1073" t="s">
        <v>48</v>
      </c>
      <c r="W902" s="1079"/>
      <c r="X902" s="1078"/>
      <c r="Y902" s="1039">
        <v>6</v>
      </c>
      <c r="Z902" s="1134">
        <f>SUM(W904:Y904)</f>
        <v>4</v>
      </c>
      <c r="AA902" s="1074"/>
      <c r="AB902" s="1077"/>
      <c r="AC902" s="1073"/>
      <c r="AD902" s="1091"/>
      <c r="AE902" s="1076"/>
      <c r="AF902" s="1085"/>
      <c r="AG902" s="1086"/>
      <c r="AH902" s="1087"/>
      <c r="AI902" s="1087"/>
      <c r="AJ902" s="1088"/>
      <c r="AK902" s="1089">
        <v>5000</v>
      </c>
      <c r="AL902" s="1090">
        <f>AK902*Y902</f>
        <v>30000</v>
      </c>
      <c r="AM902" s="1086"/>
      <c r="AN902" s="1086"/>
      <c r="AO902" s="1087"/>
      <c r="AP902" s="1076"/>
      <c r="AQ902" s="1087"/>
      <c r="AR902" s="1076"/>
      <c r="AS902" s="1076"/>
      <c r="AT902" s="1086"/>
      <c r="AU902" s="1088"/>
      <c r="AV902" s="1235"/>
    </row>
    <row r="903" spans="1:48" ht="16.5" customHeight="1">
      <c r="A903" s="1073"/>
      <c r="B903" s="1082"/>
      <c r="C903" s="1083"/>
      <c r="D903" s="1074"/>
      <c r="E903" s="1126"/>
      <c r="F903" s="1138"/>
      <c r="G903" s="1074"/>
      <c r="H903" s="1077"/>
      <c r="I903" s="1127"/>
      <c r="J903" s="1128"/>
      <c r="K903" s="1067"/>
      <c r="L903" s="1221"/>
      <c r="M903" s="1075"/>
      <c r="N903" s="1074"/>
      <c r="O903" s="1126"/>
      <c r="P903" s="1073"/>
      <c r="Q903" s="1077"/>
      <c r="R903" s="1038"/>
      <c r="S903" s="1074"/>
      <c r="T903" s="1080"/>
      <c r="U903" s="1091">
        <v>10</v>
      </c>
      <c r="V903" s="1073" t="s">
        <v>34</v>
      </c>
      <c r="W903" s="1079"/>
      <c r="X903" s="1078">
        <v>1</v>
      </c>
      <c r="Y903" s="1039"/>
      <c r="Z903" s="1134">
        <f>SUM(W905:Y905)</f>
        <v>9</v>
      </c>
      <c r="AA903" s="1074"/>
      <c r="AB903" s="1077"/>
      <c r="AC903" s="1073"/>
      <c r="AD903" s="1091"/>
      <c r="AE903" s="1076"/>
      <c r="AF903" s="1085"/>
      <c r="AG903" s="1086"/>
      <c r="AH903" s="1087"/>
      <c r="AI903" s="1087"/>
      <c r="AJ903" s="1088"/>
      <c r="AK903" s="1089">
        <v>82500</v>
      </c>
      <c r="AL903" s="1090">
        <f>AK903*X903</f>
        <v>82500</v>
      </c>
      <c r="AM903" s="1086"/>
      <c r="AN903" s="1086"/>
      <c r="AO903" s="1087"/>
      <c r="AP903" s="1076"/>
      <c r="AQ903" s="1087"/>
      <c r="AR903" s="1076"/>
      <c r="AS903" s="1076"/>
      <c r="AT903" s="1086"/>
      <c r="AU903" s="1088"/>
      <c r="AV903" s="1235"/>
    </row>
    <row r="904" spans="1:48" ht="16.5" customHeight="1">
      <c r="A904" s="1073"/>
      <c r="B904" s="1082"/>
      <c r="C904" s="1083"/>
      <c r="D904" s="1074"/>
      <c r="E904" s="1126"/>
      <c r="F904" s="1138"/>
      <c r="G904" s="1074"/>
      <c r="H904" s="1077"/>
      <c r="I904" s="1127"/>
      <c r="J904" s="1128"/>
      <c r="K904" s="1067"/>
      <c r="L904" s="1221"/>
      <c r="M904" s="1075"/>
      <c r="N904" s="1074"/>
      <c r="O904" s="1126"/>
      <c r="P904" s="1073"/>
      <c r="Q904" s="1077"/>
      <c r="R904" s="1038"/>
      <c r="S904" s="1074"/>
      <c r="T904" s="1080"/>
      <c r="U904" s="1091">
        <v>11</v>
      </c>
      <c r="V904" s="1073" t="s">
        <v>217</v>
      </c>
      <c r="W904" s="1079">
        <v>4</v>
      </c>
      <c r="X904" s="1078"/>
      <c r="Y904" s="1039"/>
      <c r="Z904" s="1134">
        <f>SUM(W906:Y906)</f>
        <v>4</v>
      </c>
      <c r="AA904" s="1074"/>
      <c r="AB904" s="1077"/>
      <c r="AC904" s="1073"/>
      <c r="AD904" s="1091"/>
      <c r="AE904" s="1076"/>
      <c r="AF904" s="1085"/>
      <c r="AG904" s="1086"/>
      <c r="AH904" s="1087"/>
      <c r="AI904" s="1087"/>
      <c r="AJ904" s="1088"/>
      <c r="AK904" s="1089">
        <v>900</v>
      </c>
      <c r="AL904" s="1090">
        <f>AK904*W904</f>
        <v>3600</v>
      </c>
      <c r="AM904" s="1086"/>
      <c r="AN904" s="1086"/>
      <c r="AO904" s="1087"/>
      <c r="AP904" s="1076"/>
      <c r="AQ904" s="1087"/>
      <c r="AR904" s="1076"/>
      <c r="AS904" s="1076"/>
      <c r="AT904" s="1086"/>
      <c r="AU904" s="1088"/>
      <c r="AV904" s="1235"/>
    </row>
    <row r="905" spans="1:48" ht="16.5" customHeight="1">
      <c r="A905" s="1073"/>
      <c r="B905" s="1082"/>
      <c r="C905" s="1083"/>
      <c r="D905" s="1074"/>
      <c r="E905" s="1126"/>
      <c r="F905" s="1138"/>
      <c r="G905" s="1074"/>
      <c r="H905" s="1077"/>
      <c r="I905" s="1127"/>
      <c r="J905" s="1128"/>
      <c r="K905" s="1067"/>
      <c r="L905" s="1221"/>
      <c r="M905" s="1075"/>
      <c r="N905" s="1074"/>
      <c r="O905" s="1126"/>
      <c r="P905" s="1073"/>
      <c r="Q905" s="1077"/>
      <c r="R905" s="1038"/>
      <c r="S905" s="1074"/>
      <c r="T905" s="1080"/>
      <c r="U905" s="1091">
        <v>12</v>
      </c>
      <c r="V905" s="1073" t="s">
        <v>83</v>
      </c>
      <c r="W905" s="1079">
        <v>9</v>
      </c>
      <c r="X905" s="1078"/>
      <c r="Y905" s="1039"/>
      <c r="Z905" s="1134"/>
      <c r="AA905" s="1074"/>
      <c r="AB905" s="1077"/>
      <c r="AC905" s="1073"/>
      <c r="AD905" s="1091"/>
      <c r="AE905" s="1076"/>
      <c r="AF905" s="1085"/>
      <c r="AG905" s="1086"/>
      <c r="AH905" s="1087"/>
      <c r="AI905" s="1087"/>
      <c r="AJ905" s="1088"/>
      <c r="AK905" s="1089">
        <v>3000</v>
      </c>
      <c r="AL905" s="1090">
        <f>AK905*W905</f>
        <v>27000</v>
      </c>
      <c r="AM905" s="1086"/>
      <c r="AN905" s="1086"/>
      <c r="AO905" s="1087"/>
      <c r="AP905" s="1076"/>
      <c r="AQ905" s="1087"/>
      <c r="AR905" s="1076"/>
      <c r="AS905" s="1076"/>
      <c r="AT905" s="1086"/>
      <c r="AU905" s="1088"/>
      <c r="AV905" s="1235"/>
    </row>
    <row r="906" spans="1:48" ht="16.5" customHeight="1">
      <c r="A906" s="1073"/>
      <c r="B906" s="1082"/>
      <c r="C906" s="1083"/>
      <c r="D906" s="1074"/>
      <c r="E906" s="1126"/>
      <c r="F906" s="1138"/>
      <c r="G906" s="1074"/>
      <c r="H906" s="1077"/>
      <c r="I906" s="1127"/>
      <c r="J906" s="1128"/>
      <c r="K906" s="1067"/>
      <c r="L906" s="1221"/>
      <c r="M906" s="1075"/>
      <c r="N906" s="1074"/>
      <c r="O906" s="1126"/>
      <c r="P906" s="1073"/>
      <c r="Q906" s="1077"/>
      <c r="R906" s="1038"/>
      <c r="S906" s="1074"/>
      <c r="T906" s="1080"/>
      <c r="U906" s="1091">
        <v>13</v>
      </c>
      <c r="V906" s="1073" t="s">
        <v>1667</v>
      </c>
      <c r="W906" s="1079">
        <v>4</v>
      </c>
      <c r="X906" s="1078"/>
      <c r="Y906" s="1039"/>
      <c r="Z906" s="1134"/>
      <c r="AA906" s="1074"/>
      <c r="AB906" s="1077"/>
      <c r="AC906" s="1073"/>
      <c r="AD906" s="1091"/>
      <c r="AE906" s="1076"/>
      <c r="AF906" s="1085"/>
      <c r="AG906" s="1086"/>
      <c r="AH906" s="1087"/>
      <c r="AI906" s="1087"/>
      <c r="AJ906" s="1088"/>
      <c r="AK906" s="1089">
        <v>25000</v>
      </c>
      <c r="AL906" s="1090">
        <f>AK906*W906</f>
        <v>100000</v>
      </c>
      <c r="AM906" s="1086"/>
      <c r="AN906" s="1086"/>
      <c r="AO906" s="1087"/>
      <c r="AP906" s="1076"/>
      <c r="AQ906" s="1087"/>
      <c r="AR906" s="1076"/>
      <c r="AS906" s="1076"/>
      <c r="AT906" s="1086"/>
      <c r="AU906" s="1088"/>
      <c r="AV906" s="1235"/>
    </row>
    <row r="907" spans="1:48" ht="16.5" customHeight="1">
      <c r="A907" s="1107"/>
      <c r="B907" s="1095"/>
      <c r="C907" s="1186"/>
      <c r="D907" s="1094"/>
      <c r="E907" s="1149"/>
      <c r="F907" s="1150"/>
      <c r="G907" s="1094"/>
      <c r="H907" s="1151"/>
      <c r="I907" s="1152"/>
      <c r="J907" s="1153"/>
      <c r="K907" s="1101"/>
      <c r="L907" s="1224"/>
      <c r="M907" s="1168"/>
      <c r="N907" s="1094"/>
      <c r="O907" s="1156"/>
      <c r="P907" s="1107"/>
      <c r="Q907" s="1151"/>
      <c r="R907" s="1095"/>
      <c r="S907" s="1094"/>
      <c r="T907" s="1112"/>
      <c r="U907" s="1151"/>
      <c r="V907" s="1107"/>
      <c r="W907" s="1111"/>
      <c r="X907" s="1110"/>
      <c r="Y907" s="1096"/>
      <c r="Z907" s="1286"/>
      <c r="AA907" s="1094"/>
      <c r="AB907" s="1151"/>
      <c r="AC907" s="1107"/>
      <c r="AD907" s="1109"/>
      <c r="AE907" s="1108"/>
      <c r="AF907" s="1115"/>
      <c r="AG907" s="1116"/>
      <c r="AH907" s="1117"/>
      <c r="AI907" s="1117"/>
      <c r="AJ907" s="1118"/>
      <c r="AK907" s="1119"/>
      <c r="AL907" s="1120"/>
      <c r="AM907" s="1116"/>
      <c r="AN907" s="1116"/>
      <c r="AO907" s="1117"/>
      <c r="AP907" s="1108"/>
      <c r="AQ907" s="1117"/>
      <c r="AR907" s="1108"/>
      <c r="AS907" s="1108"/>
      <c r="AT907" s="1116"/>
      <c r="AU907" s="1118"/>
      <c r="AV907" s="1287"/>
    </row>
    <row r="908" spans="1:48" ht="16.5" customHeight="1">
      <c r="A908" s="1169">
        <v>66</v>
      </c>
      <c r="B908" s="1033" t="s">
        <v>25</v>
      </c>
      <c r="C908" s="1036" t="s">
        <v>1632</v>
      </c>
      <c r="D908" s="1170"/>
      <c r="E908" s="1034"/>
      <c r="F908" s="1375" t="s">
        <v>1666</v>
      </c>
      <c r="G908" s="1172" t="s">
        <v>25</v>
      </c>
      <c r="H908" s="1173" t="s">
        <v>1540</v>
      </c>
      <c r="I908" s="1174">
        <v>570</v>
      </c>
      <c r="J908" s="1175" t="s">
        <v>41</v>
      </c>
      <c r="K908" s="1041" t="s">
        <v>1665</v>
      </c>
      <c r="L908" s="1276"/>
      <c r="M908" s="1048"/>
      <c r="N908" s="1034"/>
      <c r="O908" s="1217"/>
      <c r="P908" s="1317"/>
      <c r="Q908" s="1318"/>
      <c r="R908" s="1035"/>
      <c r="S908" s="1034" t="s">
        <v>15</v>
      </c>
      <c r="T908" s="1053"/>
      <c r="U908" s="1180">
        <v>1</v>
      </c>
      <c r="V908" s="1047" t="s">
        <v>14</v>
      </c>
      <c r="W908" s="1052">
        <v>2</v>
      </c>
      <c r="X908" s="1051"/>
      <c r="Y908" s="1036"/>
      <c r="Z908" s="1203">
        <f>-SUM(W908:Y908)</f>
        <v>-2</v>
      </c>
      <c r="AA908" s="1034"/>
      <c r="AB908" s="1050"/>
      <c r="AC908" s="1047"/>
      <c r="AD908" s="1180"/>
      <c r="AE908" s="1049"/>
      <c r="AF908" s="1056">
        <f>+Resum!F4</f>
        <v>204000</v>
      </c>
      <c r="AG908" s="1086">
        <f>AF908*I908</f>
        <v>116280000</v>
      </c>
      <c r="AH908" s="1058"/>
      <c r="AI908" s="1058"/>
      <c r="AJ908" s="1059"/>
      <c r="AK908" s="1089">
        <v>350000</v>
      </c>
      <c r="AL908" s="1087">
        <f t="shared" si="78"/>
        <v>700000</v>
      </c>
      <c r="AM908" s="1057">
        <f>SUM(AL908:AL913)</f>
        <v>871100</v>
      </c>
      <c r="AN908" s="1086">
        <f>AM908+AJ908+AG908</f>
        <v>117151100</v>
      </c>
      <c r="AO908" s="1058"/>
      <c r="AP908" s="1136">
        <f>AI909*15%</f>
        <v>0</v>
      </c>
      <c r="AQ908" s="1087"/>
      <c r="AR908" s="1136">
        <f>(AG908+AI908)*5%</f>
        <v>5814000</v>
      </c>
      <c r="AS908" s="1087">
        <f>0.5%*(AG908+AI908)*(3)</f>
        <v>1744200</v>
      </c>
      <c r="AT908" s="1086">
        <f>+AS908+AR908+AQ908+AP908+AO908</f>
        <v>7558200</v>
      </c>
      <c r="AU908" s="1137">
        <f>ROUND(AT908+AN908,-3)</f>
        <v>124709000</v>
      </c>
      <c r="AV908" s="1279"/>
    </row>
    <row r="909" spans="1:48" ht="16.5" customHeight="1">
      <c r="A909" s="1073"/>
      <c r="B909" s="1038" t="s">
        <v>16</v>
      </c>
      <c r="C909" s="1071" t="s">
        <v>1629</v>
      </c>
      <c r="D909" s="1074"/>
      <c r="E909" s="1063"/>
      <c r="F909" s="1138"/>
      <c r="G909" s="1074" t="s">
        <v>16</v>
      </c>
      <c r="H909" s="1074" t="s">
        <v>22</v>
      </c>
      <c r="I909" s="1127"/>
      <c r="J909" s="1128"/>
      <c r="K909" s="1067"/>
      <c r="L909" s="1221"/>
      <c r="M909" s="1075"/>
      <c r="N909" s="1074"/>
      <c r="O909" s="1257"/>
      <c r="P909" s="1320"/>
      <c r="Q909" s="1321"/>
      <c r="R909" s="1038"/>
      <c r="S909" s="1074"/>
      <c r="T909" s="1080"/>
      <c r="U909" s="1091">
        <v>2</v>
      </c>
      <c r="V909" s="1073" t="s">
        <v>144</v>
      </c>
      <c r="W909" s="1079"/>
      <c r="X909" s="1078"/>
      <c r="Y909" s="1039">
        <v>2</v>
      </c>
      <c r="Z909" s="1134">
        <f>SUM(W909:Y909)</f>
        <v>2</v>
      </c>
      <c r="AA909" s="1074"/>
      <c r="AB909" s="1077"/>
      <c r="AC909" s="1073"/>
      <c r="AD909" s="1091"/>
      <c r="AE909" s="1076"/>
      <c r="AF909" s="1085"/>
      <c r="AG909" s="1086"/>
      <c r="AH909" s="1087"/>
      <c r="AI909" s="1087"/>
      <c r="AJ909" s="1088"/>
      <c r="AK909" s="1089">
        <v>6600</v>
      </c>
      <c r="AL909" s="1090">
        <f>AK909*Y909</f>
        <v>13200</v>
      </c>
      <c r="AM909" s="1086"/>
      <c r="AN909" s="1086"/>
      <c r="AO909" s="1087"/>
      <c r="AP909" s="1076"/>
      <c r="AQ909" s="1087"/>
      <c r="AR909" s="1076"/>
      <c r="AS909" s="1076"/>
      <c r="AT909" s="1086"/>
      <c r="AU909" s="1088"/>
      <c r="AV909" s="1235"/>
    </row>
    <row r="910" spans="1:48" ht="16.5" customHeight="1">
      <c r="A910" s="1073"/>
      <c r="B910" s="1038" t="s">
        <v>18</v>
      </c>
      <c r="C910" s="1039" t="s">
        <v>124</v>
      </c>
      <c r="D910" s="1074"/>
      <c r="E910" s="1074"/>
      <c r="F910" s="1138"/>
      <c r="G910" s="1074" t="s">
        <v>18</v>
      </c>
      <c r="H910" s="1074" t="s">
        <v>19</v>
      </c>
      <c r="I910" s="1127"/>
      <c r="J910" s="1128"/>
      <c r="K910" s="1067"/>
      <c r="L910" s="1221"/>
      <c r="M910" s="1075"/>
      <c r="N910" s="1074"/>
      <c r="O910" s="1257"/>
      <c r="P910" s="1320"/>
      <c r="Q910" s="1321"/>
      <c r="R910" s="1038"/>
      <c r="S910" s="1074"/>
      <c r="T910" s="1080"/>
      <c r="U910" s="1091">
        <v>3</v>
      </c>
      <c r="V910" s="1073" t="s">
        <v>1633</v>
      </c>
      <c r="W910" s="1079"/>
      <c r="X910" s="1078">
        <v>2</v>
      </c>
      <c r="Y910" s="1039"/>
      <c r="Z910" s="1134">
        <f>SUM(W910:Y910)</f>
        <v>2</v>
      </c>
      <c r="AA910" s="1074"/>
      <c r="AB910" s="1077"/>
      <c r="AC910" s="1073"/>
      <c r="AD910" s="1091"/>
      <c r="AE910" s="1076"/>
      <c r="AF910" s="1085"/>
      <c r="AG910" s="1086"/>
      <c r="AH910" s="1087"/>
      <c r="AI910" s="1087"/>
      <c r="AJ910" s="1088"/>
      <c r="AK910" s="1089">
        <v>3100</v>
      </c>
      <c r="AL910" s="1090">
        <f>AK910*X910</f>
        <v>6200</v>
      </c>
      <c r="AM910" s="1086"/>
      <c r="AN910" s="1086"/>
      <c r="AO910" s="1087"/>
      <c r="AP910" s="1076"/>
      <c r="AQ910" s="1087"/>
      <c r="AR910" s="1076"/>
      <c r="AS910" s="1076"/>
      <c r="AT910" s="1086"/>
      <c r="AU910" s="1088"/>
      <c r="AV910" s="1235"/>
    </row>
    <row r="911" spans="1:48" ht="49.5" customHeight="1">
      <c r="A911" s="1073"/>
      <c r="B911" s="1082" t="s">
        <v>12</v>
      </c>
      <c r="C911" s="1083" t="s">
        <v>98</v>
      </c>
      <c r="D911" s="1074"/>
      <c r="E911" s="1126"/>
      <c r="F911" s="1138"/>
      <c r="G911" s="1074"/>
      <c r="H911" s="1077"/>
      <c r="I911" s="1127"/>
      <c r="J911" s="1128"/>
      <c r="K911" s="1067"/>
      <c r="L911" s="1221"/>
      <c r="M911" s="1075"/>
      <c r="N911" s="1542"/>
      <c r="O911" s="1257"/>
      <c r="P911" s="1320"/>
      <c r="Q911" s="1321"/>
      <c r="R911" s="1038"/>
      <c r="S911" s="1074"/>
      <c r="T911" s="1080"/>
      <c r="U911" s="1091">
        <v>4</v>
      </c>
      <c r="V911" s="1073" t="s">
        <v>32</v>
      </c>
      <c r="W911" s="1079">
        <v>5</v>
      </c>
      <c r="X911" s="1078"/>
      <c r="Y911" s="1039"/>
      <c r="Z911" s="1134">
        <f>SUM(W911:Y911)</f>
        <v>5</v>
      </c>
      <c r="AA911" s="1074"/>
      <c r="AB911" s="1077"/>
      <c r="AC911" s="1073"/>
      <c r="AD911" s="1091"/>
      <c r="AE911" s="1076"/>
      <c r="AF911" s="1085"/>
      <c r="AG911" s="1086"/>
      <c r="AH911" s="1087"/>
      <c r="AI911" s="1087"/>
      <c r="AJ911" s="1088"/>
      <c r="AK911" s="1089">
        <v>25300</v>
      </c>
      <c r="AL911" s="1090">
        <f t="shared" si="78"/>
        <v>126500</v>
      </c>
      <c r="AM911" s="1086"/>
      <c r="AN911" s="1086"/>
      <c r="AO911" s="1087"/>
      <c r="AP911" s="1076"/>
      <c r="AQ911" s="1087"/>
      <c r="AR911" s="1076"/>
      <c r="AS911" s="1076"/>
      <c r="AT911" s="1086"/>
      <c r="AU911" s="1088"/>
      <c r="AV911" s="1235"/>
    </row>
    <row r="912" spans="1:48" ht="16.5" customHeight="1">
      <c r="A912" s="1073"/>
      <c r="B912" s="1082" t="s">
        <v>8</v>
      </c>
      <c r="C912" s="1083" t="s">
        <v>1628</v>
      </c>
      <c r="D912" s="1074"/>
      <c r="E912" s="1126"/>
      <c r="F912" s="1138"/>
      <c r="G912" s="1074"/>
      <c r="H912" s="1077"/>
      <c r="I912" s="1127"/>
      <c r="J912" s="1128"/>
      <c r="K912" s="1067"/>
      <c r="L912" s="1221"/>
      <c r="M912" s="1075"/>
      <c r="N912" s="1038"/>
      <c r="O912" s="1246"/>
      <c r="P912" s="1320"/>
      <c r="Q912" s="1321"/>
      <c r="R912" s="1038"/>
      <c r="S912" s="1074"/>
      <c r="T912" s="1080"/>
      <c r="U912" s="1091">
        <v>4</v>
      </c>
      <c r="V912" s="1073" t="s">
        <v>32</v>
      </c>
      <c r="W912" s="1079"/>
      <c r="X912" s="1078">
        <v>2</v>
      </c>
      <c r="Y912" s="1039"/>
      <c r="Z912" s="1134">
        <f>SUM(W912:Y912)</f>
        <v>2</v>
      </c>
      <c r="AA912" s="1074"/>
      <c r="AB912" s="1077"/>
      <c r="AC912" s="1073"/>
      <c r="AD912" s="1091"/>
      <c r="AE912" s="1076"/>
      <c r="AF912" s="1085"/>
      <c r="AG912" s="1086"/>
      <c r="AH912" s="1087"/>
      <c r="AI912" s="1087"/>
      <c r="AJ912" s="1088"/>
      <c r="AK912" s="1089">
        <v>12600</v>
      </c>
      <c r="AL912" s="1090">
        <f>AK912*X912</f>
        <v>25200</v>
      </c>
      <c r="AM912" s="1086"/>
      <c r="AN912" s="1086"/>
      <c r="AO912" s="1087"/>
      <c r="AP912" s="1076"/>
      <c r="AQ912" s="1087"/>
      <c r="AR912" s="1076"/>
      <c r="AS912" s="1076"/>
      <c r="AT912" s="1086"/>
      <c r="AU912" s="1088"/>
      <c r="AV912" s="1235"/>
    </row>
    <row r="913" spans="1:48" ht="16.5" customHeight="1">
      <c r="A913" s="1073"/>
      <c r="B913" s="1082"/>
      <c r="C913" s="1083"/>
      <c r="D913" s="1074"/>
      <c r="E913" s="1126"/>
      <c r="F913" s="1138"/>
      <c r="G913" s="1074"/>
      <c r="H913" s="1077"/>
      <c r="I913" s="1127"/>
      <c r="J913" s="1128"/>
      <c r="K913" s="1067"/>
      <c r="L913" s="1221"/>
      <c r="M913" s="1075"/>
      <c r="N913" s="1074"/>
      <c r="O913" s="1257"/>
      <c r="P913" s="1320"/>
      <c r="Q913" s="1321"/>
      <c r="R913" s="1038"/>
      <c r="S913" s="1074"/>
      <c r="T913" s="1080"/>
      <c r="U913" s="1091">
        <v>5</v>
      </c>
      <c r="V913" s="1073" t="s">
        <v>1600</v>
      </c>
      <c r="W913" s="1079">
        <v>21</v>
      </c>
      <c r="X913" s="1078"/>
      <c r="Y913" s="1039"/>
      <c r="Z913" s="1134"/>
      <c r="AA913" s="1074"/>
      <c r="AB913" s="1077"/>
      <c r="AC913" s="1073"/>
      <c r="AD913" s="1091"/>
      <c r="AE913" s="1076"/>
      <c r="AF913" s="1085"/>
      <c r="AG913" s="1086"/>
      <c r="AH913" s="1087"/>
      <c r="AI913" s="1087"/>
      <c r="AJ913" s="1088"/>
      <c r="AK913" s="1089"/>
      <c r="AL913" s="1090">
        <f>AK913*W913</f>
        <v>0</v>
      </c>
      <c r="AM913" s="1086"/>
      <c r="AN913" s="1086"/>
      <c r="AO913" s="1087"/>
      <c r="AP913" s="1076"/>
      <c r="AQ913" s="1087"/>
      <c r="AR913" s="1076"/>
      <c r="AS913" s="1076"/>
      <c r="AT913" s="1086"/>
      <c r="AU913" s="1088"/>
      <c r="AV913" s="1235"/>
    </row>
    <row r="914" spans="1:48" ht="16.5" customHeight="1">
      <c r="A914" s="1107"/>
      <c r="B914" s="1095"/>
      <c r="C914" s="1186"/>
      <c r="D914" s="1094"/>
      <c r="E914" s="1149"/>
      <c r="F914" s="1150"/>
      <c r="G914" s="1094"/>
      <c r="H914" s="1151"/>
      <c r="I914" s="1152"/>
      <c r="J914" s="1153"/>
      <c r="K914" s="1101"/>
      <c r="L914" s="1224"/>
      <c r="M914" s="1168"/>
      <c r="N914" s="1094"/>
      <c r="O914" s="1265"/>
      <c r="P914" s="1549"/>
      <c r="Q914" s="1263"/>
      <c r="R914" s="1095"/>
      <c r="S914" s="1094"/>
      <c r="T914" s="1112"/>
      <c r="U914" s="1151"/>
      <c r="V914" s="1107"/>
      <c r="W914" s="1111"/>
      <c r="X914" s="1110"/>
      <c r="Y914" s="1096"/>
      <c r="Z914" s="1286"/>
      <c r="AA914" s="1094"/>
      <c r="AB914" s="1151"/>
      <c r="AC914" s="1107"/>
      <c r="AD914" s="1109"/>
      <c r="AE914" s="1108"/>
      <c r="AF914" s="1115"/>
      <c r="AG914" s="1116"/>
      <c r="AH914" s="1117"/>
      <c r="AI914" s="1117"/>
      <c r="AJ914" s="1118"/>
      <c r="AK914" s="1119"/>
      <c r="AL914" s="1120"/>
      <c r="AM914" s="1116"/>
      <c r="AN914" s="1116"/>
      <c r="AO914" s="1117"/>
      <c r="AP914" s="1108"/>
      <c r="AQ914" s="1117"/>
      <c r="AR914" s="1108"/>
      <c r="AS914" s="1108"/>
      <c r="AT914" s="1116"/>
      <c r="AU914" s="1118"/>
      <c r="AV914" s="1287"/>
    </row>
    <row r="915" spans="1:48" s="1498" customFormat="1" ht="16.5" customHeight="1">
      <c r="A915" s="1488">
        <v>67</v>
      </c>
      <c r="B915" s="1381" t="s">
        <v>25</v>
      </c>
      <c r="C915" s="1382" t="s">
        <v>1632</v>
      </c>
      <c r="D915" s="1403"/>
      <c r="E915" s="1395"/>
      <c r="F915" s="1567" t="s">
        <v>1631</v>
      </c>
      <c r="G915" s="2033" t="s">
        <v>25</v>
      </c>
      <c r="H915" s="1404" t="s">
        <v>1540</v>
      </c>
      <c r="I915" s="1568">
        <v>1013.276</v>
      </c>
      <c r="J915" s="1569" t="s">
        <v>41</v>
      </c>
      <c r="K915" s="1570" t="s">
        <v>1664</v>
      </c>
      <c r="L915" s="1389" t="s">
        <v>46</v>
      </c>
      <c r="M915" s="2034" t="s">
        <v>46</v>
      </c>
      <c r="N915" s="2035" t="s">
        <v>1661</v>
      </c>
      <c r="O915" s="1573"/>
      <c r="P915" s="1448"/>
      <c r="Q915" s="1572"/>
      <c r="R915" s="1391"/>
      <c r="S915" s="1395" t="s">
        <v>15</v>
      </c>
      <c r="T915" s="2036"/>
      <c r="U915" s="1492">
        <v>1</v>
      </c>
      <c r="V915" s="1405" t="s">
        <v>1591</v>
      </c>
      <c r="W915" s="2037">
        <v>4</v>
      </c>
      <c r="X915" s="2038"/>
      <c r="Y915" s="2039"/>
      <c r="Z915" s="1575">
        <f t="shared" ref="Z915:Z922" si="80">SUM(W915:Y915)</f>
        <v>4</v>
      </c>
      <c r="AA915" s="1403"/>
      <c r="AB915" s="1404"/>
      <c r="AC915" s="1405"/>
      <c r="AD915" s="1406"/>
      <c r="AE915" s="1407"/>
      <c r="AF915" s="1854">
        <f>+Resum!F4</f>
        <v>204000</v>
      </c>
      <c r="AG915" s="1409">
        <f>AF915*I915</f>
        <v>206708304</v>
      </c>
      <c r="AH915" s="1855"/>
      <c r="AI915" s="1855"/>
      <c r="AJ915" s="2040"/>
      <c r="AK915" s="1446">
        <v>350000</v>
      </c>
      <c r="AL915" s="1416">
        <f t="shared" si="78"/>
        <v>1400000</v>
      </c>
      <c r="AM915" s="1858">
        <f>SUM(AL915:AL922)</f>
        <v>1959085</v>
      </c>
      <c r="AN915" s="1409">
        <f>AM915+AJ915+AG915</f>
        <v>208667389</v>
      </c>
      <c r="AO915" s="1855"/>
      <c r="AP915" s="1415">
        <f>AI916*15%</f>
        <v>0</v>
      </c>
      <c r="AQ915" s="1416">
        <v>0</v>
      </c>
      <c r="AR915" s="1415">
        <f>(AG915+AI915)*5%</f>
        <v>10335415.200000001</v>
      </c>
      <c r="AS915" s="1416">
        <f>0.5%*(AG915+AI915)*(3)</f>
        <v>3100624.56</v>
      </c>
      <c r="AT915" s="1409">
        <f>+AS915+AR915+AQ915+AP915+AO915</f>
        <v>13436039.760000002</v>
      </c>
      <c r="AU915" s="1417">
        <f>ROUND(AT915+AN915,-3)</f>
        <v>222103000</v>
      </c>
      <c r="AV915" s="1570"/>
    </row>
    <row r="916" spans="1:48" s="1498" customFormat="1" ht="16.5" customHeight="1">
      <c r="A916" s="1439"/>
      <c r="B916" s="1419" t="s">
        <v>16</v>
      </c>
      <c r="C916" s="1420" t="s">
        <v>1629</v>
      </c>
      <c r="D916" s="1430"/>
      <c r="E916" s="1456"/>
      <c r="F916" s="1421"/>
      <c r="G916" s="1430" t="s">
        <v>16</v>
      </c>
      <c r="H916" s="1430" t="s">
        <v>22</v>
      </c>
      <c r="I916" s="1576"/>
      <c r="J916" s="1427"/>
      <c r="K916" s="1577"/>
      <c r="L916" s="1426"/>
      <c r="M916" s="1424"/>
      <c r="N916" s="1419" t="s">
        <v>25</v>
      </c>
      <c r="O916" s="1571" t="s">
        <v>26</v>
      </c>
      <c r="P916" s="1448"/>
      <c r="Q916" s="1572">
        <v>168</v>
      </c>
      <c r="R916" s="1419"/>
      <c r="S916" s="1430"/>
      <c r="T916" s="1574"/>
      <c r="U916" s="1501">
        <v>2</v>
      </c>
      <c r="V916" s="1439" t="s">
        <v>240</v>
      </c>
      <c r="W916" s="1509">
        <v>10</v>
      </c>
      <c r="X916" s="1510"/>
      <c r="Y916" s="2041"/>
      <c r="Z916" s="1575">
        <f t="shared" si="80"/>
        <v>10</v>
      </c>
      <c r="AA916" s="1430"/>
      <c r="AB916" s="1438"/>
      <c r="AC916" s="1439"/>
      <c r="AD916" s="1440"/>
      <c r="AE916" s="1441"/>
      <c r="AF916" s="1880"/>
      <c r="AG916" s="1409"/>
      <c r="AH916" s="1416"/>
      <c r="AI916" s="1416"/>
      <c r="AJ916" s="2042"/>
      <c r="AK916" s="1446">
        <v>10000</v>
      </c>
      <c r="AL916" s="1413">
        <f t="shared" si="78"/>
        <v>100000</v>
      </c>
      <c r="AM916" s="1409"/>
      <c r="AN916" s="1409"/>
      <c r="AO916" s="1416"/>
      <c r="AP916" s="1504"/>
      <c r="AQ916" s="1416"/>
      <c r="AR916" s="1504"/>
      <c r="AS916" s="1504"/>
      <c r="AT916" s="1409"/>
      <c r="AU916" s="2042"/>
      <c r="AV916" s="1577"/>
    </row>
    <row r="917" spans="1:48" s="1498" customFormat="1" ht="33" customHeight="1">
      <c r="A917" s="1439"/>
      <c r="B917" s="1419" t="s">
        <v>18</v>
      </c>
      <c r="C917" s="1422" t="s">
        <v>124</v>
      </c>
      <c r="D917" s="1430"/>
      <c r="E917" s="1430"/>
      <c r="F917" s="1421"/>
      <c r="G917" s="1430" t="s">
        <v>18</v>
      </c>
      <c r="H917" s="1430" t="s">
        <v>19</v>
      </c>
      <c r="I917" s="1576"/>
      <c r="J917" s="1427"/>
      <c r="K917" s="1577"/>
      <c r="L917" s="1426"/>
      <c r="M917" s="1424"/>
      <c r="N917" s="1430" t="s">
        <v>16</v>
      </c>
      <c r="O917" s="1573" t="s">
        <v>21</v>
      </c>
      <c r="P917" s="1448"/>
      <c r="Q917" s="1572">
        <v>6</v>
      </c>
      <c r="R917" s="1419"/>
      <c r="S917" s="1430"/>
      <c r="T917" s="1574"/>
      <c r="U917" s="1501">
        <v>3</v>
      </c>
      <c r="V917" s="1439" t="s">
        <v>139</v>
      </c>
      <c r="W917" s="1509"/>
      <c r="X917" s="1510"/>
      <c r="Y917" s="1422">
        <v>1</v>
      </c>
      <c r="Z917" s="1575">
        <f t="shared" si="80"/>
        <v>1</v>
      </c>
      <c r="AA917" s="1430"/>
      <c r="AB917" s="1438"/>
      <c r="AC917" s="1439"/>
      <c r="AD917" s="1440"/>
      <c r="AE917" s="1441"/>
      <c r="AF917" s="1880"/>
      <c r="AG917" s="1409"/>
      <c r="AH917" s="1416"/>
      <c r="AI917" s="1416"/>
      <c r="AJ917" s="2042"/>
      <c r="AK917" s="1446">
        <v>24750</v>
      </c>
      <c r="AL917" s="1413">
        <f>AK917*Y917</f>
        <v>24750</v>
      </c>
      <c r="AM917" s="1409"/>
      <c r="AN917" s="1409"/>
      <c r="AO917" s="1416"/>
      <c r="AP917" s="1504"/>
      <c r="AQ917" s="1416"/>
      <c r="AR917" s="1504"/>
      <c r="AS917" s="1504"/>
      <c r="AT917" s="1409"/>
      <c r="AU917" s="2042"/>
      <c r="AV917" s="1577"/>
    </row>
    <row r="918" spans="1:48" s="1498" customFormat="1" ht="49.5" customHeight="1">
      <c r="A918" s="1439"/>
      <c r="B918" s="1418" t="s">
        <v>12</v>
      </c>
      <c r="C918" s="1452" t="s">
        <v>98</v>
      </c>
      <c r="D918" s="1430"/>
      <c r="E918" s="1438"/>
      <c r="F918" s="1421"/>
      <c r="G918" s="1430"/>
      <c r="H918" s="1578"/>
      <c r="I918" s="1576"/>
      <c r="J918" s="1427"/>
      <c r="K918" s="1577"/>
      <c r="L918" s="1426"/>
      <c r="M918" s="1424"/>
      <c r="N918" s="1430" t="s">
        <v>18</v>
      </c>
      <c r="O918" s="1573" t="s">
        <v>17</v>
      </c>
      <c r="P918" s="1448">
        <v>1</v>
      </c>
      <c r="Q918" s="1572"/>
      <c r="R918" s="1419"/>
      <c r="S918" s="1430"/>
      <c r="T918" s="1574"/>
      <c r="U918" s="1501">
        <v>4</v>
      </c>
      <c r="V918" s="1439" t="s">
        <v>344</v>
      </c>
      <c r="W918" s="1509">
        <v>1</v>
      </c>
      <c r="X918" s="1510"/>
      <c r="Y918" s="1422"/>
      <c r="Z918" s="1575">
        <f t="shared" si="80"/>
        <v>1</v>
      </c>
      <c r="AA918" s="1430"/>
      <c r="AB918" s="1438"/>
      <c r="AC918" s="1439"/>
      <c r="AD918" s="1440"/>
      <c r="AE918" s="1441"/>
      <c r="AF918" s="1880"/>
      <c r="AG918" s="1409"/>
      <c r="AH918" s="1416"/>
      <c r="AI918" s="1416"/>
      <c r="AJ918" s="2042"/>
      <c r="AK918" s="1446">
        <v>150000</v>
      </c>
      <c r="AL918" s="1413">
        <f t="shared" si="78"/>
        <v>150000</v>
      </c>
      <c r="AM918" s="1409"/>
      <c r="AN918" s="1409"/>
      <c r="AO918" s="1416"/>
      <c r="AP918" s="1504"/>
      <c r="AQ918" s="1416"/>
      <c r="AR918" s="1504"/>
      <c r="AS918" s="1504"/>
      <c r="AT918" s="1409"/>
      <c r="AU918" s="2042"/>
      <c r="AV918" s="1577"/>
    </row>
    <row r="919" spans="1:48" s="1498" customFormat="1" ht="16.5" customHeight="1">
      <c r="A919" s="1439"/>
      <c r="B919" s="1418" t="s">
        <v>8</v>
      </c>
      <c r="C919" s="1452" t="s">
        <v>1628</v>
      </c>
      <c r="D919" s="1430"/>
      <c r="E919" s="1438"/>
      <c r="F919" s="1421"/>
      <c r="G919" s="1430"/>
      <c r="H919" s="1578"/>
      <c r="I919" s="1576"/>
      <c r="J919" s="1427"/>
      <c r="K919" s="1577"/>
      <c r="L919" s="1426"/>
      <c r="M919" s="1424"/>
      <c r="N919" s="1430" t="s">
        <v>12</v>
      </c>
      <c r="O919" s="1573" t="s">
        <v>11</v>
      </c>
      <c r="P919" s="1448">
        <v>1</v>
      </c>
      <c r="Q919" s="1572"/>
      <c r="R919" s="1419"/>
      <c r="S919" s="1430"/>
      <c r="T919" s="1574"/>
      <c r="U919" s="1501">
        <v>5</v>
      </c>
      <c r="V919" s="1439" t="s">
        <v>1663</v>
      </c>
      <c r="W919" s="1509">
        <v>1</v>
      </c>
      <c r="X919" s="1510"/>
      <c r="Y919" s="1422"/>
      <c r="Z919" s="1575">
        <f t="shared" si="80"/>
        <v>1</v>
      </c>
      <c r="AA919" s="1430"/>
      <c r="AB919" s="1438"/>
      <c r="AC919" s="1439"/>
      <c r="AD919" s="1440"/>
      <c r="AE919" s="1441"/>
      <c r="AF919" s="1880"/>
      <c r="AG919" s="1409"/>
      <c r="AH919" s="1416"/>
      <c r="AI919" s="1416"/>
      <c r="AJ919" s="2042"/>
      <c r="AK919" s="1446">
        <v>125000</v>
      </c>
      <c r="AL919" s="1413">
        <f t="shared" si="78"/>
        <v>125000</v>
      </c>
      <c r="AM919" s="1409"/>
      <c r="AN919" s="1409"/>
      <c r="AO919" s="1416"/>
      <c r="AP919" s="1504"/>
      <c r="AQ919" s="1416"/>
      <c r="AR919" s="1504"/>
      <c r="AS919" s="1504"/>
      <c r="AT919" s="1409"/>
      <c r="AU919" s="2042"/>
      <c r="AV919" s="1577"/>
    </row>
    <row r="920" spans="1:48" s="1498" customFormat="1" ht="16.5" customHeight="1">
      <c r="A920" s="1439"/>
      <c r="B920" s="1418"/>
      <c r="C920" s="1452"/>
      <c r="D920" s="1430"/>
      <c r="E920" s="1438"/>
      <c r="F920" s="1421"/>
      <c r="G920" s="1430"/>
      <c r="H920" s="1578"/>
      <c r="I920" s="1576"/>
      <c r="J920" s="1427"/>
      <c r="K920" s="1577"/>
      <c r="L920" s="1426"/>
      <c r="M920" s="1424"/>
      <c r="N920" s="1430" t="s">
        <v>8</v>
      </c>
      <c r="O920" s="2043" t="s">
        <v>7</v>
      </c>
      <c r="P920" s="1448"/>
      <c r="Q920" s="1572">
        <v>118</v>
      </c>
      <c r="R920" s="1419"/>
      <c r="S920" s="1430"/>
      <c r="T920" s="1574"/>
      <c r="U920" s="1501">
        <v>6</v>
      </c>
      <c r="V920" s="1439" t="s">
        <v>826</v>
      </c>
      <c r="W920" s="1509">
        <v>3</v>
      </c>
      <c r="X920" s="1510"/>
      <c r="Y920" s="1422"/>
      <c r="Z920" s="1575">
        <f t="shared" si="80"/>
        <v>3</v>
      </c>
      <c r="AA920" s="1430"/>
      <c r="AB920" s="1438"/>
      <c r="AC920" s="1439"/>
      <c r="AD920" s="1440"/>
      <c r="AE920" s="1441"/>
      <c r="AF920" s="1880"/>
      <c r="AG920" s="1409"/>
      <c r="AH920" s="1416"/>
      <c r="AI920" s="1416"/>
      <c r="AJ920" s="2042"/>
      <c r="AK920" s="1446">
        <v>2645</v>
      </c>
      <c r="AL920" s="1413">
        <f t="shared" si="78"/>
        <v>7935</v>
      </c>
      <c r="AM920" s="1409"/>
      <c r="AN920" s="1409"/>
      <c r="AO920" s="1416"/>
      <c r="AP920" s="1504"/>
      <c r="AQ920" s="1416"/>
      <c r="AR920" s="1504"/>
      <c r="AS920" s="1504"/>
      <c r="AT920" s="1409"/>
      <c r="AU920" s="2042"/>
      <c r="AV920" s="1577"/>
    </row>
    <row r="921" spans="1:48" s="1498" customFormat="1" ht="16.5" customHeight="1">
      <c r="A921" s="1439"/>
      <c r="B921" s="1418"/>
      <c r="C921" s="1452"/>
      <c r="D921" s="1430"/>
      <c r="E921" s="1438"/>
      <c r="F921" s="1421"/>
      <c r="G921" s="1430"/>
      <c r="H921" s="1578"/>
      <c r="I921" s="1576"/>
      <c r="J921" s="1427"/>
      <c r="K921" s="1577"/>
      <c r="L921" s="1426"/>
      <c r="M921" s="1424"/>
      <c r="N921" s="1430" t="s">
        <v>54</v>
      </c>
      <c r="O921" s="1573" t="s">
        <v>199</v>
      </c>
      <c r="P921" s="1448"/>
      <c r="Q921" s="1572">
        <v>130</v>
      </c>
      <c r="R921" s="1419"/>
      <c r="S921" s="1430"/>
      <c r="T921" s="1574"/>
      <c r="U921" s="1501">
        <v>7</v>
      </c>
      <c r="V921" s="1439" t="s">
        <v>144</v>
      </c>
      <c r="W921" s="1509"/>
      <c r="X921" s="1510"/>
      <c r="Y921" s="1422">
        <v>4</v>
      </c>
      <c r="Z921" s="1575">
        <f t="shared" si="80"/>
        <v>4</v>
      </c>
      <c r="AA921" s="1430"/>
      <c r="AB921" s="1438"/>
      <c r="AC921" s="1439"/>
      <c r="AD921" s="1440"/>
      <c r="AE921" s="1441"/>
      <c r="AF921" s="1880"/>
      <c r="AG921" s="1409"/>
      <c r="AH921" s="1416"/>
      <c r="AI921" s="1416"/>
      <c r="AJ921" s="2042"/>
      <c r="AK921" s="1446">
        <v>6600</v>
      </c>
      <c r="AL921" s="1413">
        <f>AK921*Y921</f>
        <v>26400</v>
      </c>
      <c r="AM921" s="1409"/>
      <c r="AN921" s="1409"/>
      <c r="AO921" s="1416"/>
      <c r="AP921" s="1504"/>
      <c r="AQ921" s="1416"/>
      <c r="AR921" s="1504"/>
      <c r="AS921" s="1504"/>
      <c r="AT921" s="1409"/>
      <c r="AU921" s="2042"/>
      <c r="AV921" s="1577"/>
    </row>
    <row r="922" spans="1:48" s="1498" customFormat="1" ht="16.5" customHeight="1">
      <c r="A922" s="1439"/>
      <c r="B922" s="1418"/>
      <c r="C922" s="1452"/>
      <c r="D922" s="1430"/>
      <c r="E922" s="1438"/>
      <c r="F922" s="1421"/>
      <c r="G922" s="1430"/>
      <c r="H922" s="1578"/>
      <c r="I922" s="1576"/>
      <c r="J922" s="1427"/>
      <c r="K922" s="1577"/>
      <c r="L922" s="1426"/>
      <c r="M922" s="1424"/>
      <c r="N922" s="1430"/>
      <c r="O922" s="2044"/>
      <c r="P922" s="1439"/>
      <c r="Q922" s="1578"/>
      <c r="R922" s="1419"/>
      <c r="S922" s="1430"/>
      <c r="T922" s="1574"/>
      <c r="U922" s="1501">
        <v>8</v>
      </c>
      <c r="V922" s="1439" t="s">
        <v>34</v>
      </c>
      <c r="W922" s="1509">
        <v>1</v>
      </c>
      <c r="X922" s="1510"/>
      <c r="Y922" s="1422"/>
      <c r="Z922" s="1575">
        <f t="shared" si="80"/>
        <v>1</v>
      </c>
      <c r="AA922" s="1430"/>
      <c r="AB922" s="1438"/>
      <c r="AC922" s="1439"/>
      <c r="AD922" s="1440"/>
      <c r="AE922" s="1441"/>
      <c r="AF922" s="1880"/>
      <c r="AG922" s="1409"/>
      <c r="AH922" s="1416"/>
      <c r="AI922" s="1416"/>
      <c r="AJ922" s="2042"/>
      <c r="AK922" s="1446">
        <v>125000</v>
      </c>
      <c r="AL922" s="1413">
        <f t="shared" si="78"/>
        <v>125000</v>
      </c>
      <c r="AM922" s="1409"/>
      <c r="AN922" s="1409"/>
      <c r="AO922" s="1416"/>
      <c r="AP922" s="1504"/>
      <c r="AQ922" s="1416"/>
      <c r="AR922" s="1504"/>
      <c r="AS922" s="1504"/>
      <c r="AT922" s="1409"/>
      <c r="AU922" s="2042"/>
      <c r="AV922" s="1577"/>
    </row>
    <row r="923" spans="1:48" s="1498" customFormat="1" ht="16.5" customHeight="1">
      <c r="A923" s="1439"/>
      <c r="B923" s="1419"/>
      <c r="C923" s="1511"/>
      <c r="D923" s="1430"/>
      <c r="E923" s="2045"/>
      <c r="F923" s="1463"/>
      <c r="G923" s="1430"/>
      <c r="H923" s="1578"/>
      <c r="I923" s="1581"/>
      <c r="J923" s="1469"/>
      <c r="K923" s="1577"/>
      <c r="L923" s="1468"/>
      <c r="M923" s="1424"/>
      <c r="N923" s="1430"/>
      <c r="O923" s="1438"/>
      <c r="P923" s="1439"/>
      <c r="Q923" s="1578"/>
      <c r="R923" s="1419"/>
      <c r="S923" s="1430"/>
      <c r="T923" s="1574"/>
      <c r="U923" s="1578"/>
      <c r="V923" s="1439"/>
      <c r="W923" s="1509"/>
      <c r="X923" s="1510"/>
      <c r="Y923" s="1422"/>
      <c r="Z923" s="1575"/>
      <c r="AA923" s="1430"/>
      <c r="AB923" s="1438"/>
      <c r="AC923" s="1439"/>
      <c r="AD923" s="1440"/>
      <c r="AE923" s="1441"/>
      <c r="AF923" s="1880"/>
      <c r="AG923" s="1916"/>
      <c r="AH923" s="1416"/>
      <c r="AI923" s="1486"/>
      <c r="AJ923" s="2042"/>
      <c r="AK923" s="1918"/>
      <c r="AL923" s="1586"/>
      <c r="AM923" s="1409"/>
      <c r="AN923" s="1916"/>
      <c r="AO923" s="1416"/>
      <c r="AP923" s="1524"/>
      <c r="AQ923" s="1486"/>
      <c r="AR923" s="1524"/>
      <c r="AS923" s="1524"/>
      <c r="AT923" s="1916"/>
      <c r="AU923" s="2046"/>
      <c r="AV923" s="1582"/>
    </row>
    <row r="924" spans="1:48" ht="16.5" customHeight="1">
      <c r="A924" s="1269">
        <v>68</v>
      </c>
      <c r="B924" s="1033" t="s">
        <v>25</v>
      </c>
      <c r="C924" s="1036" t="s">
        <v>889</v>
      </c>
      <c r="D924" s="1035"/>
      <c r="E924" s="1366"/>
      <c r="F924" s="1559" t="s">
        <v>1660</v>
      </c>
      <c r="G924" s="1272" t="s">
        <v>25</v>
      </c>
      <c r="H924" s="1173" t="s">
        <v>1540</v>
      </c>
      <c r="I924" s="1275">
        <v>624</v>
      </c>
      <c r="J924" s="1175" t="s">
        <v>41</v>
      </c>
      <c r="K924" s="1041" t="s">
        <v>1659</v>
      </c>
      <c r="L924" s="1279"/>
      <c r="M924" s="1054"/>
      <c r="N924" s="1035" t="s">
        <v>25</v>
      </c>
      <c r="O924" s="1190" t="s">
        <v>26</v>
      </c>
      <c r="P924" s="1054"/>
      <c r="Q924" s="1048">
        <v>74.7</v>
      </c>
      <c r="R924" s="1034"/>
      <c r="S924" s="1034" t="s">
        <v>15</v>
      </c>
      <c r="T924" s="1053"/>
      <c r="U924" s="1180">
        <v>1</v>
      </c>
      <c r="V924" s="1047" t="s">
        <v>14</v>
      </c>
      <c r="W924" s="1052"/>
      <c r="X924" s="1051">
        <v>8</v>
      </c>
      <c r="Y924" s="1036"/>
      <c r="Z924" s="1203">
        <f t="shared" ref="Z924:Z932" si="81">SUM(W924:Y924)</f>
        <v>8</v>
      </c>
      <c r="AA924" s="1034"/>
      <c r="AB924" s="1050"/>
      <c r="AC924" s="1047"/>
      <c r="AD924" s="1180"/>
      <c r="AE924" s="1049"/>
      <c r="AF924" s="1333">
        <f>+Resum!F4</f>
        <v>204000</v>
      </c>
      <c r="AG924" s="1086">
        <f>AF924*I924</f>
        <v>127296000</v>
      </c>
      <c r="AH924" s="1334">
        <v>2200000</v>
      </c>
      <c r="AI924" s="1087">
        <f>AH924*Q924*0.8</f>
        <v>131472000</v>
      </c>
      <c r="AJ924" s="1335">
        <f>SUM(AI924:AI929)</f>
        <v>144487400</v>
      </c>
      <c r="AK924" s="1089">
        <v>231000</v>
      </c>
      <c r="AL924" s="1087">
        <f>AK924*X924</f>
        <v>1848000</v>
      </c>
      <c r="AM924" s="1337">
        <f>SUM(AL924:AL932)</f>
        <v>1983800</v>
      </c>
      <c r="AN924" s="1086">
        <f>AM924+AJ924+AG924</f>
        <v>273767200</v>
      </c>
      <c r="AO924" s="1334"/>
      <c r="AP924" s="1136">
        <f>(47124000+AI924)*15%</f>
        <v>26789400</v>
      </c>
      <c r="AQ924" s="1087">
        <f>(AG924+AI924)*1%</f>
        <v>2587680</v>
      </c>
      <c r="AR924" s="1136">
        <f>(AG924+AI924)*5%</f>
        <v>12938400</v>
      </c>
      <c r="AS924" s="1087">
        <f>0.5%*(AG924+AI924)*(3)</f>
        <v>3881520</v>
      </c>
      <c r="AT924" s="1086">
        <f>+AS924+AR924+AQ924+AP924+AO924</f>
        <v>46197000</v>
      </c>
      <c r="AU924" s="1137">
        <f>ROUND(AT924+AN924,-3)</f>
        <v>319964000</v>
      </c>
      <c r="AV924" s="1365"/>
    </row>
    <row r="925" spans="1:48" ht="16.5" customHeight="1">
      <c r="A925" s="1082"/>
      <c r="B925" s="1038" t="s">
        <v>16</v>
      </c>
      <c r="C925" s="1071" t="s">
        <v>1658</v>
      </c>
      <c r="D925" s="1038"/>
      <c r="E925" s="1244"/>
      <c r="F925" s="1560"/>
      <c r="G925" s="1038" t="s">
        <v>16</v>
      </c>
      <c r="H925" s="1074" t="s">
        <v>22</v>
      </c>
      <c r="I925" s="1127"/>
      <c r="J925" s="1128"/>
      <c r="K925" s="1067"/>
      <c r="L925" s="1235"/>
      <c r="M925" s="1081"/>
      <c r="N925" s="1038" t="s">
        <v>16</v>
      </c>
      <c r="O925" s="1293" t="s">
        <v>21</v>
      </c>
      <c r="P925" s="1081"/>
      <c r="Q925" s="1075">
        <v>1.5</v>
      </c>
      <c r="R925" s="1074"/>
      <c r="S925" s="1074"/>
      <c r="T925" s="1080"/>
      <c r="U925" s="1091">
        <v>2</v>
      </c>
      <c r="V925" s="1073" t="s">
        <v>3</v>
      </c>
      <c r="W925" s="1079"/>
      <c r="X925" s="1078">
        <v>1</v>
      </c>
      <c r="Y925" s="1039"/>
      <c r="Z925" s="1134">
        <f t="shared" si="81"/>
        <v>1</v>
      </c>
      <c r="AA925" s="1074"/>
      <c r="AB925" s="1077"/>
      <c r="AC925" s="1073"/>
      <c r="AD925" s="1091"/>
      <c r="AE925" s="1076"/>
      <c r="AF925" s="1296"/>
      <c r="AG925" s="1297"/>
      <c r="AH925" s="1298">
        <v>350000</v>
      </c>
      <c r="AI925" s="1087">
        <f>AH925*Q925*0.7</f>
        <v>367500</v>
      </c>
      <c r="AJ925" s="1299"/>
      <c r="AK925" s="1300">
        <v>40000</v>
      </c>
      <c r="AL925" s="1090">
        <f t="shared" si="78"/>
        <v>0</v>
      </c>
      <c r="AM925" s="1297"/>
      <c r="AN925" s="1297"/>
      <c r="AO925" s="1298"/>
      <c r="AP925" s="1301"/>
      <c r="AQ925" s="1298"/>
      <c r="AR925" s="1301"/>
      <c r="AS925" s="1301"/>
      <c r="AT925" s="1297"/>
      <c r="AU925" s="1299"/>
      <c r="AV925" s="1302"/>
    </row>
    <row r="926" spans="1:48" ht="16.5" customHeight="1">
      <c r="A926" s="1082"/>
      <c r="B926" s="1038" t="s">
        <v>18</v>
      </c>
      <c r="C926" s="1039" t="s">
        <v>124</v>
      </c>
      <c r="D926" s="1038"/>
      <c r="E926" s="1244"/>
      <c r="F926" s="1560"/>
      <c r="G926" s="1038" t="s">
        <v>18</v>
      </c>
      <c r="H926" s="1074" t="s">
        <v>19</v>
      </c>
      <c r="I926" s="1127"/>
      <c r="J926" s="1128"/>
      <c r="K926" s="1067"/>
      <c r="L926" s="1235"/>
      <c r="M926" s="1081"/>
      <c r="N926" s="1038" t="s">
        <v>18</v>
      </c>
      <c r="O926" s="1191" t="s">
        <v>59</v>
      </c>
      <c r="P926" s="1081"/>
      <c r="Q926" s="1561">
        <v>38.5</v>
      </c>
      <c r="R926" s="1074"/>
      <c r="S926" s="1074"/>
      <c r="T926" s="1080"/>
      <c r="U926" s="1091">
        <v>3</v>
      </c>
      <c r="V926" s="1073" t="s">
        <v>139</v>
      </c>
      <c r="W926" s="1079">
        <v>1</v>
      </c>
      <c r="X926" s="1078"/>
      <c r="Y926" s="1039"/>
      <c r="Z926" s="1134">
        <f t="shared" si="81"/>
        <v>1</v>
      </c>
      <c r="AA926" s="1074"/>
      <c r="AB926" s="1077"/>
      <c r="AC926" s="1073"/>
      <c r="AD926" s="1091"/>
      <c r="AE926" s="1076"/>
      <c r="AF926" s="1296"/>
      <c r="AG926" s="1297"/>
      <c r="AH926" s="1087">
        <v>180000</v>
      </c>
      <c r="AI926" s="1087">
        <f>AH926*Q926*0.5</f>
        <v>3465000</v>
      </c>
      <c r="AJ926" s="1299"/>
      <c r="AK926" s="1300">
        <v>75000</v>
      </c>
      <c r="AL926" s="1090">
        <f t="shared" si="78"/>
        <v>75000</v>
      </c>
      <c r="AM926" s="1297"/>
      <c r="AN926" s="1297"/>
      <c r="AO926" s="1298"/>
      <c r="AP926" s="1301"/>
      <c r="AQ926" s="1298"/>
      <c r="AR926" s="1301"/>
      <c r="AS926" s="1301"/>
      <c r="AT926" s="1297"/>
      <c r="AU926" s="1299"/>
      <c r="AV926" s="1302"/>
    </row>
    <row r="927" spans="1:48" ht="16.5" customHeight="1">
      <c r="A927" s="1082"/>
      <c r="B927" s="1038"/>
      <c r="C927" s="1039"/>
      <c r="D927" s="1038"/>
      <c r="E927" s="1244"/>
      <c r="F927" s="1560"/>
      <c r="G927" s="1038"/>
      <c r="H927" s="1074"/>
      <c r="I927" s="1127"/>
      <c r="J927" s="1128"/>
      <c r="K927" s="1067"/>
      <c r="L927" s="1235"/>
      <c r="M927" s="1081"/>
      <c r="N927" s="1038" t="s">
        <v>12</v>
      </c>
      <c r="O927" s="1191" t="s">
        <v>17</v>
      </c>
      <c r="P927" s="1081">
        <v>1</v>
      </c>
      <c r="Q927" s="1561"/>
      <c r="R927" s="1074"/>
      <c r="S927" s="1074"/>
      <c r="T927" s="1080"/>
      <c r="U927" s="1091"/>
      <c r="V927" s="1073" t="s">
        <v>139</v>
      </c>
      <c r="W927" s="1079"/>
      <c r="X927" s="1078">
        <v>4</v>
      </c>
      <c r="Y927" s="1039"/>
      <c r="Z927" s="1134"/>
      <c r="AA927" s="1074"/>
      <c r="AB927" s="1077"/>
      <c r="AC927" s="1073"/>
      <c r="AD927" s="1091"/>
      <c r="AE927" s="1076"/>
      <c r="AF927" s="1296"/>
      <c r="AG927" s="1297"/>
      <c r="AH927" s="1298">
        <v>2500000</v>
      </c>
      <c r="AI927" s="1087">
        <f>AH927*P927*0.5</f>
        <v>1250000</v>
      </c>
      <c r="AJ927" s="1299"/>
      <c r="AK927" s="1300">
        <v>49500</v>
      </c>
      <c r="AL927" s="1090"/>
      <c r="AM927" s="1297"/>
      <c r="AN927" s="1297"/>
      <c r="AO927" s="1298"/>
      <c r="AP927" s="1301"/>
      <c r="AQ927" s="1298"/>
      <c r="AR927" s="1301"/>
      <c r="AS927" s="1301"/>
      <c r="AT927" s="1297"/>
      <c r="AU927" s="1299"/>
      <c r="AV927" s="1302"/>
    </row>
    <row r="928" spans="1:48" ht="49.5" customHeight="1">
      <c r="A928" s="1082"/>
      <c r="B928" s="1082" t="s">
        <v>12</v>
      </c>
      <c r="C928" s="1083" t="s">
        <v>13</v>
      </c>
      <c r="D928" s="1038"/>
      <c r="E928" s="1244"/>
      <c r="F928" s="1560"/>
      <c r="G928" s="1038"/>
      <c r="H928" s="1077"/>
      <c r="I928" s="1127"/>
      <c r="J928" s="1128"/>
      <c r="K928" s="1067"/>
      <c r="L928" s="1235"/>
      <c r="M928" s="1081"/>
      <c r="N928" s="1038" t="s">
        <v>8</v>
      </c>
      <c r="O928" s="1191" t="s">
        <v>11</v>
      </c>
      <c r="P928" s="1081">
        <v>1</v>
      </c>
      <c r="Q928" s="1561"/>
      <c r="R928" s="1074"/>
      <c r="S928" s="1074"/>
      <c r="T928" s="1080"/>
      <c r="U928" s="1091">
        <v>4</v>
      </c>
      <c r="V928" s="1073" t="s">
        <v>419</v>
      </c>
      <c r="W928" s="1079"/>
      <c r="X928" s="1078"/>
      <c r="Y928" s="1039"/>
      <c r="Z928" s="1134">
        <f t="shared" si="81"/>
        <v>0</v>
      </c>
      <c r="AA928" s="1074"/>
      <c r="AB928" s="1077"/>
      <c r="AC928" s="1073"/>
      <c r="AD928" s="1091"/>
      <c r="AE928" s="1076"/>
      <c r="AF928" s="1296"/>
      <c r="AG928" s="1297"/>
      <c r="AH928" s="1298">
        <v>2500000</v>
      </c>
      <c r="AI928" s="1087">
        <f t="shared" ref="AI928" si="82">AH928*P928*0.75</f>
        <v>1875000</v>
      </c>
      <c r="AJ928" s="1299"/>
      <c r="AK928" s="1300">
        <v>5000</v>
      </c>
      <c r="AL928" s="1090">
        <f t="shared" si="78"/>
        <v>0</v>
      </c>
      <c r="AM928" s="1297"/>
      <c r="AN928" s="1297"/>
      <c r="AO928" s="1298"/>
      <c r="AP928" s="1301"/>
      <c r="AQ928" s="1298"/>
      <c r="AR928" s="1301"/>
      <c r="AS928" s="1301"/>
      <c r="AT928" s="1297"/>
      <c r="AU928" s="1299"/>
      <c r="AV928" s="1302"/>
    </row>
    <row r="929" spans="1:48" ht="16.5" customHeight="1">
      <c r="A929" s="1082"/>
      <c r="B929" s="1082" t="s">
        <v>8</v>
      </c>
      <c r="C929" s="1083" t="s">
        <v>1657</v>
      </c>
      <c r="D929" s="1038"/>
      <c r="E929" s="1244"/>
      <c r="F929" s="1560"/>
      <c r="G929" s="1038"/>
      <c r="H929" s="1077"/>
      <c r="I929" s="1127"/>
      <c r="J929" s="1128"/>
      <c r="K929" s="1067"/>
      <c r="L929" s="1235"/>
      <c r="M929" s="1081"/>
      <c r="N929" s="1038" t="s">
        <v>54</v>
      </c>
      <c r="O929" s="1293" t="s">
        <v>59</v>
      </c>
      <c r="P929" s="1081"/>
      <c r="Q929" s="1561">
        <v>67.31</v>
      </c>
      <c r="R929" s="1074"/>
      <c r="S929" s="1074"/>
      <c r="T929" s="1080"/>
      <c r="U929" s="1091">
        <v>5</v>
      </c>
      <c r="V929" s="1073" t="s">
        <v>217</v>
      </c>
      <c r="W929" s="1079">
        <v>3</v>
      </c>
      <c r="X929" s="1078"/>
      <c r="Y929" s="1039"/>
      <c r="Z929" s="1134">
        <f t="shared" si="81"/>
        <v>3</v>
      </c>
      <c r="AA929" s="1074"/>
      <c r="AB929" s="1077"/>
      <c r="AC929" s="1073"/>
      <c r="AD929" s="1091"/>
      <c r="AE929" s="1076"/>
      <c r="AF929" s="1296"/>
      <c r="AG929" s="1297"/>
      <c r="AH929" s="1087">
        <v>180000</v>
      </c>
      <c r="AI929" s="1087">
        <f>AH929*Q929*0.5</f>
        <v>6057900</v>
      </c>
      <c r="AJ929" s="1299"/>
      <c r="AK929" s="1089">
        <v>900</v>
      </c>
      <c r="AL929" s="1090">
        <f t="shared" si="78"/>
        <v>2700</v>
      </c>
      <c r="AM929" s="1297"/>
      <c r="AN929" s="1297"/>
      <c r="AO929" s="1298"/>
      <c r="AP929" s="1301"/>
      <c r="AQ929" s="1298"/>
      <c r="AR929" s="1301"/>
      <c r="AS929" s="1301"/>
      <c r="AT929" s="1297"/>
      <c r="AU929" s="1299"/>
      <c r="AV929" s="1302"/>
    </row>
    <row r="930" spans="1:48" ht="16.5" customHeight="1">
      <c r="A930" s="1082"/>
      <c r="B930" s="1082"/>
      <c r="C930" s="1083"/>
      <c r="D930" s="1038"/>
      <c r="E930" s="1244"/>
      <c r="F930" s="1560"/>
      <c r="G930" s="1038"/>
      <c r="H930" s="1077"/>
      <c r="I930" s="1127"/>
      <c r="J930" s="1128"/>
      <c r="K930" s="1067"/>
      <c r="L930" s="1235"/>
      <c r="M930" s="1081"/>
      <c r="N930" s="1038"/>
      <c r="O930" s="1246"/>
      <c r="P930" s="1077"/>
      <c r="Q930" s="1562"/>
      <c r="R930" s="1074"/>
      <c r="S930" s="1074"/>
      <c r="T930" s="1080"/>
      <c r="U930" s="1091">
        <v>6</v>
      </c>
      <c r="V930" s="1073" t="s">
        <v>846</v>
      </c>
      <c r="W930" s="1079">
        <v>5</v>
      </c>
      <c r="X930" s="1078"/>
      <c r="Y930" s="1039"/>
      <c r="Z930" s="1134">
        <f t="shared" si="81"/>
        <v>5</v>
      </c>
      <c r="AA930" s="1074"/>
      <c r="AB930" s="1077"/>
      <c r="AC930" s="1073"/>
      <c r="AD930" s="1091"/>
      <c r="AE930" s="1076"/>
      <c r="AF930" s="1296"/>
      <c r="AG930" s="1297"/>
      <c r="AH930" s="1298"/>
      <c r="AI930" s="1298"/>
      <c r="AJ930" s="1299"/>
      <c r="AK930" s="1300">
        <v>7000</v>
      </c>
      <c r="AL930" s="1090">
        <f t="shared" si="78"/>
        <v>35000</v>
      </c>
      <c r="AM930" s="1297"/>
      <c r="AN930" s="1297"/>
      <c r="AO930" s="1298"/>
      <c r="AP930" s="1301"/>
      <c r="AQ930" s="1298"/>
      <c r="AR930" s="1301"/>
      <c r="AS930" s="1301"/>
      <c r="AT930" s="1297"/>
      <c r="AU930" s="1299"/>
      <c r="AV930" s="1302"/>
    </row>
    <row r="931" spans="1:48" ht="16.5" customHeight="1">
      <c r="A931" s="1082"/>
      <c r="B931" s="1082"/>
      <c r="C931" s="1083"/>
      <c r="D931" s="1038"/>
      <c r="E931" s="1244"/>
      <c r="F931" s="1560"/>
      <c r="G931" s="1038"/>
      <c r="H931" s="1077"/>
      <c r="I931" s="1127"/>
      <c r="J931" s="1128"/>
      <c r="K931" s="1067"/>
      <c r="L931" s="1235"/>
      <c r="M931" s="1081"/>
      <c r="N931" s="1038"/>
      <c r="O931" s="1246"/>
      <c r="P931" s="1077"/>
      <c r="Q931" s="1562"/>
      <c r="R931" s="1074"/>
      <c r="S931" s="1074"/>
      <c r="T931" s="1080"/>
      <c r="U931" s="1091">
        <v>7</v>
      </c>
      <c r="V931" s="1073" t="s">
        <v>83</v>
      </c>
      <c r="W931" s="1079">
        <v>1</v>
      </c>
      <c r="X931" s="1078"/>
      <c r="Y931" s="1039"/>
      <c r="Z931" s="1134">
        <f t="shared" si="81"/>
        <v>1</v>
      </c>
      <c r="AA931" s="1074"/>
      <c r="AB931" s="1077"/>
      <c r="AC931" s="1073"/>
      <c r="AD931" s="1091"/>
      <c r="AE931" s="1076"/>
      <c r="AF931" s="1296"/>
      <c r="AG931" s="1297"/>
      <c r="AH931" s="1298"/>
      <c r="AI931" s="1298"/>
      <c r="AJ931" s="1299"/>
      <c r="AK931" s="1300">
        <v>3000</v>
      </c>
      <c r="AL931" s="1090">
        <f t="shared" si="78"/>
        <v>3000</v>
      </c>
      <c r="AM931" s="1297"/>
      <c r="AN931" s="1297"/>
      <c r="AO931" s="1298"/>
      <c r="AP931" s="1301"/>
      <c r="AQ931" s="1298"/>
      <c r="AR931" s="1301"/>
      <c r="AS931" s="1301"/>
      <c r="AT931" s="1297"/>
      <c r="AU931" s="1299"/>
      <c r="AV931" s="1302"/>
    </row>
    <row r="932" spans="1:48" ht="16.5" customHeight="1">
      <c r="A932" s="1082"/>
      <c r="B932" s="1082"/>
      <c r="C932" s="1083"/>
      <c r="D932" s="1038"/>
      <c r="E932" s="1244"/>
      <c r="F932" s="1560"/>
      <c r="G932" s="1038"/>
      <c r="H932" s="1077"/>
      <c r="I932" s="1127"/>
      <c r="J932" s="1128"/>
      <c r="K932" s="1067"/>
      <c r="L932" s="1235"/>
      <c r="M932" s="1081"/>
      <c r="N932" s="1038"/>
      <c r="O932" s="1083"/>
      <c r="P932" s="1077"/>
      <c r="Q932" s="1562"/>
      <c r="R932" s="1074"/>
      <c r="S932" s="1074"/>
      <c r="T932" s="1080"/>
      <c r="U932" s="1091">
        <v>8</v>
      </c>
      <c r="V932" s="1073" t="s">
        <v>144</v>
      </c>
      <c r="W932" s="1079">
        <v>1</v>
      </c>
      <c r="X932" s="1078"/>
      <c r="Y932" s="1039"/>
      <c r="Z932" s="1134">
        <f t="shared" si="81"/>
        <v>1</v>
      </c>
      <c r="AA932" s="1074"/>
      <c r="AB932" s="1077"/>
      <c r="AC932" s="1073"/>
      <c r="AD932" s="1091"/>
      <c r="AE932" s="1076"/>
      <c r="AF932" s="1296"/>
      <c r="AG932" s="1297"/>
      <c r="AH932" s="1298"/>
      <c r="AI932" s="1298"/>
      <c r="AJ932" s="1299"/>
      <c r="AK932" s="1300">
        <v>20100</v>
      </c>
      <c r="AL932" s="1090">
        <f t="shared" si="78"/>
        <v>20100</v>
      </c>
      <c r="AM932" s="1297"/>
      <c r="AN932" s="1297"/>
      <c r="AO932" s="1298"/>
      <c r="AP932" s="1301"/>
      <c r="AQ932" s="1298"/>
      <c r="AR932" s="1301"/>
      <c r="AS932" s="1301"/>
      <c r="AT932" s="1297"/>
      <c r="AU932" s="1299"/>
      <c r="AV932" s="1302"/>
    </row>
    <row r="933" spans="1:48" ht="16.5" customHeight="1">
      <c r="A933" s="1098"/>
      <c r="B933" s="1095"/>
      <c r="C933" s="1148"/>
      <c r="D933" s="1095"/>
      <c r="E933" s="1186"/>
      <c r="F933" s="1563"/>
      <c r="G933" s="1095"/>
      <c r="H933" s="1151"/>
      <c r="I933" s="1152"/>
      <c r="J933" s="1153"/>
      <c r="K933" s="1101"/>
      <c r="L933" s="1287"/>
      <c r="M933" s="1113"/>
      <c r="N933" s="1095"/>
      <c r="O933" s="1105"/>
      <c r="P933" s="1151"/>
      <c r="Q933" s="1107"/>
      <c r="R933" s="1094"/>
      <c r="S933" s="1094"/>
      <c r="T933" s="1112"/>
      <c r="U933" s="1151"/>
      <c r="V933" s="1107"/>
      <c r="W933" s="1111"/>
      <c r="X933" s="1110"/>
      <c r="Y933" s="1096"/>
      <c r="Z933" s="1286"/>
      <c r="AA933" s="1094"/>
      <c r="AB933" s="1151"/>
      <c r="AC933" s="1107"/>
      <c r="AD933" s="1109"/>
      <c r="AE933" s="1108"/>
      <c r="AF933" s="1305"/>
      <c r="AG933" s="1306"/>
      <c r="AH933" s="1307"/>
      <c r="AI933" s="1307"/>
      <c r="AJ933" s="1308"/>
      <c r="AK933" s="1309"/>
      <c r="AL933" s="1120"/>
      <c r="AM933" s="1306"/>
      <c r="AN933" s="1306"/>
      <c r="AO933" s="1307"/>
      <c r="AP933" s="1310"/>
      <c r="AQ933" s="1307"/>
      <c r="AR933" s="1310"/>
      <c r="AS933" s="1310"/>
      <c r="AT933" s="1306"/>
      <c r="AU933" s="1308"/>
      <c r="AV933" s="1311"/>
    </row>
    <row r="934" spans="1:48" ht="16.5" customHeight="1">
      <c r="A934" s="1269">
        <v>69</v>
      </c>
      <c r="B934" s="1033" t="s">
        <v>25</v>
      </c>
      <c r="C934" s="1036" t="s">
        <v>1656</v>
      </c>
      <c r="D934" s="1033"/>
      <c r="E934" s="1036"/>
      <c r="F934" s="1559" t="s">
        <v>1655</v>
      </c>
      <c r="G934" s="1272" t="s">
        <v>25</v>
      </c>
      <c r="H934" s="1173" t="s">
        <v>1654</v>
      </c>
      <c r="I934" s="1275">
        <v>329.43400000000003</v>
      </c>
      <c r="J934" s="1175" t="s">
        <v>41</v>
      </c>
      <c r="K934" s="1041" t="s">
        <v>1653</v>
      </c>
      <c r="L934" s="1279"/>
      <c r="M934" s="1054"/>
      <c r="N934" s="1035" t="s">
        <v>25</v>
      </c>
      <c r="O934" s="1190" t="s">
        <v>26</v>
      </c>
      <c r="P934" s="1054"/>
      <c r="Q934" s="1048">
        <v>156</v>
      </c>
      <c r="R934" s="1034"/>
      <c r="S934" s="1034"/>
      <c r="T934" s="1053"/>
      <c r="U934" s="1180">
        <v>1</v>
      </c>
      <c r="V934" s="1047" t="s">
        <v>328</v>
      </c>
      <c r="W934" s="1052">
        <v>5</v>
      </c>
      <c r="X934" s="1051"/>
      <c r="Y934" s="1036"/>
      <c r="Z934" s="1203">
        <f t="shared" ref="Z934:Z955" si="83">SUM(W934:Y934)</f>
        <v>5</v>
      </c>
      <c r="AA934" s="1034"/>
      <c r="AB934" s="1050"/>
      <c r="AC934" s="1047"/>
      <c r="AD934" s="1180"/>
      <c r="AE934" s="1049"/>
      <c r="AF934" s="1333">
        <f>Resum!F1</f>
        <v>356000</v>
      </c>
      <c r="AG934" s="1086">
        <f>AF934*I934</f>
        <v>117278504.00000001</v>
      </c>
      <c r="AH934" s="1334">
        <v>2530000</v>
      </c>
      <c r="AI934" s="1087">
        <f>AH934*Q934*0.8</f>
        <v>315744000</v>
      </c>
      <c r="AJ934" s="1335">
        <f>SUM(AI934:AI939)</f>
        <v>379414000</v>
      </c>
      <c r="AK934" s="1336">
        <v>15000</v>
      </c>
      <c r="AL934" s="1090">
        <f t="shared" si="78"/>
        <v>75000</v>
      </c>
      <c r="AM934" s="1337">
        <f>SUM(AL934:AL957)</f>
        <v>3791520</v>
      </c>
      <c r="AN934" s="1086">
        <f>AM934+AJ934+AG934</f>
        <v>500484024</v>
      </c>
      <c r="AO934" s="1334"/>
      <c r="AP934" s="1136">
        <f>(AG934+AJ934)*15%</f>
        <v>74503875.599999994</v>
      </c>
      <c r="AQ934" s="1087">
        <f>(AG934+AJ934)*0.5%</f>
        <v>2483462.52</v>
      </c>
      <c r="AR934" s="1136">
        <f>(AG934+AJ934)*5%</f>
        <v>24834625.200000003</v>
      </c>
      <c r="AS934" s="1087">
        <f>0.5%*(AG934+AI934)*(3)</f>
        <v>6495337.5600000005</v>
      </c>
      <c r="AT934" s="1086">
        <f>+AS934+AR934+AQ934+AP934+AO934</f>
        <v>108317300.88</v>
      </c>
      <c r="AU934" s="1137">
        <f>ROUND(AT934+AN934,-3)</f>
        <v>608801000</v>
      </c>
      <c r="AV934" s="1365"/>
    </row>
    <row r="935" spans="1:48" ht="33" customHeight="1">
      <c r="A935" s="1082"/>
      <c r="B935" s="1038" t="s">
        <v>16</v>
      </c>
      <c r="C935" s="1071" t="s">
        <v>1652</v>
      </c>
      <c r="D935" s="1038"/>
      <c r="E935" s="1071"/>
      <c r="F935" s="1560"/>
      <c r="G935" s="1038" t="s">
        <v>16</v>
      </c>
      <c r="H935" s="1074" t="s">
        <v>22</v>
      </c>
      <c r="I935" s="1127"/>
      <c r="J935" s="1128"/>
      <c r="K935" s="1067"/>
      <c r="L935" s="1235"/>
      <c r="M935" s="1081"/>
      <c r="N935" s="1038" t="s">
        <v>16</v>
      </c>
      <c r="O935" s="1293" t="s">
        <v>62</v>
      </c>
      <c r="P935" s="1081"/>
      <c r="Q935" s="1075">
        <v>60</v>
      </c>
      <c r="R935" s="1074"/>
      <c r="S935" s="1074"/>
      <c r="T935" s="1080"/>
      <c r="U935" s="1091">
        <v>2</v>
      </c>
      <c r="V935" s="1073" t="s">
        <v>1651</v>
      </c>
      <c r="W935" s="1079">
        <v>2</v>
      </c>
      <c r="X935" s="1078"/>
      <c r="Y935" s="1039"/>
      <c r="Z935" s="1134">
        <f t="shared" si="83"/>
        <v>2</v>
      </c>
      <c r="AA935" s="1074"/>
      <c r="AB935" s="1077"/>
      <c r="AC935" s="1073"/>
      <c r="AD935" s="1091"/>
      <c r="AE935" s="1076"/>
      <c r="AF935" s="1296"/>
      <c r="AG935" s="1297"/>
      <c r="AH935" s="1298">
        <v>1200000</v>
      </c>
      <c r="AI935" s="1087">
        <f t="shared" ref="AI935:AI939" si="84">AH935*Q935*0.5</f>
        <v>36000000</v>
      </c>
      <c r="AJ935" s="1299"/>
      <c r="AK935" s="1300">
        <v>30000</v>
      </c>
      <c r="AL935" s="1090">
        <f t="shared" si="78"/>
        <v>60000</v>
      </c>
      <c r="AM935" s="1297"/>
      <c r="AN935" s="1297"/>
      <c r="AO935" s="1298"/>
      <c r="AP935" s="1301"/>
      <c r="AQ935" s="1298"/>
      <c r="AR935" s="1301"/>
      <c r="AS935" s="1301"/>
      <c r="AT935" s="1297"/>
      <c r="AU935" s="1299"/>
      <c r="AV935" s="1302"/>
    </row>
    <row r="936" spans="1:48" ht="16.5" customHeight="1">
      <c r="A936" s="1082"/>
      <c r="B936" s="1038" t="s">
        <v>18</v>
      </c>
      <c r="C936" s="1039" t="s">
        <v>38</v>
      </c>
      <c r="D936" s="1038"/>
      <c r="E936" s="1039"/>
      <c r="F936" s="1560"/>
      <c r="G936" s="1038" t="s">
        <v>18</v>
      </c>
      <c r="H936" s="1074" t="s">
        <v>19</v>
      </c>
      <c r="I936" s="1127"/>
      <c r="J936" s="1128"/>
      <c r="K936" s="1067"/>
      <c r="L936" s="1235"/>
      <c r="M936" s="1081"/>
      <c r="N936" s="1038" t="s">
        <v>18</v>
      </c>
      <c r="O936" s="1191" t="s">
        <v>21</v>
      </c>
      <c r="P936" s="1081"/>
      <c r="Q936" s="1075">
        <v>24</v>
      </c>
      <c r="R936" s="1074"/>
      <c r="S936" s="1074"/>
      <c r="T936" s="1080"/>
      <c r="U936" s="1091">
        <v>3</v>
      </c>
      <c r="V936" s="1073" t="s">
        <v>848</v>
      </c>
      <c r="W936" s="1079">
        <v>3</v>
      </c>
      <c r="X936" s="1078"/>
      <c r="Y936" s="1039"/>
      <c r="Z936" s="1134">
        <f t="shared" si="83"/>
        <v>3</v>
      </c>
      <c r="AA936" s="1074"/>
      <c r="AB936" s="1077"/>
      <c r="AC936" s="1073"/>
      <c r="AD936" s="1091"/>
      <c r="AE936" s="1076"/>
      <c r="AF936" s="1296"/>
      <c r="AG936" s="1297"/>
      <c r="AH936" s="1298">
        <v>350000</v>
      </c>
      <c r="AI936" s="1087">
        <f>AH936*Q936*0.8</f>
        <v>6720000</v>
      </c>
      <c r="AJ936" s="1299"/>
      <c r="AK936" s="1300">
        <v>25000</v>
      </c>
      <c r="AL936" s="1090">
        <f t="shared" si="78"/>
        <v>75000</v>
      </c>
      <c r="AM936" s="1297"/>
      <c r="AN936" s="1297"/>
      <c r="AO936" s="1298"/>
      <c r="AP936" s="1301"/>
      <c r="AQ936" s="1298"/>
      <c r="AR936" s="1301"/>
      <c r="AS936" s="1301"/>
      <c r="AT936" s="1297"/>
      <c r="AU936" s="1299"/>
      <c r="AV936" s="1302"/>
    </row>
    <row r="937" spans="1:48" ht="49.5" customHeight="1">
      <c r="A937" s="1082"/>
      <c r="B937" s="1082" t="s">
        <v>12</v>
      </c>
      <c r="C937" s="1083" t="s">
        <v>210</v>
      </c>
      <c r="D937" s="1082"/>
      <c r="E937" s="1083"/>
      <c r="F937" s="1560"/>
      <c r="G937" s="1038"/>
      <c r="H937" s="1077"/>
      <c r="I937" s="1127"/>
      <c r="J937" s="1128"/>
      <c r="K937" s="1067"/>
      <c r="L937" s="1235"/>
      <c r="M937" s="1081"/>
      <c r="N937" s="1038" t="s">
        <v>12</v>
      </c>
      <c r="O937" s="1191" t="s">
        <v>17</v>
      </c>
      <c r="P937" s="1081">
        <v>2</v>
      </c>
      <c r="Q937" s="1075"/>
      <c r="R937" s="1074"/>
      <c r="S937" s="1074"/>
      <c r="T937" s="1080"/>
      <c r="U937" s="1091">
        <v>4</v>
      </c>
      <c r="V937" s="1073" t="s">
        <v>1239</v>
      </c>
      <c r="W937" s="1079">
        <v>47</v>
      </c>
      <c r="X937" s="1078"/>
      <c r="Y937" s="1039"/>
      <c r="Z937" s="1134">
        <f t="shared" si="83"/>
        <v>47</v>
      </c>
      <c r="AA937" s="1074"/>
      <c r="AB937" s="1077"/>
      <c r="AC937" s="1073"/>
      <c r="AD937" s="1091"/>
      <c r="AE937" s="1076"/>
      <c r="AF937" s="1296"/>
      <c r="AG937" s="1297"/>
      <c r="AH937" s="1298">
        <v>2500000</v>
      </c>
      <c r="AI937" s="1087">
        <f>AH937*P937*0.75</f>
        <v>3750000</v>
      </c>
      <c r="AJ937" s="1299"/>
      <c r="AK937" s="1300">
        <v>10000</v>
      </c>
      <c r="AL937" s="1090">
        <f t="shared" si="78"/>
        <v>470000</v>
      </c>
      <c r="AM937" s="1297"/>
      <c r="AN937" s="1297"/>
      <c r="AO937" s="1298"/>
      <c r="AP937" s="1301"/>
      <c r="AQ937" s="1298"/>
      <c r="AR937" s="1301"/>
      <c r="AS937" s="1301"/>
      <c r="AT937" s="1297"/>
      <c r="AU937" s="1299"/>
      <c r="AV937" s="1302"/>
    </row>
    <row r="938" spans="1:48" ht="16.5" customHeight="1">
      <c r="A938" s="1082"/>
      <c r="B938" s="1082" t="s">
        <v>8</v>
      </c>
      <c r="C938" s="1083" t="s">
        <v>1650</v>
      </c>
      <c r="D938" s="1082"/>
      <c r="E938" s="1083"/>
      <c r="F938" s="1560"/>
      <c r="G938" s="1038"/>
      <c r="H938" s="1077"/>
      <c r="I938" s="1127"/>
      <c r="J938" s="1128"/>
      <c r="K938" s="1067"/>
      <c r="L938" s="1235"/>
      <c r="M938" s="1081"/>
      <c r="N938" s="1038" t="s">
        <v>8</v>
      </c>
      <c r="O938" s="1293" t="s">
        <v>11</v>
      </c>
      <c r="P938" s="1081">
        <v>2</v>
      </c>
      <c r="Q938" s="1075"/>
      <c r="R938" s="1074"/>
      <c r="S938" s="1074"/>
      <c r="T938" s="1080"/>
      <c r="U938" s="1091">
        <v>5</v>
      </c>
      <c r="V938" s="1073" t="s">
        <v>1649</v>
      </c>
      <c r="W938" s="1079">
        <v>3</v>
      </c>
      <c r="X938" s="1078"/>
      <c r="Y938" s="1039"/>
      <c r="Z938" s="1134">
        <f t="shared" si="83"/>
        <v>3</v>
      </c>
      <c r="AA938" s="1074"/>
      <c r="AB938" s="1077"/>
      <c r="AC938" s="1073"/>
      <c r="AD938" s="1091"/>
      <c r="AE938" s="1076"/>
      <c r="AF938" s="1296"/>
      <c r="AG938" s="1297"/>
      <c r="AH938" s="1298">
        <v>2500000</v>
      </c>
      <c r="AI938" s="1087">
        <f>AH938*P938*0.5</f>
        <v>2500000</v>
      </c>
      <c r="AJ938" s="1299"/>
      <c r="AK938" s="1300">
        <v>38400</v>
      </c>
      <c r="AL938" s="1090">
        <f t="shared" si="78"/>
        <v>115200</v>
      </c>
      <c r="AM938" s="1297"/>
      <c r="AN938" s="1297"/>
      <c r="AO938" s="1298"/>
      <c r="AP938" s="1301"/>
      <c r="AQ938" s="1298"/>
      <c r="AR938" s="1301"/>
      <c r="AS938" s="1301"/>
      <c r="AT938" s="1297"/>
      <c r="AU938" s="1299"/>
      <c r="AV938" s="1302"/>
    </row>
    <row r="939" spans="1:48" ht="16.5" customHeight="1">
      <c r="A939" s="1082"/>
      <c r="B939" s="1082"/>
      <c r="C939" s="1083"/>
      <c r="D939" s="1082"/>
      <c r="E939" s="1083"/>
      <c r="F939" s="1560"/>
      <c r="G939" s="1038"/>
      <c r="H939" s="1077"/>
      <c r="I939" s="1127"/>
      <c r="J939" s="1128"/>
      <c r="K939" s="1067"/>
      <c r="L939" s="1235"/>
      <c r="M939" s="1081"/>
      <c r="N939" s="1038" t="s">
        <v>54</v>
      </c>
      <c r="O939" s="1293" t="s">
        <v>7</v>
      </c>
      <c r="P939" s="1081"/>
      <c r="Q939" s="1075">
        <v>98</v>
      </c>
      <c r="R939" s="1074"/>
      <c r="S939" s="1074"/>
      <c r="T939" s="1080"/>
      <c r="U939" s="1091">
        <v>6</v>
      </c>
      <c r="V939" s="1073" t="s">
        <v>1136</v>
      </c>
      <c r="W939" s="1079">
        <v>3</v>
      </c>
      <c r="X939" s="1078"/>
      <c r="Y939" s="1039"/>
      <c r="Z939" s="1134">
        <f t="shared" si="83"/>
        <v>3</v>
      </c>
      <c r="AA939" s="1074"/>
      <c r="AB939" s="1077"/>
      <c r="AC939" s="1073"/>
      <c r="AD939" s="1091"/>
      <c r="AE939" s="1076"/>
      <c r="AF939" s="1296"/>
      <c r="AG939" s="1297"/>
      <c r="AH939" s="1298">
        <v>300000</v>
      </c>
      <c r="AI939" s="1087">
        <f t="shared" si="84"/>
        <v>14700000</v>
      </c>
      <c r="AJ939" s="1299"/>
      <c r="AK939" s="1300">
        <v>10000</v>
      </c>
      <c r="AL939" s="1090">
        <f t="shared" si="78"/>
        <v>30000</v>
      </c>
      <c r="AM939" s="1297"/>
      <c r="AN939" s="1297"/>
      <c r="AO939" s="1298"/>
      <c r="AP939" s="1301"/>
      <c r="AQ939" s="1298"/>
      <c r="AR939" s="1301"/>
      <c r="AS939" s="1301"/>
      <c r="AT939" s="1297"/>
      <c r="AU939" s="1299"/>
      <c r="AV939" s="1302"/>
    </row>
    <row r="940" spans="1:48" ht="16.5" customHeight="1">
      <c r="A940" s="1082"/>
      <c r="B940" s="1082"/>
      <c r="C940" s="1083"/>
      <c r="D940" s="1082"/>
      <c r="E940" s="1083"/>
      <c r="F940" s="1560"/>
      <c r="G940" s="1038"/>
      <c r="H940" s="1077"/>
      <c r="I940" s="1127"/>
      <c r="J940" s="1128"/>
      <c r="K940" s="1067"/>
      <c r="L940" s="1235"/>
      <c r="M940" s="1081"/>
      <c r="N940" s="1038"/>
      <c r="O940" s="1083"/>
      <c r="P940" s="1091"/>
      <c r="Q940" s="1076"/>
      <c r="R940" s="1074"/>
      <c r="S940" s="1074"/>
      <c r="T940" s="1080"/>
      <c r="U940" s="1091">
        <v>7</v>
      </c>
      <c r="V940" s="1073" t="s">
        <v>255</v>
      </c>
      <c r="W940" s="1079">
        <v>4</v>
      </c>
      <c r="X940" s="1078"/>
      <c r="Y940" s="1039"/>
      <c r="Z940" s="1134">
        <f t="shared" si="83"/>
        <v>4</v>
      </c>
      <c r="AA940" s="1074"/>
      <c r="AB940" s="1077"/>
      <c r="AC940" s="1073"/>
      <c r="AD940" s="1091"/>
      <c r="AE940" s="1076"/>
      <c r="AF940" s="1296"/>
      <c r="AG940" s="1297"/>
      <c r="AH940" s="1298"/>
      <c r="AI940" s="1298"/>
      <c r="AJ940" s="1299"/>
      <c r="AK940" s="1300">
        <v>4000</v>
      </c>
      <c r="AL940" s="1090">
        <f t="shared" si="78"/>
        <v>16000</v>
      </c>
      <c r="AM940" s="1297"/>
      <c r="AN940" s="1297"/>
      <c r="AO940" s="1298"/>
      <c r="AP940" s="1301"/>
      <c r="AQ940" s="1298"/>
      <c r="AR940" s="1301"/>
      <c r="AS940" s="1301"/>
      <c r="AT940" s="1297"/>
      <c r="AU940" s="1299"/>
      <c r="AV940" s="1302"/>
    </row>
    <row r="941" spans="1:48" ht="16.5" customHeight="1">
      <c r="A941" s="1082"/>
      <c r="B941" s="1082"/>
      <c r="C941" s="1083"/>
      <c r="D941" s="1082"/>
      <c r="E941" s="1083"/>
      <c r="F941" s="1560"/>
      <c r="G941" s="1038"/>
      <c r="H941" s="1077"/>
      <c r="I941" s="1127"/>
      <c r="J941" s="1128"/>
      <c r="K941" s="1067"/>
      <c r="L941" s="1235"/>
      <c r="M941" s="1081"/>
      <c r="N941" s="1038"/>
      <c r="O941" s="1083"/>
      <c r="P941" s="1091"/>
      <c r="Q941" s="1076"/>
      <c r="R941" s="1074"/>
      <c r="S941" s="1074"/>
      <c r="T941" s="1080"/>
      <c r="U941" s="1091">
        <v>8</v>
      </c>
      <c r="V941" s="1073" t="s">
        <v>1648</v>
      </c>
      <c r="W941" s="1079">
        <v>2</v>
      </c>
      <c r="X941" s="1078"/>
      <c r="Y941" s="1039"/>
      <c r="Z941" s="1134">
        <f t="shared" si="83"/>
        <v>2</v>
      </c>
      <c r="AA941" s="1074"/>
      <c r="AB941" s="1077"/>
      <c r="AC941" s="1073"/>
      <c r="AD941" s="1091"/>
      <c r="AE941" s="1076"/>
      <c r="AF941" s="1296"/>
      <c r="AG941" s="1297"/>
      <c r="AH941" s="1298"/>
      <c r="AI941" s="1298"/>
      <c r="AJ941" s="1299"/>
      <c r="AK941" s="1300">
        <v>100000</v>
      </c>
      <c r="AL941" s="1090">
        <f t="shared" si="78"/>
        <v>200000</v>
      </c>
      <c r="AM941" s="1297"/>
      <c r="AN941" s="1297"/>
      <c r="AO941" s="1298"/>
      <c r="AP941" s="1301"/>
      <c r="AQ941" s="1298"/>
      <c r="AR941" s="1301"/>
      <c r="AS941" s="1301"/>
      <c r="AT941" s="1297"/>
      <c r="AU941" s="1299"/>
      <c r="AV941" s="1302"/>
    </row>
    <row r="942" spans="1:48" ht="33" customHeight="1">
      <c r="A942" s="1082"/>
      <c r="B942" s="1082"/>
      <c r="C942" s="1083"/>
      <c r="D942" s="1082"/>
      <c r="E942" s="1083"/>
      <c r="F942" s="1560"/>
      <c r="G942" s="1038"/>
      <c r="H942" s="1077"/>
      <c r="I942" s="1127"/>
      <c r="J942" s="1128"/>
      <c r="K942" s="1067"/>
      <c r="L942" s="1235"/>
      <c r="M942" s="1081"/>
      <c r="N942" s="1038"/>
      <c r="O942" s="1083"/>
      <c r="P942" s="1091"/>
      <c r="Q942" s="1076"/>
      <c r="R942" s="1074"/>
      <c r="S942" s="1074"/>
      <c r="T942" s="1080"/>
      <c r="U942" s="1091">
        <v>9</v>
      </c>
      <c r="V942" s="1564" t="s">
        <v>1587</v>
      </c>
      <c r="W942" s="1079">
        <v>2</v>
      </c>
      <c r="X942" s="1078"/>
      <c r="Y942" s="1039"/>
      <c r="Z942" s="1134">
        <f t="shared" si="83"/>
        <v>2</v>
      </c>
      <c r="AA942" s="1074"/>
      <c r="AB942" s="1077"/>
      <c r="AC942" s="1073"/>
      <c r="AD942" s="1091"/>
      <c r="AE942" s="1076"/>
      <c r="AF942" s="1296"/>
      <c r="AG942" s="1297"/>
      <c r="AH942" s="1298"/>
      <c r="AI942" s="1298"/>
      <c r="AJ942" s="1299"/>
      <c r="AK942" s="1300">
        <v>45000</v>
      </c>
      <c r="AL942" s="1090">
        <f t="shared" si="78"/>
        <v>90000</v>
      </c>
      <c r="AM942" s="1297"/>
      <c r="AN942" s="1297"/>
      <c r="AO942" s="1298"/>
      <c r="AP942" s="1301"/>
      <c r="AQ942" s="1298"/>
      <c r="AR942" s="1301"/>
      <c r="AS942" s="1301"/>
      <c r="AT942" s="1297"/>
      <c r="AU942" s="1299"/>
      <c r="AV942" s="1302"/>
    </row>
    <row r="943" spans="1:48" ht="16.5" customHeight="1">
      <c r="A943" s="1082"/>
      <c r="B943" s="1082"/>
      <c r="C943" s="1083"/>
      <c r="D943" s="1082"/>
      <c r="E943" s="1083"/>
      <c r="F943" s="1560"/>
      <c r="G943" s="1038"/>
      <c r="H943" s="1077"/>
      <c r="I943" s="1127"/>
      <c r="J943" s="1128"/>
      <c r="K943" s="1067"/>
      <c r="L943" s="1235"/>
      <c r="M943" s="1081"/>
      <c r="N943" s="1038"/>
      <c r="O943" s="1083"/>
      <c r="P943" s="1091"/>
      <c r="Q943" s="1076"/>
      <c r="R943" s="1074"/>
      <c r="S943" s="1074"/>
      <c r="T943" s="1080"/>
      <c r="U943" s="1091">
        <v>10</v>
      </c>
      <c r="V943" s="1073" t="s">
        <v>14</v>
      </c>
      <c r="W943" s="1079">
        <v>3</v>
      </c>
      <c r="X943" s="1078"/>
      <c r="Y943" s="1039"/>
      <c r="Z943" s="1134">
        <f t="shared" si="83"/>
        <v>3</v>
      </c>
      <c r="AA943" s="1074"/>
      <c r="AB943" s="1077"/>
      <c r="AC943" s="1073"/>
      <c r="AD943" s="1091"/>
      <c r="AE943" s="1076"/>
      <c r="AF943" s="1296"/>
      <c r="AG943" s="1297"/>
      <c r="AH943" s="1298"/>
      <c r="AI943" s="1298"/>
      <c r="AJ943" s="1299"/>
      <c r="AK943" s="1089">
        <v>350000</v>
      </c>
      <c r="AL943" s="1087">
        <f t="shared" si="78"/>
        <v>1050000</v>
      </c>
      <c r="AM943" s="1297"/>
      <c r="AN943" s="1297"/>
      <c r="AO943" s="1298"/>
      <c r="AP943" s="1301"/>
      <c r="AQ943" s="1298"/>
      <c r="AR943" s="1301"/>
      <c r="AS943" s="1301"/>
      <c r="AT943" s="1297"/>
      <c r="AU943" s="1299"/>
      <c r="AV943" s="1302"/>
    </row>
    <row r="944" spans="1:48" ht="16.5" customHeight="1">
      <c r="A944" s="1082"/>
      <c r="B944" s="1082"/>
      <c r="C944" s="1083"/>
      <c r="D944" s="1082"/>
      <c r="E944" s="1083"/>
      <c r="F944" s="1560"/>
      <c r="G944" s="1038"/>
      <c r="H944" s="1077"/>
      <c r="I944" s="1127"/>
      <c r="J944" s="1128"/>
      <c r="K944" s="1067"/>
      <c r="L944" s="1235"/>
      <c r="M944" s="1081"/>
      <c r="N944" s="1038"/>
      <c r="O944" s="1083"/>
      <c r="P944" s="1091"/>
      <c r="Q944" s="1076"/>
      <c r="R944" s="1074"/>
      <c r="S944" s="1074"/>
      <c r="T944" s="1080"/>
      <c r="U944" s="1091">
        <v>11</v>
      </c>
      <c r="V944" s="1073" t="s">
        <v>3</v>
      </c>
      <c r="W944" s="1079">
        <v>2</v>
      </c>
      <c r="X944" s="1078"/>
      <c r="Y944" s="1039"/>
      <c r="Z944" s="1134">
        <f t="shared" si="83"/>
        <v>2</v>
      </c>
      <c r="AA944" s="1074"/>
      <c r="AB944" s="1077"/>
      <c r="AC944" s="1073"/>
      <c r="AD944" s="1091"/>
      <c r="AE944" s="1076"/>
      <c r="AF944" s="1296"/>
      <c r="AG944" s="1297"/>
      <c r="AH944" s="1298"/>
      <c r="AI944" s="1298"/>
      <c r="AJ944" s="1299"/>
      <c r="AK944" s="1089">
        <v>85000</v>
      </c>
      <c r="AL944" s="1090">
        <f t="shared" si="78"/>
        <v>170000</v>
      </c>
      <c r="AM944" s="1297"/>
      <c r="AN944" s="1297"/>
      <c r="AO944" s="1298"/>
      <c r="AP944" s="1301"/>
      <c r="AQ944" s="1298"/>
      <c r="AR944" s="1301"/>
      <c r="AS944" s="1301"/>
      <c r="AT944" s="1297"/>
      <c r="AU944" s="1299"/>
      <c r="AV944" s="1302"/>
    </row>
    <row r="945" spans="1:48" ht="16.5" customHeight="1">
      <c r="A945" s="1082"/>
      <c r="B945" s="1082"/>
      <c r="C945" s="1083"/>
      <c r="D945" s="1082"/>
      <c r="E945" s="1083"/>
      <c r="F945" s="1560"/>
      <c r="G945" s="1038"/>
      <c r="H945" s="1077"/>
      <c r="I945" s="1127"/>
      <c r="J945" s="1128"/>
      <c r="K945" s="1067"/>
      <c r="L945" s="1235"/>
      <c r="M945" s="1081"/>
      <c r="N945" s="1038"/>
      <c r="O945" s="1083"/>
      <c r="P945" s="1091"/>
      <c r="Q945" s="1076"/>
      <c r="R945" s="1074"/>
      <c r="S945" s="1074"/>
      <c r="T945" s="1080"/>
      <c r="U945" s="1091">
        <v>12</v>
      </c>
      <c r="V945" s="1073" t="s">
        <v>1647</v>
      </c>
      <c r="W945" s="1079">
        <v>5</v>
      </c>
      <c r="X945" s="1078"/>
      <c r="Y945" s="1039"/>
      <c r="Z945" s="1134">
        <f t="shared" si="83"/>
        <v>5</v>
      </c>
      <c r="AA945" s="1074"/>
      <c r="AB945" s="1077"/>
      <c r="AC945" s="1073"/>
      <c r="AD945" s="1091"/>
      <c r="AE945" s="1076"/>
      <c r="AF945" s="1296"/>
      <c r="AG945" s="1297"/>
      <c r="AH945" s="1298"/>
      <c r="AI945" s="1298"/>
      <c r="AJ945" s="1299"/>
      <c r="AK945" s="1300">
        <v>15000</v>
      </c>
      <c r="AL945" s="1090">
        <f t="shared" ref="AL945:AL994" si="85">AK945*W945</f>
        <v>75000</v>
      </c>
      <c r="AM945" s="1297"/>
      <c r="AN945" s="1297"/>
      <c r="AO945" s="1298"/>
      <c r="AP945" s="1301"/>
      <c r="AQ945" s="1298"/>
      <c r="AR945" s="1301"/>
      <c r="AS945" s="1301"/>
      <c r="AT945" s="1297"/>
      <c r="AU945" s="1299"/>
      <c r="AV945" s="1302"/>
    </row>
    <row r="946" spans="1:48" ht="16.5" customHeight="1">
      <c r="A946" s="1082"/>
      <c r="B946" s="1082"/>
      <c r="C946" s="1083"/>
      <c r="D946" s="1082"/>
      <c r="E946" s="1083"/>
      <c r="F946" s="1560"/>
      <c r="G946" s="1038"/>
      <c r="H946" s="1077"/>
      <c r="I946" s="1127"/>
      <c r="J946" s="1128"/>
      <c r="K946" s="1067"/>
      <c r="L946" s="1235"/>
      <c r="M946" s="1081"/>
      <c r="N946" s="1038"/>
      <c r="O946" s="1083"/>
      <c r="P946" s="1091"/>
      <c r="Q946" s="1076"/>
      <c r="R946" s="1074"/>
      <c r="S946" s="1074"/>
      <c r="T946" s="1080"/>
      <c r="U946" s="1091">
        <v>13</v>
      </c>
      <c r="V946" s="1073" t="s">
        <v>10</v>
      </c>
      <c r="W946" s="1079"/>
      <c r="X946" s="1078">
        <v>4</v>
      </c>
      <c r="Y946" s="1039"/>
      <c r="Z946" s="1134">
        <f t="shared" si="83"/>
        <v>4</v>
      </c>
      <c r="AA946" s="1074"/>
      <c r="AB946" s="1077"/>
      <c r="AC946" s="1073"/>
      <c r="AD946" s="1091"/>
      <c r="AE946" s="1076"/>
      <c r="AF946" s="1296"/>
      <c r="AG946" s="1297"/>
      <c r="AH946" s="1298"/>
      <c r="AI946" s="1298"/>
      <c r="AJ946" s="1299"/>
      <c r="AK946" s="1300">
        <v>35000</v>
      </c>
      <c r="AL946" s="1090">
        <f>AK946*X946</f>
        <v>140000</v>
      </c>
      <c r="AM946" s="1297"/>
      <c r="AN946" s="1297"/>
      <c r="AO946" s="1298"/>
      <c r="AP946" s="1301"/>
      <c r="AQ946" s="1298"/>
      <c r="AR946" s="1301"/>
      <c r="AS946" s="1301"/>
      <c r="AT946" s="1297"/>
      <c r="AU946" s="1299"/>
      <c r="AV946" s="1302"/>
    </row>
    <row r="947" spans="1:48" ht="16.5" customHeight="1">
      <c r="A947" s="1082"/>
      <c r="B947" s="1082"/>
      <c r="C947" s="1083"/>
      <c r="D947" s="1082"/>
      <c r="E947" s="1083"/>
      <c r="F947" s="1560"/>
      <c r="G947" s="1038"/>
      <c r="H947" s="1077"/>
      <c r="I947" s="1127"/>
      <c r="J947" s="1128"/>
      <c r="K947" s="1067"/>
      <c r="L947" s="1235"/>
      <c r="M947" s="1081"/>
      <c r="N947" s="1038"/>
      <c r="O947" s="1083"/>
      <c r="P947" s="1091"/>
      <c r="Q947" s="1076"/>
      <c r="R947" s="1074"/>
      <c r="S947" s="1074"/>
      <c r="T947" s="1080"/>
      <c r="U947" s="1091">
        <v>14</v>
      </c>
      <c r="V947" s="1073" t="s">
        <v>1620</v>
      </c>
      <c r="W947" s="1079">
        <v>8</v>
      </c>
      <c r="X947" s="1078"/>
      <c r="Y947" s="1039"/>
      <c r="Z947" s="1134">
        <f t="shared" si="83"/>
        <v>8</v>
      </c>
      <c r="AA947" s="1074"/>
      <c r="AB947" s="1077"/>
      <c r="AC947" s="1073"/>
      <c r="AD947" s="1091"/>
      <c r="AE947" s="1076"/>
      <c r="AF947" s="1296"/>
      <c r="AG947" s="1297"/>
      <c r="AH947" s="1298"/>
      <c r="AI947" s="1298"/>
      <c r="AJ947" s="1299"/>
      <c r="AK947" s="1089">
        <v>900</v>
      </c>
      <c r="AL947" s="1090">
        <f t="shared" si="85"/>
        <v>7200</v>
      </c>
      <c r="AM947" s="1297"/>
      <c r="AN947" s="1297"/>
      <c r="AO947" s="1298"/>
      <c r="AP947" s="1301"/>
      <c r="AQ947" s="1298"/>
      <c r="AR947" s="1301"/>
      <c r="AS947" s="1301"/>
      <c r="AT947" s="1297"/>
      <c r="AU947" s="1299"/>
      <c r="AV947" s="1302"/>
    </row>
    <row r="948" spans="1:48" ht="16.5" customHeight="1">
      <c r="A948" s="1082"/>
      <c r="B948" s="1082"/>
      <c r="C948" s="1083"/>
      <c r="D948" s="1082"/>
      <c r="E948" s="1083"/>
      <c r="F948" s="1560"/>
      <c r="G948" s="1038"/>
      <c r="H948" s="1077"/>
      <c r="I948" s="1127"/>
      <c r="J948" s="1128"/>
      <c r="K948" s="1067"/>
      <c r="L948" s="1235"/>
      <c r="M948" s="1081"/>
      <c r="N948" s="1038"/>
      <c r="O948" s="1083"/>
      <c r="P948" s="1091"/>
      <c r="Q948" s="1076"/>
      <c r="R948" s="1074"/>
      <c r="S948" s="1074"/>
      <c r="T948" s="1080"/>
      <c r="U948" s="1091">
        <v>15</v>
      </c>
      <c r="V948" s="1073" t="s">
        <v>4</v>
      </c>
      <c r="W948" s="1079">
        <v>5</v>
      </c>
      <c r="X948" s="1078"/>
      <c r="Y948" s="1039"/>
      <c r="Z948" s="1134">
        <f t="shared" si="83"/>
        <v>5</v>
      </c>
      <c r="AA948" s="1074"/>
      <c r="AB948" s="1077"/>
      <c r="AC948" s="1073"/>
      <c r="AD948" s="1091"/>
      <c r="AE948" s="1076"/>
      <c r="AF948" s="1296"/>
      <c r="AG948" s="1297"/>
      <c r="AH948" s="1298"/>
      <c r="AI948" s="1298"/>
      <c r="AJ948" s="1299"/>
      <c r="AK948" s="1300">
        <v>250</v>
      </c>
      <c r="AL948" s="1090">
        <f t="shared" si="85"/>
        <v>1250</v>
      </c>
      <c r="AM948" s="1297"/>
      <c r="AN948" s="1297"/>
      <c r="AO948" s="1298"/>
      <c r="AP948" s="1301"/>
      <c r="AQ948" s="1298"/>
      <c r="AR948" s="1301"/>
      <c r="AS948" s="1301"/>
      <c r="AT948" s="1297"/>
      <c r="AU948" s="1299"/>
      <c r="AV948" s="1302"/>
    </row>
    <row r="949" spans="1:48" ht="16.5" customHeight="1">
      <c r="A949" s="1082"/>
      <c r="B949" s="1082"/>
      <c r="C949" s="1083"/>
      <c r="D949" s="1082"/>
      <c r="E949" s="1083"/>
      <c r="F949" s="1560"/>
      <c r="G949" s="1038"/>
      <c r="H949" s="1077"/>
      <c r="I949" s="1127"/>
      <c r="J949" s="1128"/>
      <c r="K949" s="1067"/>
      <c r="L949" s="1235"/>
      <c r="M949" s="1081"/>
      <c r="N949" s="1038"/>
      <c r="O949" s="1083"/>
      <c r="P949" s="1091"/>
      <c r="Q949" s="1076"/>
      <c r="R949" s="1074"/>
      <c r="S949" s="1074"/>
      <c r="T949" s="1080"/>
      <c r="U949" s="1091">
        <v>16</v>
      </c>
      <c r="V949" s="1073" t="s">
        <v>133</v>
      </c>
      <c r="W949" s="1079">
        <v>6</v>
      </c>
      <c r="X949" s="1078"/>
      <c r="Y949" s="1039"/>
      <c r="Z949" s="1134">
        <f t="shared" si="83"/>
        <v>6</v>
      </c>
      <c r="AA949" s="1074"/>
      <c r="AB949" s="1077"/>
      <c r="AC949" s="1073"/>
      <c r="AD949" s="1091"/>
      <c r="AE949" s="1076"/>
      <c r="AF949" s="1296"/>
      <c r="AG949" s="1297"/>
      <c r="AH949" s="1298"/>
      <c r="AI949" s="1298"/>
      <c r="AJ949" s="1299"/>
      <c r="AK949" s="1089">
        <v>2645</v>
      </c>
      <c r="AL949" s="1090">
        <f t="shared" si="85"/>
        <v>15870</v>
      </c>
      <c r="AM949" s="1297"/>
      <c r="AN949" s="1297"/>
      <c r="AO949" s="1298"/>
      <c r="AP949" s="1301"/>
      <c r="AQ949" s="1298"/>
      <c r="AR949" s="1301"/>
      <c r="AS949" s="1301"/>
      <c r="AT949" s="1297"/>
      <c r="AU949" s="1299"/>
      <c r="AV949" s="1302"/>
    </row>
    <row r="950" spans="1:48" ht="16.5" customHeight="1">
      <c r="A950" s="1082"/>
      <c r="B950" s="1082"/>
      <c r="C950" s="1083"/>
      <c r="D950" s="1082"/>
      <c r="E950" s="1083"/>
      <c r="F950" s="1560"/>
      <c r="G950" s="1038"/>
      <c r="H950" s="1077"/>
      <c r="I950" s="1127"/>
      <c r="J950" s="1128"/>
      <c r="K950" s="1067"/>
      <c r="L950" s="1235"/>
      <c r="M950" s="1081"/>
      <c r="N950" s="1038"/>
      <c r="O950" s="1083"/>
      <c r="P950" s="1091"/>
      <c r="Q950" s="1076"/>
      <c r="R950" s="1074"/>
      <c r="S950" s="1074"/>
      <c r="T950" s="1080"/>
      <c r="U950" s="1091">
        <v>17</v>
      </c>
      <c r="V950" s="1073" t="s">
        <v>48</v>
      </c>
      <c r="W950" s="1079">
        <v>15</v>
      </c>
      <c r="X950" s="1078"/>
      <c r="Y950" s="1039"/>
      <c r="Z950" s="1134">
        <f t="shared" si="83"/>
        <v>15</v>
      </c>
      <c r="AA950" s="1074"/>
      <c r="AB950" s="1077"/>
      <c r="AC950" s="1073"/>
      <c r="AD950" s="1091"/>
      <c r="AE950" s="1076"/>
      <c r="AF950" s="1296"/>
      <c r="AG950" s="1297"/>
      <c r="AH950" s="1298"/>
      <c r="AI950" s="1298"/>
      <c r="AJ950" s="1299"/>
      <c r="AK950" s="1300">
        <v>15000</v>
      </c>
      <c r="AL950" s="1090">
        <f t="shared" si="85"/>
        <v>225000</v>
      </c>
      <c r="AM950" s="1297"/>
      <c r="AN950" s="1297"/>
      <c r="AO950" s="1298"/>
      <c r="AP950" s="1301"/>
      <c r="AQ950" s="1298"/>
      <c r="AR950" s="1301"/>
      <c r="AS950" s="1301"/>
      <c r="AT950" s="1297"/>
      <c r="AU950" s="1299"/>
      <c r="AV950" s="1302"/>
    </row>
    <row r="951" spans="1:48" ht="16.5" customHeight="1">
      <c r="A951" s="1082"/>
      <c r="B951" s="1082"/>
      <c r="C951" s="1083"/>
      <c r="D951" s="1082"/>
      <c r="E951" s="1083"/>
      <c r="F951" s="1560"/>
      <c r="G951" s="1038"/>
      <c r="H951" s="1077"/>
      <c r="I951" s="1127"/>
      <c r="J951" s="1128"/>
      <c r="K951" s="1067"/>
      <c r="L951" s="1235"/>
      <c r="M951" s="1081"/>
      <c r="N951" s="1038"/>
      <c r="O951" s="1083"/>
      <c r="P951" s="1091"/>
      <c r="Q951" s="1076"/>
      <c r="R951" s="1074"/>
      <c r="S951" s="1074"/>
      <c r="T951" s="1080"/>
      <c r="U951" s="1091"/>
      <c r="V951" s="1073" t="s">
        <v>48</v>
      </c>
      <c r="W951" s="1079"/>
      <c r="X951" s="1078"/>
      <c r="Y951" s="1039">
        <v>20</v>
      </c>
      <c r="Z951" s="1134"/>
      <c r="AA951" s="1074"/>
      <c r="AB951" s="1077"/>
      <c r="AC951" s="1073"/>
      <c r="AD951" s="1091"/>
      <c r="AE951" s="1076"/>
      <c r="AF951" s="1296"/>
      <c r="AG951" s="1297"/>
      <c r="AH951" s="1298"/>
      <c r="AI951" s="1298"/>
      <c r="AJ951" s="1299"/>
      <c r="AK951" s="1300">
        <v>5000</v>
      </c>
      <c r="AL951" s="1090">
        <f>AK951*Y951</f>
        <v>100000</v>
      </c>
      <c r="AM951" s="1297"/>
      <c r="AN951" s="1297"/>
      <c r="AO951" s="1298"/>
      <c r="AP951" s="1301"/>
      <c r="AQ951" s="1298"/>
      <c r="AR951" s="1301"/>
      <c r="AS951" s="1301"/>
      <c r="AT951" s="1297"/>
      <c r="AU951" s="1299"/>
      <c r="AV951" s="1302"/>
    </row>
    <row r="952" spans="1:48" ht="16.5" customHeight="1">
      <c r="A952" s="1082"/>
      <c r="B952" s="1082"/>
      <c r="C952" s="1083"/>
      <c r="D952" s="1082"/>
      <c r="E952" s="1083"/>
      <c r="F952" s="1560"/>
      <c r="G952" s="1038"/>
      <c r="H952" s="1077"/>
      <c r="I952" s="1127"/>
      <c r="J952" s="1128"/>
      <c r="K952" s="1067"/>
      <c r="L952" s="1235"/>
      <c r="M952" s="1081"/>
      <c r="N952" s="1038"/>
      <c r="O952" s="1083"/>
      <c r="P952" s="1091"/>
      <c r="Q952" s="1076"/>
      <c r="R952" s="1074"/>
      <c r="S952" s="1074"/>
      <c r="T952" s="1080"/>
      <c r="U952" s="1091">
        <v>18</v>
      </c>
      <c r="V952" s="1073" t="s">
        <v>142</v>
      </c>
      <c r="W952" s="1079"/>
      <c r="X952" s="1078">
        <v>2</v>
      </c>
      <c r="Y952" s="1039"/>
      <c r="Z952" s="1134">
        <f t="shared" si="83"/>
        <v>2</v>
      </c>
      <c r="AA952" s="1074"/>
      <c r="AB952" s="1077"/>
      <c r="AC952" s="1073"/>
      <c r="AD952" s="1091"/>
      <c r="AE952" s="1076"/>
      <c r="AF952" s="1296"/>
      <c r="AG952" s="1297"/>
      <c r="AH952" s="1298"/>
      <c r="AI952" s="1298"/>
      <c r="AJ952" s="1299"/>
      <c r="AK952" s="1300">
        <v>165000</v>
      </c>
      <c r="AL952" s="1090">
        <f>AK952*X952</f>
        <v>330000</v>
      </c>
      <c r="AM952" s="1297"/>
      <c r="AN952" s="1297"/>
      <c r="AO952" s="1298"/>
      <c r="AP952" s="1301"/>
      <c r="AQ952" s="1298"/>
      <c r="AR952" s="1301"/>
      <c r="AS952" s="1301"/>
      <c r="AT952" s="1297"/>
      <c r="AU952" s="1299"/>
      <c r="AV952" s="1302"/>
    </row>
    <row r="953" spans="1:48" ht="16.5" customHeight="1">
      <c r="A953" s="1082"/>
      <c r="B953" s="1082"/>
      <c r="C953" s="1083"/>
      <c r="D953" s="1082"/>
      <c r="E953" s="1083"/>
      <c r="F953" s="1560"/>
      <c r="G953" s="1038"/>
      <c r="H953" s="1077"/>
      <c r="I953" s="1127"/>
      <c r="J953" s="1128"/>
      <c r="K953" s="1067"/>
      <c r="L953" s="1235"/>
      <c r="M953" s="1081"/>
      <c r="N953" s="1038"/>
      <c r="O953" s="1083"/>
      <c r="P953" s="1091"/>
      <c r="Q953" s="1076"/>
      <c r="R953" s="1074"/>
      <c r="S953" s="1074"/>
      <c r="T953" s="1080"/>
      <c r="U953" s="1091">
        <v>19</v>
      </c>
      <c r="V953" s="1073" t="s">
        <v>1646</v>
      </c>
      <c r="W953" s="1079"/>
      <c r="X953" s="1078"/>
      <c r="Y953" s="1039">
        <v>2</v>
      </c>
      <c r="Z953" s="1134">
        <f t="shared" si="83"/>
        <v>2</v>
      </c>
      <c r="AA953" s="1074"/>
      <c r="AB953" s="1077"/>
      <c r="AC953" s="1073"/>
      <c r="AD953" s="1091"/>
      <c r="AE953" s="1076"/>
      <c r="AF953" s="1296"/>
      <c r="AG953" s="1297"/>
      <c r="AH953" s="1298"/>
      <c r="AI953" s="1298"/>
      <c r="AJ953" s="1299"/>
      <c r="AK953" s="1300">
        <v>53000</v>
      </c>
      <c r="AL953" s="1090">
        <f>AK953*Y953</f>
        <v>106000</v>
      </c>
      <c r="AM953" s="1297"/>
      <c r="AN953" s="1297"/>
      <c r="AO953" s="1298"/>
      <c r="AP953" s="1301"/>
      <c r="AQ953" s="1298"/>
      <c r="AR953" s="1301"/>
      <c r="AS953" s="1301"/>
      <c r="AT953" s="1297"/>
      <c r="AU953" s="1299"/>
      <c r="AV953" s="1302"/>
    </row>
    <row r="954" spans="1:48" ht="16.5" customHeight="1">
      <c r="A954" s="1082"/>
      <c r="B954" s="1082"/>
      <c r="C954" s="1083"/>
      <c r="D954" s="1082"/>
      <c r="E954" s="1083"/>
      <c r="F954" s="1560"/>
      <c r="G954" s="1038"/>
      <c r="H954" s="1077"/>
      <c r="I954" s="1127"/>
      <c r="J954" s="1128"/>
      <c r="K954" s="1067"/>
      <c r="L954" s="1235"/>
      <c r="M954" s="1081"/>
      <c r="N954" s="1038"/>
      <c r="O954" s="1083"/>
      <c r="P954" s="1091"/>
      <c r="Q954" s="1076"/>
      <c r="R954" s="1074"/>
      <c r="S954" s="1074"/>
      <c r="T954" s="1080"/>
      <c r="U954" s="1091">
        <v>20</v>
      </c>
      <c r="V954" s="1073" t="s">
        <v>268</v>
      </c>
      <c r="W954" s="1079">
        <v>2</v>
      </c>
      <c r="X954" s="1078"/>
      <c r="Y954" s="1039"/>
      <c r="Z954" s="1134">
        <f t="shared" si="83"/>
        <v>2</v>
      </c>
      <c r="AA954" s="1074"/>
      <c r="AB954" s="1077"/>
      <c r="AC954" s="1073"/>
      <c r="AD954" s="1091"/>
      <c r="AE954" s="1076"/>
      <c r="AF954" s="1296"/>
      <c r="AG954" s="1297"/>
      <c r="AH954" s="1298"/>
      <c r="AI954" s="1298"/>
      <c r="AJ954" s="1299"/>
      <c r="AK954" s="1300">
        <v>200000</v>
      </c>
      <c r="AL954" s="1090">
        <f t="shared" si="85"/>
        <v>400000</v>
      </c>
      <c r="AM954" s="1297"/>
      <c r="AN954" s="1297"/>
      <c r="AO954" s="1298"/>
      <c r="AP954" s="1301"/>
      <c r="AQ954" s="1298"/>
      <c r="AR954" s="1301"/>
      <c r="AS954" s="1301"/>
      <c r="AT954" s="1297"/>
      <c r="AU954" s="1299"/>
      <c r="AV954" s="1302"/>
    </row>
    <row r="955" spans="1:48" ht="16.5" customHeight="1">
      <c r="A955" s="1082"/>
      <c r="B955" s="1082"/>
      <c r="C955" s="1083"/>
      <c r="D955" s="1082"/>
      <c r="E955" s="1083"/>
      <c r="F955" s="1560"/>
      <c r="G955" s="1038"/>
      <c r="H955" s="1077"/>
      <c r="I955" s="1127"/>
      <c r="J955" s="1128"/>
      <c r="K955" s="1067"/>
      <c r="L955" s="1235"/>
      <c r="M955" s="1081"/>
      <c r="N955" s="1038"/>
      <c r="O955" s="1083"/>
      <c r="P955" s="1091"/>
      <c r="Q955" s="1076"/>
      <c r="R955" s="1074"/>
      <c r="S955" s="1074"/>
      <c r="T955" s="1080"/>
      <c r="U955" s="1091">
        <v>21</v>
      </c>
      <c r="V955" s="1073" t="s">
        <v>6</v>
      </c>
      <c r="W955" s="1079">
        <v>4</v>
      </c>
      <c r="X955" s="1078"/>
      <c r="Y955" s="1092"/>
      <c r="Z955" s="1134">
        <f t="shared" si="83"/>
        <v>4</v>
      </c>
      <c r="AA955" s="1074"/>
      <c r="AB955" s="1077"/>
      <c r="AC955" s="1073"/>
      <c r="AD955" s="1091"/>
      <c r="AE955" s="1076"/>
      <c r="AF955" s="1296"/>
      <c r="AG955" s="1297"/>
      <c r="AH955" s="1298"/>
      <c r="AI955" s="1298"/>
      <c r="AJ955" s="1299"/>
      <c r="AK955" s="1300">
        <v>10000</v>
      </c>
      <c r="AL955" s="1090">
        <f t="shared" si="85"/>
        <v>40000</v>
      </c>
      <c r="AM955" s="1297"/>
      <c r="AN955" s="1297"/>
      <c r="AO955" s="1298"/>
      <c r="AP955" s="1301"/>
      <c r="AQ955" s="1298"/>
      <c r="AR955" s="1301"/>
      <c r="AS955" s="1301"/>
      <c r="AT955" s="1297"/>
      <c r="AU955" s="1299"/>
      <c r="AV955" s="1302"/>
    </row>
    <row r="956" spans="1:48" ht="16.5" customHeight="1">
      <c r="A956" s="1082"/>
      <c r="B956" s="1082"/>
      <c r="C956" s="1083"/>
      <c r="D956" s="1082"/>
      <c r="E956" s="1083"/>
      <c r="F956" s="1560"/>
      <c r="G956" s="1038"/>
      <c r="H956" s="1077"/>
      <c r="I956" s="1127"/>
      <c r="J956" s="1128"/>
      <c r="K956" s="1067"/>
      <c r="L956" s="1235"/>
      <c r="M956" s="1081"/>
      <c r="N956" s="1038"/>
      <c r="O956" s="1083"/>
      <c r="P956" s="1091"/>
      <c r="Q956" s="1076"/>
      <c r="R956" s="1074"/>
      <c r="S956" s="1074"/>
      <c r="T956" s="1080"/>
      <c r="U956" s="1077"/>
      <c r="V956" s="1073"/>
      <c r="W956" s="1079"/>
      <c r="X956" s="1078"/>
      <c r="Y956" s="1039"/>
      <c r="Z956" s="1134"/>
      <c r="AA956" s="1074"/>
      <c r="AB956" s="1077"/>
      <c r="AC956" s="1073"/>
      <c r="AD956" s="1091"/>
      <c r="AE956" s="1076"/>
      <c r="AF956" s="1296"/>
      <c r="AG956" s="1297"/>
      <c r="AH956" s="1298"/>
      <c r="AI956" s="1298"/>
      <c r="AJ956" s="1299"/>
      <c r="AK956" s="1300"/>
      <c r="AL956" s="1090"/>
      <c r="AM956" s="1297"/>
      <c r="AN956" s="1297"/>
      <c r="AO956" s="1298"/>
      <c r="AP956" s="1301"/>
      <c r="AQ956" s="1298"/>
      <c r="AR956" s="1301"/>
      <c r="AS956" s="1301"/>
      <c r="AT956" s="1297"/>
      <c r="AU956" s="1299"/>
      <c r="AV956" s="1302"/>
    </row>
    <row r="957" spans="1:48" ht="16.5" customHeight="1">
      <c r="A957" s="1098"/>
      <c r="B957" s="1095"/>
      <c r="C957" s="1186"/>
      <c r="D957" s="1095"/>
      <c r="E957" s="1186"/>
      <c r="F957" s="1563"/>
      <c r="G957" s="1095"/>
      <c r="H957" s="1151"/>
      <c r="I957" s="1152"/>
      <c r="J957" s="1153"/>
      <c r="K957" s="1101"/>
      <c r="L957" s="1287"/>
      <c r="M957" s="1113"/>
      <c r="N957" s="1095"/>
      <c r="O957" s="1105"/>
      <c r="P957" s="1109"/>
      <c r="Q957" s="1108"/>
      <c r="R957" s="1094"/>
      <c r="S957" s="1094"/>
      <c r="T957" s="1112"/>
      <c r="U957" s="1151"/>
      <c r="V957" s="1107"/>
      <c r="W957" s="1111"/>
      <c r="X957" s="1110"/>
      <c r="Y957" s="1096"/>
      <c r="Z957" s="1286"/>
      <c r="AA957" s="1094"/>
      <c r="AB957" s="1151"/>
      <c r="AC957" s="1107"/>
      <c r="AD957" s="1109"/>
      <c r="AE957" s="1108"/>
      <c r="AF957" s="1305"/>
      <c r="AG957" s="1306"/>
      <c r="AH957" s="1307"/>
      <c r="AI957" s="1307"/>
      <c r="AJ957" s="1308"/>
      <c r="AK957" s="1309"/>
      <c r="AL957" s="1120"/>
      <c r="AM957" s="1306"/>
      <c r="AN957" s="1306"/>
      <c r="AO957" s="1307"/>
      <c r="AP957" s="1310"/>
      <c r="AQ957" s="1307"/>
      <c r="AR957" s="1310"/>
      <c r="AS957" s="1310"/>
      <c r="AT957" s="1306"/>
      <c r="AU957" s="1308"/>
      <c r="AV957" s="1311"/>
    </row>
    <row r="958" spans="1:48" ht="16.5" customHeight="1">
      <c r="A958" s="1269">
        <v>70</v>
      </c>
      <c r="B958" s="1033" t="s">
        <v>25</v>
      </c>
      <c r="C958" s="1036" t="s">
        <v>1645</v>
      </c>
      <c r="D958" s="1033"/>
      <c r="E958" s="1036"/>
      <c r="F958" s="1559" t="s">
        <v>1644</v>
      </c>
      <c r="G958" s="1272" t="s">
        <v>25</v>
      </c>
      <c r="H958" s="1173" t="s">
        <v>1540</v>
      </c>
      <c r="I958" s="1275">
        <v>514</v>
      </c>
      <c r="J958" s="1175" t="s">
        <v>41</v>
      </c>
      <c r="K958" s="1041" t="s">
        <v>1643</v>
      </c>
      <c r="L958" s="1129" t="s">
        <v>46</v>
      </c>
      <c r="M958" s="1331" t="s">
        <v>46</v>
      </c>
      <c r="N958" s="1035" t="s">
        <v>25</v>
      </c>
      <c r="O958" s="1190" t="s">
        <v>26</v>
      </c>
      <c r="P958" s="1054"/>
      <c r="Q958" s="1565">
        <v>130.5</v>
      </c>
      <c r="R958" s="1170"/>
      <c r="S958" s="1034"/>
      <c r="T958" s="1053"/>
      <c r="U958" s="1180">
        <v>1</v>
      </c>
      <c r="V958" s="1047" t="s">
        <v>344</v>
      </c>
      <c r="W958" s="1052">
        <v>1</v>
      </c>
      <c r="X958" s="1051"/>
      <c r="Y958" s="1036"/>
      <c r="Z958" s="1183">
        <f t="shared" ref="Z958:Z965" si="86">SUM(W958:Y958)</f>
        <v>1</v>
      </c>
      <c r="AA958" s="1170"/>
      <c r="AB958" s="1173"/>
      <c r="AC958" s="1047"/>
      <c r="AD958" s="1055"/>
      <c r="AE958" s="1032"/>
      <c r="AF958" s="1333">
        <f>Resum!F1</f>
        <v>356000</v>
      </c>
      <c r="AG958" s="1086">
        <f>AF958*I958</f>
        <v>182984000</v>
      </c>
      <c r="AH958" s="1334">
        <v>2200000</v>
      </c>
      <c r="AI958" s="1087">
        <f>AH958*Q958*0.7</f>
        <v>200970000</v>
      </c>
      <c r="AJ958" s="1335">
        <f>SUM(AI958:AI965)</f>
        <v>287960000</v>
      </c>
      <c r="AK958" s="1336">
        <v>150000</v>
      </c>
      <c r="AL958" s="1090">
        <f t="shared" si="85"/>
        <v>150000</v>
      </c>
      <c r="AM958" s="1337">
        <f>SUM(AL958:AL965)</f>
        <v>1320935</v>
      </c>
      <c r="AN958" s="1086">
        <f>AM958+AJ958+AG958</f>
        <v>472264935</v>
      </c>
      <c r="AO958" s="1334"/>
      <c r="AP958" s="1136">
        <f>(AG958+AI958)*15%</f>
        <v>57593100</v>
      </c>
      <c r="AQ958" s="1087">
        <f>(AG958+AI958)*1%</f>
        <v>3839540</v>
      </c>
      <c r="AR958" s="1136">
        <f>(AG958+AI958)*5%</f>
        <v>19197700</v>
      </c>
      <c r="AS958" s="1087">
        <f>0.5%*(AG958+AI958)*(3)</f>
        <v>5759310</v>
      </c>
      <c r="AT958" s="1086">
        <f>+AS958+AR958+AQ958+AP958+AO958</f>
        <v>86389650</v>
      </c>
      <c r="AU958" s="1137">
        <f>ROUND(AT958+AN958,-3)</f>
        <v>558655000</v>
      </c>
      <c r="AV958" s="1041"/>
    </row>
    <row r="959" spans="1:48" ht="16.5" customHeight="1">
      <c r="A959" s="1082"/>
      <c r="B959" s="1038" t="s">
        <v>16</v>
      </c>
      <c r="C959" s="1071" t="s">
        <v>1642</v>
      </c>
      <c r="D959" s="1038"/>
      <c r="E959" s="1071"/>
      <c r="F959" s="1560"/>
      <c r="G959" s="1038" t="s">
        <v>16</v>
      </c>
      <c r="H959" s="1074" t="s">
        <v>22</v>
      </c>
      <c r="I959" s="1127"/>
      <c r="J959" s="1128"/>
      <c r="K959" s="1067"/>
      <c r="L959" s="1139"/>
      <c r="M959" s="1128"/>
      <c r="N959" s="1038" t="s">
        <v>16</v>
      </c>
      <c r="O959" s="1293" t="s">
        <v>21</v>
      </c>
      <c r="P959" s="1081"/>
      <c r="Q959" s="1075">
        <v>22.5</v>
      </c>
      <c r="R959" s="1074"/>
      <c r="S959" s="1074"/>
      <c r="T959" s="1566"/>
      <c r="U959" s="1184">
        <v>2</v>
      </c>
      <c r="V959" s="1146" t="s">
        <v>142</v>
      </c>
      <c r="W959" s="1314">
        <v>1</v>
      </c>
      <c r="X959" s="1315"/>
      <c r="Y959" s="1316"/>
      <c r="Z959" s="1183">
        <f t="shared" si="86"/>
        <v>1</v>
      </c>
      <c r="AA959" s="1074"/>
      <c r="AB959" s="1126"/>
      <c r="AC959" s="1073"/>
      <c r="AD959" s="1084"/>
      <c r="AE959" s="1062"/>
      <c r="AF959" s="1296"/>
      <c r="AG959" s="1297"/>
      <c r="AH959" s="1298">
        <v>350000</v>
      </c>
      <c r="AI959" s="1087">
        <f>AH959*Q959*0.7</f>
        <v>5512500</v>
      </c>
      <c r="AJ959" s="1299"/>
      <c r="AK959" s="1300">
        <v>250000</v>
      </c>
      <c r="AL959" s="1090">
        <f t="shared" si="85"/>
        <v>250000</v>
      </c>
      <c r="AM959" s="1297"/>
      <c r="AN959" s="1297"/>
      <c r="AO959" s="1298"/>
      <c r="AP959" s="1301"/>
      <c r="AQ959" s="1298"/>
      <c r="AR959" s="1301"/>
      <c r="AS959" s="1301"/>
      <c r="AT959" s="1297"/>
      <c r="AU959" s="1299"/>
      <c r="AV959" s="1067"/>
    </row>
    <row r="960" spans="1:48" ht="16.5" customHeight="1">
      <c r="A960" s="1082"/>
      <c r="B960" s="1038" t="s">
        <v>18</v>
      </c>
      <c r="C960" s="1039" t="s">
        <v>1641</v>
      </c>
      <c r="D960" s="1038"/>
      <c r="E960" s="1039"/>
      <c r="F960" s="1560"/>
      <c r="G960" s="1038" t="s">
        <v>18</v>
      </c>
      <c r="H960" s="1074" t="s">
        <v>19</v>
      </c>
      <c r="I960" s="1127"/>
      <c r="J960" s="1128"/>
      <c r="K960" s="1067"/>
      <c r="L960" s="1139"/>
      <c r="M960" s="1128"/>
      <c r="N960" s="1038" t="s">
        <v>18</v>
      </c>
      <c r="O960" s="1191" t="s">
        <v>1640</v>
      </c>
      <c r="P960" s="1081"/>
      <c r="Q960" s="1075">
        <v>37</v>
      </c>
      <c r="R960" s="1074"/>
      <c r="S960" s="1074"/>
      <c r="T960" s="1069"/>
      <c r="U960" s="1184">
        <v>3</v>
      </c>
      <c r="V960" s="1185" t="s">
        <v>808</v>
      </c>
      <c r="W960" s="1079"/>
      <c r="X960" s="1078">
        <v>10</v>
      </c>
      <c r="Y960" s="1039"/>
      <c r="Z960" s="1183">
        <f t="shared" si="86"/>
        <v>10</v>
      </c>
      <c r="AA960" s="1074"/>
      <c r="AB960" s="1126"/>
      <c r="AC960" s="1073"/>
      <c r="AD960" s="1084"/>
      <c r="AE960" s="1062"/>
      <c r="AF960" s="1296"/>
      <c r="AG960" s="1297"/>
      <c r="AH960" s="1298">
        <v>2200000</v>
      </c>
      <c r="AI960" s="1087">
        <f>AH960*Q960*0.7</f>
        <v>56980000</v>
      </c>
      <c r="AJ960" s="1299"/>
      <c r="AK960" s="1089">
        <v>82500</v>
      </c>
      <c r="AL960" s="1090">
        <f>AK960*X960</f>
        <v>825000</v>
      </c>
      <c r="AM960" s="1297"/>
      <c r="AN960" s="1297"/>
      <c r="AO960" s="1298"/>
      <c r="AP960" s="1301"/>
      <c r="AQ960" s="1298"/>
      <c r="AR960" s="1301"/>
      <c r="AS960" s="1301"/>
      <c r="AT960" s="1297"/>
      <c r="AU960" s="1299"/>
      <c r="AV960" s="1067"/>
    </row>
    <row r="961" spans="1:48" ht="49.5" customHeight="1">
      <c r="A961" s="1082"/>
      <c r="B961" s="1038" t="s">
        <v>12</v>
      </c>
      <c r="C961" s="1083" t="s">
        <v>210</v>
      </c>
      <c r="D961" s="1038"/>
      <c r="E961" s="1083"/>
      <c r="F961" s="1560"/>
      <c r="G961" s="1038"/>
      <c r="H961" s="1077"/>
      <c r="I961" s="1127"/>
      <c r="J961" s="1128"/>
      <c r="K961" s="1067"/>
      <c r="L961" s="1139"/>
      <c r="M961" s="1128"/>
      <c r="N961" s="1038" t="s">
        <v>12</v>
      </c>
      <c r="O961" s="1191" t="s">
        <v>1097</v>
      </c>
      <c r="P961" s="1081"/>
      <c r="Q961" s="1075">
        <v>3.9</v>
      </c>
      <c r="R961" s="1074"/>
      <c r="S961" s="1074"/>
      <c r="T961" s="1069"/>
      <c r="U961" s="1184">
        <v>4</v>
      </c>
      <c r="V961" s="1185" t="s">
        <v>83</v>
      </c>
      <c r="W961" s="1079">
        <v>1</v>
      </c>
      <c r="X961" s="1078"/>
      <c r="Y961" s="1039"/>
      <c r="Z961" s="1183">
        <f t="shared" si="86"/>
        <v>1</v>
      </c>
      <c r="AA961" s="1074"/>
      <c r="AB961" s="1126"/>
      <c r="AC961" s="1073"/>
      <c r="AD961" s="1084"/>
      <c r="AE961" s="1062"/>
      <c r="AF961" s="1296"/>
      <c r="AG961" s="1297"/>
      <c r="AH961" s="1298">
        <v>400000</v>
      </c>
      <c r="AI961" s="1087">
        <f t="shared" ref="AI961:AI970" si="87">AH961*Q961*0.5</f>
        <v>780000</v>
      </c>
      <c r="AJ961" s="1299"/>
      <c r="AK961" s="1300">
        <v>3000</v>
      </c>
      <c r="AL961" s="1090">
        <f t="shared" si="85"/>
        <v>3000</v>
      </c>
      <c r="AM961" s="1297"/>
      <c r="AN961" s="1297"/>
      <c r="AO961" s="1298"/>
      <c r="AP961" s="1301"/>
      <c r="AQ961" s="1298"/>
      <c r="AR961" s="1301"/>
      <c r="AS961" s="1301"/>
      <c r="AT961" s="1297"/>
      <c r="AU961" s="1299"/>
      <c r="AV961" s="1067"/>
    </row>
    <row r="962" spans="1:48" ht="16.5" customHeight="1">
      <c r="A962" s="1082"/>
      <c r="B962" s="1038" t="s">
        <v>8</v>
      </c>
      <c r="C962" s="1083" t="s">
        <v>1639</v>
      </c>
      <c r="D962" s="1038"/>
      <c r="E962" s="1083"/>
      <c r="F962" s="1560"/>
      <c r="G962" s="1038"/>
      <c r="H962" s="1077"/>
      <c r="I962" s="1127"/>
      <c r="J962" s="1128"/>
      <c r="K962" s="1067"/>
      <c r="L962" s="1139"/>
      <c r="M962" s="1128"/>
      <c r="N962" s="1038" t="s">
        <v>8</v>
      </c>
      <c r="O962" s="1293" t="s">
        <v>17</v>
      </c>
      <c r="P962" s="1081">
        <v>1</v>
      </c>
      <c r="Q962" s="1075"/>
      <c r="R962" s="1074"/>
      <c r="S962" s="1074" t="s">
        <v>15</v>
      </c>
      <c r="T962" s="1069"/>
      <c r="U962" s="1184">
        <v>5</v>
      </c>
      <c r="V962" s="1185" t="s">
        <v>227</v>
      </c>
      <c r="W962" s="1079">
        <v>5</v>
      </c>
      <c r="X962" s="1078"/>
      <c r="Y962" s="1039"/>
      <c r="Z962" s="1183">
        <f t="shared" si="86"/>
        <v>5</v>
      </c>
      <c r="AA962" s="1074"/>
      <c r="AB962" s="1126"/>
      <c r="AC962" s="1073"/>
      <c r="AD962" s="1084"/>
      <c r="AE962" s="1062"/>
      <c r="AF962" s="1296"/>
      <c r="AG962" s="1297"/>
      <c r="AH962" s="1298">
        <v>2500000</v>
      </c>
      <c r="AI962" s="1087">
        <f>AH962*P962*0.5</f>
        <v>1250000</v>
      </c>
      <c r="AJ962" s="1299"/>
      <c r="AK962" s="1300"/>
      <c r="AL962" s="1090">
        <f t="shared" si="85"/>
        <v>0</v>
      </c>
      <c r="AM962" s="1297"/>
      <c r="AN962" s="1297"/>
      <c r="AO962" s="1298"/>
      <c r="AP962" s="1301"/>
      <c r="AQ962" s="1298"/>
      <c r="AR962" s="1301"/>
      <c r="AS962" s="1301"/>
      <c r="AT962" s="1297"/>
      <c r="AU962" s="1299"/>
      <c r="AV962" s="1067"/>
    </row>
    <row r="963" spans="1:48" ht="16.5" customHeight="1">
      <c r="A963" s="1082"/>
      <c r="B963" s="1038"/>
      <c r="C963" s="1083"/>
      <c r="D963" s="1038"/>
      <c r="E963" s="1083"/>
      <c r="F963" s="1560"/>
      <c r="G963" s="1038"/>
      <c r="H963" s="1077"/>
      <c r="I963" s="1127"/>
      <c r="J963" s="1128"/>
      <c r="K963" s="1067"/>
      <c r="L963" s="1139"/>
      <c r="M963" s="1128"/>
      <c r="N963" s="1038" t="s">
        <v>54</v>
      </c>
      <c r="O963" s="1293" t="s">
        <v>11</v>
      </c>
      <c r="P963" s="1081">
        <v>1</v>
      </c>
      <c r="Q963" s="1075"/>
      <c r="R963" s="1074"/>
      <c r="S963" s="1074"/>
      <c r="T963" s="1069"/>
      <c r="U963" s="1184">
        <v>6</v>
      </c>
      <c r="V963" s="1185" t="s">
        <v>81</v>
      </c>
      <c r="W963" s="1079">
        <v>50</v>
      </c>
      <c r="X963" s="1078"/>
      <c r="Y963" s="1039"/>
      <c r="Z963" s="1183">
        <f t="shared" si="86"/>
        <v>50</v>
      </c>
      <c r="AA963" s="1074"/>
      <c r="AB963" s="1126"/>
      <c r="AC963" s="1073"/>
      <c r="AD963" s="1084"/>
      <c r="AE963" s="1062"/>
      <c r="AF963" s="1296"/>
      <c r="AG963" s="1297"/>
      <c r="AH963" s="1298">
        <v>2500000</v>
      </c>
      <c r="AI963" s="1087">
        <f>AH963*P963*0.75</f>
        <v>1875000</v>
      </c>
      <c r="AJ963" s="1299"/>
      <c r="AK963" s="1300">
        <v>800</v>
      </c>
      <c r="AL963" s="1090">
        <f t="shared" si="85"/>
        <v>40000</v>
      </c>
      <c r="AM963" s="1297"/>
      <c r="AN963" s="1297"/>
      <c r="AO963" s="1298"/>
      <c r="AP963" s="1301"/>
      <c r="AQ963" s="1298"/>
      <c r="AR963" s="1301"/>
      <c r="AS963" s="1301"/>
      <c r="AT963" s="1297"/>
      <c r="AU963" s="1299"/>
      <c r="AV963" s="1067"/>
    </row>
    <row r="964" spans="1:48" ht="16.5" customHeight="1">
      <c r="A964" s="1082"/>
      <c r="B964" s="1038"/>
      <c r="C964" s="1083"/>
      <c r="D964" s="1038"/>
      <c r="E964" s="1083"/>
      <c r="F964" s="1560"/>
      <c r="G964" s="1038"/>
      <c r="H964" s="1077"/>
      <c r="I964" s="1127"/>
      <c r="J964" s="1128"/>
      <c r="K964" s="1067"/>
      <c r="L964" s="1139"/>
      <c r="M964" s="1128"/>
      <c r="N964" s="1038" t="s">
        <v>53</v>
      </c>
      <c r="O964" s="1293" t="s">
        <v>175</v>
      </c>
      <c r="P964" s="1081"/>
      <c r="Q964" s="1075">
        <v>90.7</v>
      </c>
      <c r="R964" s="1074"/>
      <c r="S964" s="1074"/>
      <c r="T964" s="1069"/>
      <c r="U964" s="1184">
        <v>7</v>
      </c>
      <c r="V964" s="1185" t="s">
        <v>83</v>
      </c>
      <c r="W964" s="1079">
        <v>15</v>
      </c>
      <c r="X964" s="1078"/>
      <c r="Y964" s="1039"/>
      <c r="Z964" s="1183">
        <f t="shared" si="86"/>
        <v>15</v>
      </c>
      <c r="AA964" s="1074"/>
      <c r="AB964" s="1126"/>
      <c r="AC964" s="1073"/>
      <c r="AD964" s="1084"/>
      <c r="AE964" s="1062"/>
      <c r="AF964" s="1296"/>
      <c r="AG964" s="1297"/>
      <c r="AH964" s="1298">
        <v>300000</v>
      </c>
      <c r="AI964" s="1087">
        <f t="shared" si="87"/>
        <v>13605000</v>
      </c>
      <c r="AJ964" s="1299"/>
      <c r="AK964" s="1300">
        <v>3000</v>
      </c>
      <c r="AL964" s="1090">
        <f t="shared" si="85"/>
        <v>45000</v>
      </c>
      <c r="AM964" s="1297"/>
      <c r="AN964" s="1297"/>
      <c r="AO964" s="1298"/>
      <c r="AP964" s="1301"/>
      <c r="AQ964" s="1298"/>
      <c r="AR964" s="1301"/>
      <c r="AS964" s="1301"/>
      <c r="AT964" s="1297"/>
      <c r="AU964" s="1299"/>
      <c r="AV964" s="1067"/>
    </row>
    <row r="965" spans="1:48" ht="16.5" customHeight="1">
      <c r="A965" s="1082"/>
      <c r="B965" s="1038"/>
      <c r="C965" s="1083"/>
      <c r="D965" s="1038"/>
      <c r="E965" s="1083"/>
      <c r="F965" s="1560"/>
      <c r="G965" s="1038"/>
      <c r="H965" s="1077"/>
      <c r="I965" s="1127"/>
      <c r="J965" s="1128"/>
      <c r="K965" s="1067"/>
      <c r="L965" s="1139"/>
      <c r="M965" s="1128"/>
      <c r="N965" s="1038" t="s">
        <v>51</v>
      </c>
      <c r="O965" s="1293" t="s">
        <v>191</v>
      </c>
      <c r="P965" s="1081"/>
      <c r="Q965" s="1075">
        <v>32.5</v>
      </c>
      <c r="R965" s="1074"/>
      <c r="S965" s="1074"/>
      <c r="T965" s="1069"/>
      <c r="U965" s="1184">
        <v>8</v>
      </c>
      <c r="V965" s="1185" t="s">
        <v>826</v>
      </c>
      <c r="W965" s="1079">
        <v>3</v>
      </c>
      <c r="X965" s="1078"/>
      <c r="Y965" s="1039"/>
      <c r="Z965" s="1183">
        <f t="shared" si="86"/>
        <v>3</v>
      </c>
      <c r="AA965" s="1074"/>
      <c r="AB965" s="1126"/>
      <c r="AC965" s="1073"/>
      <c r="AD965" s="1084"/>
      <c r="AE965" s="1062"/>
      <c r="AF965" s="1296"/>
      <c r="AG965" s="1297"/>
      <c r="AH965" s="1298">
        <v>430000</v>
      </c>
      <c r="AI965" s="1087">
        <f t="shared" si="87"/>
        <v>6987500</v>
      </c>
      <c r="AJ965" s="1299"/>
      <c r="AK965" s="1089">
        <v>2645</v>
      </c>
      <c r="AL965" s="1090">
        <f t="shared" si="85"/>
        <v>7935</v>
      </c>
      <c r="AM965" s="1297"/>
      <c r="AN965" s="1297"/>
      <c r="AO965" s="1298"/>
      <c r="AP965" s="1301"/>
      <c r="AQ965" s="1298"/>
      <c r="AR965" s="1301"/>
      <c r="AS965" s="1301"/>
      <c r="AT965" s="1297"/>
      <c r="AU965" s="1299"/>
      <c r="AV965" s="1067"/>
    </row>
    <row r="966" spans="1:48" ht="16.5" customHeight="1">
      <c r="A966" s="1098"/>
      <c r="B966" s="1095"/>
      <c r="C966" s="1186"/>
      <c r="D966" s="1095"/>
      <c r="E966" s="1186"/>
      <c r="F966" s="1563"/>
      <c r="G966" s="1095"/>
      <c r="H966" s="1151"/>
      <c r="I966" s="1152"/>
      <c r="J966" s="1153"/>
      <c r="K966" s="1101"/>
      <c r="L966" s="1154"/>
      <c r="M966" s="1153"/>
      <c r="N966" s="1095"/>
      <c r="O966" s="1105"/>
      <c r="P966" s="1109"/>
      <c r="Q966" s="1108"/>
      <c r="R966" s="1094"/>
      <c r="S966" s="1094"/>
      <c r="T966" s="1103"/>
      <c r="U966" s="1188"/>
      <c r="V966" s="1189"/>
      <c r="W966" s="1111"/>
      <c r="X966" s="1110"/>
      <c r="Y966" s="1096"/>
      <c r="Z966" s="1166"/>
      <c r="AA966" s="1094"/>
      <c r="AB966" s="1156"/>
      <c r="AC966" s="1107"/>
      <c r="AD966" s="1114"/>
      <c r="AE966" s="1093"/>
      <c r="AF966" s="1305"/>
      <c r="AG966" s="1306"/>
      <c r="AH966" s="1307"/>
      <c r="AI966" s="1307"/>
      <c r="AJ966" s="1308"/>
      <c r="AK966" s="1309"/>
      <c r="AL966" s="1120"/>
      <c r="AM966" s="1306"/>
      <c r="AN966" s="1306"/>
      <c r="AO966" s="1307"/>
      <c r="AP966" s="1310"/>
      <c r="AQ966" s="1307"/>
      <c r="AR966" s="1310"/>
      <c r="AS966" s="1310"/>
      <c r="AT966" s="1306"/>
      <c r="AU966" s="1308"/>
      <c r="AV966" s="1101"/>
    </row>
    <row r="967" spans="1:48" ht="16.5" customHeight="1">
      <c r="A967" s="1269">
        <v>71</v>
      </c>
      <c r="B967" s="1033" t="s">
        <v>25</v>
      </c>
      <c r="C967" s="1036" t="s">
        <v>1638</v>
      </c>
      <c r="D967" s="1033"/>
      <c r="E967" s="1036"/>
      <c r="F967" s="1559" t="s">
        <v>1637</v>
      </c>
      <c r="G967" s="1272" t="s">
        <v>25</v>
      </c>
      <c r="H967" s="1173" t="s">
        <v>1540</v>
      </c>
      <c r="I967" s="1275">
        <v>310</v>
      </c>
      <c r="J967" s="1175" t="s">
        <v>41</v>
      </c>
      <c r="K967" s="1041" t="s">
        <v>1636</v>
      </c>
      <c r="L967" s="1279"/>
      <c r="M967" s="1054"/>
      <c r="N967" s="1035" t="s">
        <v>25</v>
      </c>
      <c r="O967" s="1190" t="s">
        <v>26</v>
      </c>
      <c r="P967" s="1054"/>
      <c r="Q967" s="1048">
        <v>97.5</v>
      </c>
      <c r="R967" s="1034"/>
      <c r="S967" s="1034" t="s">
        <v>15</v>
      </c>
      <c r="T967" s="1053"/>
      <c r="U967" s="1180">
        <v>1</v>
      </c>
      <c r="V967" s="1047" t="s">
        <v>808</v>
      </c>
      <c r="W967" s="1052"/>
      <c r="X967" s="1051">
        <v>10</v>
      </c>
      <c r="Y967" s="1036"/>
      <c r="Z967" s="1203">
        <f t="shared" ref="Z967:Z972" si="88">SUM(W967:Y967)</f>
        <v>10</v>
      </c>
      <c r="AA967" s="1034"/>
      <c r="AB967" s="1050"/>
      <c r="AC967" s="1047"/>
      <c r="AD967" s="1180"/>
      <c r="AE967" s="1049"/>
      <c r="AF967" s="1333">
        <f>Resum!F1</f>
        <v>356000</v>
      </c>
      <c r="AG967" s="1057">
        <f>AF967*I967</f>
        <v>110360000</v>
      </c>
      <c r="AH967" s="1334">
        <v>2530000</v>
      </c>
      <c r="AI967" s="1058">
        <f>AH967*Q967*0.8</f>
        <v>197340000</v>
      </c>
      <c r="AJ967" s="1335">
        <f>SUM(AI967:AI972)</f>
        <v>212231875</v>
      </c>
      <c r="AK967" s="1060">
        <v>82500</v>
      </c>
      <c r="AL967" s="1061">
        <f>AK967*X967</f>
        <v>825000</v>
      </c>
      <c r="AM967" s="1337">
        <f>SUM(AL967:AL972)</f>
        <v>1484750</v>
      </c>
      <c r="AN967" s="1057">
        <f>AM967+AJ967+AG967</f>
        <v>324076625</v>
      </c>
      <c r="AO967" s="1334">
        <f>250000*30*3</f>
        <v>22500000</v>
      </c>
      <c r="AP967" s="1548">
        <f>(AG967+AI967)*15%</f>
        <v>46155000</v>
      </c>
      <c r="AQ967" s="1058">
        <f>(AG967+AI967)*1%</f>
        <v>3077000</v>
      </c>
      <c r="AR967" s="1548">
        <f>(AG967+AI967)*5%</f>
        <v>15385000</v>
      </c>
      <c r="AS967" s="1058">
        <f>0.5%*(AG967+AI967)*(3)</f>
        <v>4615500</v>
      </c>
      <c r="AT967" s="1057">
        <f>+AS967+AR967+AQ967+AP967+AO967</f>
        <v>91732500</v>
      </c>
      <c r="AU967" s="2015">
        <f>ROUND(AT967+AN967,-3)</f>
        <v>415809000</v>
      </c>
      <c r="AV967" s="1302"/>
    </row>
    <row r="968" spans="1:48" ht="16.5" customHeight="1">
      <c r="A968" s="1082"/>
      <c r="B968" s="1038" t="s">
        <v>16</v>
      </c>
      <c r="C968" s="1071" t="s">
        <v>1635</v>
      </c>
      <c r="D968" s="1038"/>
      <c r="E968" s="1071"/>
      <c r="F968" s="1560"/>
      <c r="G968" s="1038" t="s">
        <v>16</v>
      </c>
      <c r="H968" s="1074" t="s">
        <v>22</v>
      </c>
      <c r="I968" s="1127"/>
      <c r="J968" s="1128"/>
      <c r="K968" s="1067"/>
      <c r="L968" s="1235"/>
      <c r="M968" s="1081"/>
      <c r="N968" s="1038" t="s">
        <v>16</v>
      </c>
      <c r="O968" s="1293" t="s">
        <v>21</v>
      </c>
      <c r="P968" s="1081"/>
      <c r="Q968" s="1075">
        <v>11</v>
      </c>
      <c r="R968" s="1074"/>
      <c r="S968" s="1074"/>
      <c r="T968" s="1075"/>
      <c r="U968" s="1091">
        <v>2</v>
      </c>
      <c r="V968" s="1185" t="s">
        <v>227</v>
      </c>
      <c r="W968" s="1079">
        <v>525</v>
      </c>
      <c r="X968" s="1078"/>
      <c r="Y968" s="1039"/>
      <c r="Z968" s="1134">
        <f t="shared" si="88"/>
        <v>525</v>
      </c>
      <c r="AA968" s="1074"/>
      <c r="AB968" s="1077"/>
      <c r="AC968" s="1073"/>
      <c r="AD968" s="1091"/>
      <c r="AE968" s="1076"/>
      <c r="AF968" s="1296"/>
      <c r="AG968" s="1297"/>
      <c r="AH968" s="1298">
        <v>350000</v>
      </c>
      <c r="AI968" s="1087">
        <f>AH968*Q968*0.75</f>
        <v>2887500</v>
      </c>
      <c r="AJ968" s="1299"/>
      <c r="AK968" s="1300"/>
      <c r="AL968" s="1090">
        <f t="shared" si="85"/>
        <v>0</v>
      </c>
      <c r="AM968" s="1297"/>
      <c r="AN968" s="1297"/>
      <c r="AO968" s="1298"/>
      <c r="AP968" s="1301"/>
      <c r="AQ968" s="1298"/>
      <c r="AR968" s="1301"/>
      <c r="AS968" s="1301"/>
      <c r="AT968" s="1297"/>
      <c r="AU968" s="1299"/>
      <c r="AV968" s="1302"/>
    </row>
    <row r="969" spans="1:48" ht="16.5" customHeight="1">
      <c r="A969" s="1082"/>
      <c r="B969" s="1038" t="s">
        <v>18</v>
      </c>
      <c r="C969" s="1039" t="s">
        <v>124</v>
      </c>
      <c r="D969" s="1038"/>
      <c r="E969" s="1039"/>
      <c r="F969" s="1560"/>
      <c r="G969" s="1038" t="s">
        <v>18</v>
      </c>
      <c r="H969" s="1074" t="s">
        <v>19</v>
      </c>
      <c r="I969" s="1127"/>
      <c r="J969" s="1128"/>
      <c r="K969" s="1067"/>
      <c r="L969" s="1235"/>
      <c r="M969" s="1081"/>
      <c r="N969" s="1038" t="s">
        <v>18</v>
      </c>
      <c r="O969" s="1191" t="s">
        <v>59</v>
      </c>
      <c r="P969" s="1081"/>
      <c r="Q969" s="1075">
        <v>53</v>
      </c>
      <c r="R969" s="1074"/>
      <c r="S969" s="1074"/>
      <c r="T969" s="1075"/>
      <c r="U969" s="1091">
        <v>3</v>
      </c>
      <c r="V969" s="1185" t="s">
        <v>144</v>
      </c>
      <c r="W969" s="1079"/>
      <c r="X969" s="1078">
        <v>15</v>
      </c>
      <c r="Y969" s="1039"/>
      <c r="Z969" s="1134">
        <f t="shared" si="88"/>
        <v>15</v>
      </c>
      <c r="AA969" s="1074"/>
      <c r="AB969" s="1077"/>
      <c r="AC969" s="1073"/>
      <c r="AD969" s="1091"/>
      <c r="AE969" s="1076"/>
      <c r="AF969" s="1296"/>
      <c r="AG969" s="1297"/>
      <c r="AH969" s="1087">
        <v>180000</v>
      </c>
      <c r="AI969" s="1087">
        <f t="shared" si="87"/>
        <v>4770000</v>
      </c>
      <c r="AJ969" s="1299"/>
      <c r="AK969" s="1300">
        <v>13250</v>
      </c>
      <c r="AL969" s="1090">
        <f>AK969*X969</f>
        <v>198750</v>
      </c>
      <c r="AM969" s="1297"/>
      <c r="AN969" s="1297"/>
      <c r="AO969" s="1298"/>
      <c r="AP969" s="1301"/>
      <c r="AQ969" s="1298"/>
      <c r="AR969" s="1301"/>
      <c r="AS969" s="1301"/>
      <c r="AT969" s="1297"/>
      <c r="AU969" s="1299"/>
      <c r="AV969" s="1302"/>
    </row>
    <row r="970" spans="1:48" ht="49.5" customHeight="1">
      <c r="A970" s="1082"/>
      <c r="B970" s="1082" t="s">
        <v>12</v>
      </c>
      <c r="C970" s="1083" t="s">
        <v>210</v>
      </c>
      <c r="D970" s="1082"/>
      <c r="E970" s="1083"/>
      <c r="F970" s="1560"/>
      <c r="G970" s="1038"/>
      <c r="H970" s="1077"/>
      <c r="I970" s="1127"/>
      <c r="J970" s="1128"/>
      <c r="K970" s="1067"/>
      <c r="L970" s="1235"/>
      <c r="M970" s="1081"/>
      <c r="N970" s="1038" t="s">
        <v>12</v>
      </c>
      <c r="O970" s="1293" t="s">
        <v>199</v>
      </c>
      <c r="P970" s="1081"/>
      <c r="Q970" s="1075">
        <v>15.75</v>
      </c>
      <c r="R970" s="1074"/>
      <c r="S970" s="1074"/>
      <c r="T970" s="1075"/>
      <c r="U970" s="1091">
        <v>4</v>
      </c>
      <c r="V970" s="1185" t="s">
        <v>137</v>
      </c>
      <c r="W970" s="1079"/>
      <c r="X970" s="1078">
        <v>5</v>
      </c>
      <c r="Y970" s="1039"/>
      <c r="Z970" s="1134">
        <f t="shared" si="88"/>
        <v>5</v>
      </c>
      <c r="AA970" s="1074"/>
      <c r="AB970" s="1077"/>
      <c r="AC970" s="1073"/>
      <c r="AD970" s="1091"/>
      <c r="AE970" s="1076"/>
      <c r="AF970" s="1296"/>
      <c r="AG970" s="1297"/>
      <c r="AH970" s="1298">
        <v>125000</v>
      </c>
      <c r="AI970" s="1087">
        <f t="shared" si="87"/>
        <v>984375</v>
      </c>
      <c r="AJ970" s="1299"/>
      <c r="AK970" s="1300">
        <v>82500</v>
      </c>
      <c r="AL970" s="1090">
        <f>AK970*X970</f>
        <v>412500</v>
      </c>
      <c r="AM970" s="1297"/>
      <c r="AN970" s="1297"/>
      <c r="AO970" s="1298"/>
      <c r="AP970" s="1301"/>
      <c r="AQ970" s="1298"/>
      <c r="AR970" s="1301"/>
      <c r="AS970" s="1301"/>
      <c r="AT970" s="1297"/>
      <c r="AU970" s="1299"/>
      <c r="AV970" s="1302"/>
    </row>
    <row r="971" spans="1:48" ht="16.5" customHeight="1">
      <c r="A971" s="1082"/>
      <c r="B971" s="1082" t="s">
        <v>8</v>
      </c>
      <c r="C971" s="1083" t="s">
        <v>1634</v>
      </c>
      <c r="D971" s="1082"/>
      <c r="E971" s="1083"/>
      <c r="F971" s="1560"/>
      <c r="G971" s="1038"/>
      <c r="H971" s="1077"/>
      <c r="I971" s="1127"/>
      <c r="J971" s="1128"/>
      <c r="K971" s="1067"/>
      <c r="L971" s="1235"/>
      <c r="M971" s="1081"/>
      <c r="N971" s="1038" t="s">
        <v>8</v>
      </c>
      <c r="O971" s="1293" t="s">
        <v>17</v>
      </c>
      <c r="P971" s="1081">
        <v>2</v>
      </c>
      <c r="Q971" s="1075"/>
      <c r="R971" s="1074"/>
      <c r="S971" s="1074"/>
      <c r="T971" s="1075"/>
      <c r="U971" s="1091">
        <v>5</v>
      </c>
      <c r="V971" s="1185" t="s">
        <v>1633</v>
      </c>
      <c r="W971" s="1079">
        <v>10</v>
      </c>
      <c r="X971" s="1078"/>
      <c r="Y971" s="1039"/>
      <c r="Z971" s="1134">
        <f t="shared" si="88"/>
        <v>10</v>
      </c>
      <c r="AA971" s="1074"/>
      <c r="AB971" s="1077"/>
      <c r="AC971" s="1073"/>
      <c r="AD971" s="1091"/>
      <c r="AE971" s="1076"/>
      <c r="AF971" s="1296"/>
      <c r="AG971" s="1297"/>
      <c r="AH971" s="1298">
        <v>2500000</v>
      </c>
      <c r="AI971" s="1087">
        <f>AH971*P971*0.5</f>
        <v>2500000</v>
      </c>
      <c r="AJ971" s="1299"/>
      <c r="AK971" s="1300">
        <v>4250</v>
      </c>
      <c r="AL971" s="1090">
        <f t="shared" si="85"/>
        <v>42500</v>
      </c>
      <c r="AM971" s="1297"/>
      <c r="AN971" s="1297"/>
      <c r="AO971" s="1298"/>
      <c r="AP971" s="1301"/>
      <c r="AQ971" s="1298"/>
      <c r="AR971" s="1301"/>
      <c r="AS971" s="1301"/>
      <c r="AT971" s="1297"/>
      <c r="AU971" s="1299"/>
      <c r="AV971" s="1302"/>
    </row>
    <row r="972" spans="1:48" ht="16.5" customHeight="1">
      <c r="A972" s="1082"/>
      <c r="B972" s="1082"/>
      <c r="C972" s="1083"/>
      <c r="D972" s="1082"/>
      <c r="E972" s="1083"/>
      <c r="F972" s="1560"/>
      <c r="G972" s="1038"/>
      <c r="H972" s="1077"/>
      <c r="I972" s="1127"/>
      <c r="J972" s="1128"/>
      <c r="K972" s="1067"/>
      <c r="L972" s="1235"/>
      <c r="M972" s="1081"/>
      <c r="N972" s="1038" t="s">
        <v>54</v>
      </c>
      <c r="O972" s="1293" t="s">
        <v>11</v>
      </c>
      <c r="P972" s="1081">
        <v>2</v>
      </c>
      <c r="Q972" s="1075"/>
      <c r="R972" s="1074"/>
      <c r="S972" s="1074"/>
      <c r="T972" s="1075"/>
      <c r="U972" s="1091">
        <v>6</v>
      </c>
      <c r="V972" s="1185" t="s">
        <v>944</v>
      </c>
      <c r="W972" s="1079">
        <v>10</v>
      </c>
      <c r="X972" s="1078"/>
      <c r="Y972" s="1039"/>
      <c r="Z972" s="1134">
        <f t="shared" si="88"/>
        <v>10</v>
      </c>
      <c r="AA972" s="1074"/>
      <c r="AB972" s="1077"/>
      <c r="AC972" s="1073"/>
      <c r="AD972" s="1091"/>
      <c r="AE972" s="1076"/>
      <c r="AF972" s="1296"/>
      <c r="AG972" s="1297"/>
      <c r="AH972" s="1298">
        <v>2500000</v>
      </c>
      <c r="AI972" s="1087">
        <f>AH972*P972*0.75</f>
        <v>3750000</v>
      </c>
      <c r="AJ972" s="1299"/>
      <c r="AK972" s="1300">
        <v>600</v>
      </c>
      <c r="AL972" s="1090">
        <f t="shared" si="85"/>
        <v>6000</v>
      </c>
      <c r="AM972" s="1297"/>
      <c r="AN972" s="1297"/>
      <c r="AO972" s="1298"/>
      <c r="AP972" s="1301"/>
      <c r="AQ972" s="1298"/>
      <c r="AR972" s="1301"/>
      <c r="AS972" s="1301"/>
      <c r="AT972" s="1297"/>
      <c r="AU972" s="1299"/>
      <c r="AV972" s="1302"/>
    </row>
    <row r="973" spans="1:48" ht="16.5" customHeight="1">
      <c r="A973" s="1098"/>
      <c r="B973" s="1095"/>
      <c r="C973" s="1186"/>
      <c r="D973" s="1095"/>
      <c r="E973" s="1186"/>
      <c r="F973" s="1563"/>
      <c r="G973" s="1095"/>
      <c r="H973" s="1151"/>
      <c r="I973" s="1152"/>
      <c r="J973" s="1153"/>
      <c r="K973" s="1101"/>
      <c r="L973" s="1287"/>
      <c r="M973" s="1113"/>
      <c r="N973" s="1095"/>
      <c r="O973" s="1105"/>
      <c r="P973" s="1109"/>
      <c r="Q973" s="1108"/>
      <c r="R973" s="1094"/>
      <c r="S973" s="1094"/>
      <c r="T973" s="1168"/>
      <c r="U973" s="1109"/>
      <c r="V973" s="1108"/>
      <c r="W973" s="1111"/>
      <c r="X973" s="1110"/>
      <c r="Y973" s="1096"/>
      <c r="Z973" s="1286"/>
      <c r="AA973" s="1094"/>
      <c r="AB973" s="1151"/>
      <c r="AC973" s="1107"/>
      <c r="AD973" s="1109"/>
      <c r="AE973" s="1108"/>
      <c r="AF973" s="1305"/>
      <c r="AG973" s="1306"/>
      <c r="AH973" s="1307"/>
      <c r="AI973" s="1307"/>
      <c r="AJ973" s="1308"/>
      <c r="AK973" s="1119"/>
      <c r="AL973" s="1120"/>
      <c r="AM973" s="1306"/>
      <c r="AN973" s="1306"/>
      <c r="AO973" s="1307"/>
      <c r="AP973" s="1310"/>
      <c r="AQ973" s="1307"/>
      <c r="AR973" s="1310"/>
      <c r="AS973" s="1310"/>
      <c r="AT973" s="1306"/>
      <c r="AU973" s="1308"/>
      <c r="AV973" s="1302"/>
    </row>
    <row r="974" spans="1:48" s="1498" customFormat="1" ht="16.5" customHeight="1">
      <c r="A974" s="2020">
        <v>72</v>
      </c>
      <c r="B974" s="2021" t="s">
        <v>25</v>
      </c>
      <c r="C974" s="1422" t="s">
        <v>1632</v>
      </c>
      <c r="D974" s="2021"/>
      <c r="E974" s="1422"/>
      <c r="F974" s="1421" t="s">
        <v>1631</v>
      </c>
      <c r="G974" s="2022" t="s">
        <v>25</v>
      </c>
      <c r="H974" s="1438" t="s">
        <v>1540</v>
      </c>
      <c r="I974" s="2023">
        <v>576.33500000000004</v>
      </c>
      <c r="J974" s="1427" t="s">
        <v>41</v>
      </c>
      <c r="K974" s="1577" t="s">
        <v>1630</v>
      </c>
      <c r="L974" s="1426" t="s">
        <v>46</v>
      </c>
      <c r="M974" s="2024" t="s">
        <v>46</v>
      </c>
      <c r="N974" s="1419" t="s">
        <v>25</v>
      </c>
      <c r="O974" s="1571" t="s">
        <v>26</v>
      </c>
      <c r="P974" s="1572">
        <v>1</v>
      </c>
      <c r="Q974" s="1448">
        <v>262</v>
      </c>
      <c r="R974" s="1573"/>
      <c r="S974" s="1430"/>
      <c r="T974" s="1574"/>
      <c r="U974" s="1501">
        <v>1</v>
      </c>
      <c r="V974" s="1439" t="s">
        <v>14</v>
      </c>
      <c r="W974" s="1509">
        <v>6</v>
      </c>
      <c r="X974" s="1510"/>
      <c r="Y974" s="1422">
        <v>6</v>
      </c>
      <c r="Z974" s="1575">
        <f t="shared" ref="Z974:Z981" si="89">SUM(W974:Y974)</f>
        <v>12</v>
      </c>
      <c r="AA974" s="1573"/>
      <c r="AB974" s="1438"/>
      <c r="AC974" s="1439"/>
      <c r="AD974" s="1440"/>
      <c r="AE974" s="1441"/>
      <c r="AF974" s="1442">
        <v>0</v>
      </c>
      <c r="AG974" s="1409">
        <f>AF974*I974</f>
        <v>0</v>
      </c>
      <c r="AH974" s="1444"/>
      <c r="AI974" s="1444"/>
      <c r="AJ974" s="1445"/>
      <c r="AK974" s="1446"/>
      <c r="AL974" s="1416">
        <f t="shared" si="85"/>
        <v>0</v>
      </c>
      <c r="AM974" s="1443">
        <f>SUM(AL974:AL981)</f>
        <v>0</v>
      </c>
      <c r="AN974" s="1409">
        <f>AM974+AJ974+AG974</f>
        <v>0</v>
      </c>
      <c r="AO974" s="1444"/>
      <c r="AP974" s="1415">
        <f>AI975*15%</f>
        <v>0</v>
      </c>
      <c r="AQ974" s="1416">
        <f>(AG974+AI974)*1%</f>
        <v>0</v>
      </c>
      <c r="AR974" s="1415">
        <f>(AG974+AI974)*5%</f>
        <v>0</v>
      </c>
      <c r="AS974" s="1416">
        <f>0.5%*(AG974+AI974)*(3)</f>
        <v>0</v>
      </c>
      <c r="AT974" s="1409">
        <f>+AS974+AR974+AQ974+AP974+AO974</f>
        <v>0</v>
      </c>
      <c r="AU974" s="1417">
        <f>ROUND(AT974+AN974,-3)</f>
        <v>0</v>
      </c>
      <c r="AV974" s="1570"/>
    </row>
    <row r="975" spans="1:48" s="1498" customFormat="1" ht="33" customHeight="1">
      <c r="A975" s="1418"/>
      <c r="B975" s="1419" t="s">
        <v>16</v>
      </c>
      <c r="C975" s="1420" t="s">
        <v>1629</v>
      </c>
      <c r="D975" s="1419"/>
      <c r="E975" s="1420"/>
      <c r="F975" s="1421"/>
      <c r="G975" s="1419" t="s">
        <v>16</v>
      </c>
      <c r="H975" s="1430" t="s">
        <v>22</v>
      </c>
      <c r="I975" s="1576"/>
      <c r="J975" s="1427"/>
      <c r="K975" s="1577"/>
      <c r="L975" s="1426"/>
      <c r="M975" s="1427"/>
      <c r="N975" s="1419" t="s">
        <v>16</v>
      </c>
      <c r="O975" s="1571" t="s">
        <v>21</v>
      </c>
      <c r="P975" s="1572">
        <v>1</v>
      </c>
      <c r="Q975" s="1448">
        <v>15</v>
      </c>
      <c r="R975" s="1430"/>
      <c r="S975" s="1430"/>
      <c r="T975" s="1574"/>
      <c r="U975" s="1501">
        <v>2</v>
      </c>
      <c r="V975" s="1439" t="s">
        <v>137</v>
      </c>
      <c r="W975" s="1509"/>
      <c r="X975" s="1510"/>
      <c r="Y975" s="1422">
        <v>1</v>
      </c>
      <c r="Z975" s="1575">
        <f t="shared" si="89"/>
        <v>1</v>
      </c>
      <c r="AA975" s="1430"/>
      <c r="AB975" s="1438"/>
      <c r="AC975" s="1439"/>
      <c r="AD975" s="1440"/>
      <c r="AE975" s="1441"/>
      <c r="AF975" s="1442"/>
      <c r="AG975" s="1443"/>
      <c r="AH975" s="1444"/>
      <c r="AI975" s="1444"/>
      <c r="AJ975" s="1445"/>
      <c r="AK975" s="1451"/>
      <c r="AL975" s="1413">
        <f>AK975*Y975</f>
        <v>0</v>
      </c>
      <c r="AM975" s="1443"/>
      <c r="AN975" s="1443"/>
      <c r="AO975" s="1444"/>
      <c r="AP975" s="1447"/>
      <c r="AQ975" s="1444"/>
      <c r="AR975" s="1447"/>
      <c r="AS975" s="1447"/>
      <c r="AT975" s="1443"/>
      <c r="AU975" s="1445"/>
      <c r="AV975" s="1577"/>
    </row>
    <row r="976" spans="1:48" s="1498" customFormat="1" ht="16.5" customHeight="1">
      <c r="A976" s="1418"/>
      <c r="B976" s="1419" t="s">
        <v>18</v>
      </c>
      <c r="C976" s="1422" t="s">
        <v>124</v>
      </c>
      <c r="D976" s="1419"/>
      <c r="E976" s="1422"/>
      <c r="F976" s="1421"/>
      <c r="G976" s="1419" t="s">
        <v>18</v>
      </c>
      <c r="H976" s="1430" t="s">
        <v>19</v>
      </c>
      <c r="I976" s="1576"/>
      <c r="J976" s="1427"/>
      <c r="K976" s="1577"/>
      <c r="L976" s="1426"/>
      <c r="M976" s="1427"/>
      <c r="N976" s="1419" t="s">
        <v>18</v>
      </c>
      <c r="O976" s="1571" t="s">
        <v>17</v>
      </c>
      <c r="P976" s="1572">
        <v>1</v>
      </c>
      <c r="Q976" s="1448"/>
      <c r="R976" s="1430"/>
      <c r="S976" s="1430"/>
      <c r="T976" s="1574"/>
      <c r="U976" s="1501">
        <v>3</v>
      </c>
      <c r="V976" s="1439" t="s">
        <v>379</v>
      </c>
      <c r="W976" s="1509"/>
      <c r="X976" s="1510">
        <v>2</v>
      </c>
      <c r="Y976" s="1422"/>
      <c r="Z976" s="1575">
        <f t="shared" si="89"/>
        <v>2</v>
      </c>
      <c r="AA976" s="1430"/>
      <c r="AB976" s="1438"/>
      <c r="AC976" s="1439"/>
      <c r="AD976" s="1440"/>
      <c r="AE976" s="1441"/>
      <c r="AF976" s="1442"/>
      <c r="AG976" s="1443"/>
      <c r="AH976" s="1444"/>
      <c r="AI976" s="1444"/>
      <c r="AJ976" s="1445"/>
      <c r="AK976" s="1451"/>
      <c r="AL976" s="1413">
        <f>AK976*X976</f>
        <v>0</v>
      </c>
      <c r="AM976" s="1443"/>
      <c r="AN976" s="1443"/>
      <c r="AO976" s="1444"/>
      <c r="AP976" s="1447"/>
      <c r="AQ976" s="1444"/>
      <c r="AR976" s="1447"/>
      <c r="AS976" s="1447"/>
      <c r="AT976" s="1443"/>
      <c r="AU976" s="1445"/>
      <c r="AV976" s="1577"/>
    </row>
    <row r="977" spans="1:48" s="1498" customFormat="1" ht="49.5" customHeight="1">
      <c r="A977" s="1418"/>
      <c r="B977" s="1418" t="s">
        <v>12</v>
      </c>
      <c r="C977" s="1452" t="s">
        <v>98</v>
      </c>
      <c r="D977" s="1419"/>
      <c r="E977" s="1452"/>
      <c r="F977" s="1421"/>
      <c r="G977" s="1419"/>
      <c r="H977" s="1578"/>
      <c r="I977" s="1576"/>
      <c r="J977" s="1427"/>
      <c r="K977" s="1577"/>
      <c r="L977" s="1426"/>
      <c r="M977" s="1427"/>
      <c r="N977" s="1419" t="s">
        <v>12</v>
      </c>
      <c r="O977" s="1571" t="s">
        <v>11</v>
      </c>
      <c r="P977" s="1572">
        <v>1</v>
      </c>
      <c r="Q977" s="1448"/>
      <c r="R977" s="1430"/>
      <c r="S977" s="1430"/>
      <c r="T977" s="1574"/>
      <c r="U977" s="1501">
        <v>4</v>
      </c>
      <c r="V977" s="1439" t="s">
        <v>3</v>
      </c>
      <c r="W977" s="1509">
        <v>2</v>
      </c>
      <c r="X977" s="1510"/>
      <c r="Y977" s="1422"/>
      <c r="Z977" s="1575">
        <f t="shared" si="89"/>
        <v>2</v>
      </c>
      <c r="AA977" s="1430"/>
      <c r="AB977" s="1456"/>
      <c r="AC977" s="1448"/>
      <c r="AD977" s="1440"/>
      <c r="AE977" s="1441"/>
      <c r="AF977" s="1442"/>
      <c r="AG977" s="1443"/>
      <c r="AH977" s="1444"/>
      <c r="AI977" s="1444"/>
      <c r="AJ977" s="1445"/>
      <c r="AK977" s="1446"/>
      <c r="AL977" s="1413">
        <f t="shared" si="85"/>
        <v>0</v>
      </c>
      <c r="AM977" s="1443"/>
      <c r="AN977" s="1443"/>
      <c r="AO977" s="1444"/>
      <c r="AP977" s="1447"/>
      <c r="AQ977" s="1444"/>
      <c r="AR977" s="1447"/>
      <c r="AS977" s="1447"/>
      <c r="AT977" s="1443"/>
      <c r="AU977" s="1445"/>
      <c r="AV977" s="1577"/>
    </row>
    <row r="978" spans="1:48" s="1498" customFormat="1" ht="16.5" customHeight="1">
      <c r="A978" s="1418"/>
      <c r="B978" s="1418" t="s">
        <v>8</v>
      </c>
      <c r="C978" s="1452" t="s">
        <v>1628</v>
      </c>
      <c r="D978" s="1419"/>
      <c r="E978" s="1452"/>
      <c r="F978" s="1421"/>
      <c r="G978" s="1419"/>
      <c r="H978" s="1578"/>
      <c r="I978" s="1576"/>
      <c r="J978" s="1427"/>
      <c r="K978" s="1577"/>
      <c r="L978" s="1426"/>
      <c r="M978" s="1427"/>
      <c r="N978" s="1419" t="s">
        <v>8</v>
      </c>
      <c r="O978" s="1571" t="s">
        <v>1662</v>
      </c>
      <c r="P978" s="1572">
        <v>1</v>
      </c>
      <c r="Q978" s="1448">
        <v>118</v>
      </c>
      <c r="R978" s="1430"/>
      <c r="S978" s="1430"/>
      <c r="T978" s="1574"/>
      <c r="U978" s="1501">
        <v>5</v>
      </c>
      <c r="V978" s="1439" t="s">
        <v>808</v>
      </c>
      <c r="W978" s="1509"/>
      <c r="X978" s="1510"/>
      <c r="Y978" s="1422">
        <v>17</v>
      </c>
      <c r="Z978" s="1575">
        <f t="shared" si="89"/>
        <v>17</v>
      </c>
      <c r="AA978" s="1430"/>
      <c r="AB978" s="1456"/>
      <c r="AC978" s="1448"/>
      <c r="AD978" s="1440"/>
      <c r="AE978" s="1441"/>
      <c r="AF978" s="1442"/>
      <c r="AG978" s="1443"/>
      <c r="AH978" s="1444"/>
      <c r="AI978" s="1444"/>
      <c r="AJ978" s="1445"/>
      <c r="AK978" s="1446"/>
      <c r="AL978" s="1413">
        <f>AK978*Y978</f>
        <v>0</v>
      </c>
      <c r="AM978" s="1443"/>
      <c r="AN978" s="1443"/>
      <c r="AO978" s="1444"/>
      <c r="AP978" s="1447"/>
      <c r="AQ978" s="1444"/>
      <c r="AR978" s="1447"/>
      <c r="AS978" s="1447"/>
      <c r="AT978" s="1443"/>
      <c r="AU978" s="1445"/>
      <c r="AV978" s="1577"/>
    </row>
    <row r="979" spans="1:48" s="1498" customFormat="1" ht="33" customHeight="1">
      <c r="A979" s="1418"/>
      <c r="B979" s="1418"/>
      <c r="C979" s="1452"/>
      <c r="D979" s="1419"/>
      <c r="E979" s="1452"/>
      <c r="F979" s="1421"/>
      <c r="G979" s="1419"/>
      <c r="H979" s="1578"/>
      <c r="I979" s="1576"/>
      <c r="J979" s="1427"/>
      <c r="K979" s="1577"/>
      <c r="L979" s="1426"/>
      <c r="M979" s="1427"/>
      <c r="N979" s="1419"/>
      <c r="O979" s="1579"/>
      <c r="P979" s="1448"/>
      <c r="Q979" s="1448"/>
      <c r="R979" s="1430"/>
      <c r="S979" s="1430"/>
      <c r="T979" s="1574"/>
      <c r="U979" s="1501">
        <v>6</v>
      </c>
      <c r="V979" s="1439" t="s">
        <v>1627</v>
      </c>
      <c r="W979" s="1509">
        <v>14</v>
      </c>
      <c r="X979" s="1510"/>
      <c r="Y979" s="1422"/>
      <c r="Z979" s="1575">
        <f t="shared" si="89"/>
        <v>14</v>
      </c>
      <c r="AA979" s="1430"/>
      <c r="AB979" s="1456"/>
      <c r="AC979" s="1448"/>
      <c r="AD979" s="1440"/>
      <c r="AE979" s="1441"/>
      <c r="AF979" s="1442"/>
      <c r="AG979" s="1443"/>
      <c r="AH979" s="1444"/>
      <c r="AI979" s="1444"/>
      <c r="AJ979" s="1445"/>
      <c r="AK979" s="1451"/>
      <c r="AL979" s="1413">
        <f t="shared" si="85"/>
        <v>0</v>
      </c>
      <c r="AM979" s="1443"/>
      <c r="AN979" s="1443"/>
      <c r="AO979" s="1444"/>
      <c r="AP979" s="1447"/>
      <c r="AQ979" s="1444"/>
      <c r="AR979" s="1447"/>
      <c r="AS979" s="1447"/>
      <c r="AT979" s="1443"/>
      <c r="AU979" s="1445"/>
      <c r="AV979" s="1577"/>
    </row>
    <row r="980" spans="1:48" s="1498" customFormat="1" ht="16.5" customHeight="1">
      <c r="A980" s="1418"/>
      <c r="B980" s="1418"/>
      <c r="C980" s="1452"/>
      <c r="D980" s="1419"/>
      <c r="E980" s="1452"/>
      <c r="F980" s="1421"/>
      <c r="G980" s="1419"/>
      <c r="H980" s="1578"/>
      <c r="I980" s="1576"/>
      <c r="J980" s="1427"/>
      <c r="K980" s="1577"/>
      <c r="L980" s="1426"/>
      <c r="M980" s="1427"/>
      <c r="N980" s="1419"/>
      <c r="O980" s="1571"/>
      <c r="P980" s="1572"/>
      <c r="Q980" s="1448"/>
      <c r="R980" s="1430"/>
      <c r="S980" s="1430"/>
      <c r="T980" s="1574"/>
      <c r="U980" s="1501">
        <v>7</v>
      </c>
      <c r="V980" s="1439" t="s">
        <v>1626</v>
      </c>
      <c r="W980" s="1509">
        <v>2</v>
      </c>
      <c r="X980" s="1510"/>
      <c r="Y980" s="1422"/>
      <c r="Z980" s="1575">
        <f t="shared" si="89"/>
        <v>2</v>
      </c>
      <c r="AA980" s="1430"/>
      <c r="AB980" s="1456"/>
      <c r="AC980" s="1448"/>
      <c r="AD980" s="1440"/>
      <c r="AE980" s="1441"/>
      <c r="AF980" s="1442"/>
      <c r="AG980" s="1443"/>
      <c r="AH980" s="1444"/>
      <c r="AI980" s="1444"/>
      <c r="AJ980" s="1445"/>
      <c r="AK980" s="1451"/>
      <c r="AL980" s="1413">
        <f t="shared" si="85"/>
        <v>0</v>
      </c>
      <c r="AM980" s="1443"/>
      <c r="AN980" s="1443"/>
      <c r="AO980" s="1444"/>
      <c r="AP980" s="1447"/>
      <c r="AQ980" s="1444"/>
      <c r="AR980" s="1447"/>
      <c r="AS980" s="1447"/>
      <c r="AT980" s="1443"/>
      <c r="AU980" s="1445"/>
      <c r="AV980" s="1577"/>
    </row>
    <row r="981" spans="1:48" s="1498" customFormat="1" ht="16.5" customHeight="1">
      <c r="A981" s="1418"/>
      <c r="B981" s="1418"/>
      <c r="C981" s="1452"/>
      <c r="D981" s="1419"/>
      <c r="E981" s="1452"/>
      <c r="F981" s="1421"/>
      <c r="G981" s="1419"/>
      <c r="H981" s="1578"/>
      <c r="I981" s="1576"/>
      <c r="J981" s="1427"/>
      <c r="K981" s="1577"/>
      <c r="L981" s="1426"/>
      <c r="M981" s="1427"/>
      <c r="N981" s="1419"/>
      <c r="O981" s="1571"/>
      <c r="P981" s="1572"/>
      <c r="Q981" s="1448"/>
      <c r="R981" s="1430"/>
      <c r="S981" s="1430"/>
      <c r="T981" s="1574"/>
      <c r="U981" s="1501">
        <v>8</v>
      </c>
      <c r="V981" s="1439" t="s">
        <v>83</v>
      </c>
      <c r="W981" s="1509">
        <v>7</v>
      </c>
      <c r="X981" s="1510"/>
      <c r="Y981" s="1422"/>
      <c r="Z981" s="1575">
        <f t="shared" si="89"/>
        <v>7</v>
      </c>
      <c r="AA981" s="1430"/>
      <c r="AB981" s="1456"/>
      <c r="AC981" s="1448"/>
      <c r="AD981" s="1440"/>
      <c r="AE981" s="1441"/>
      <c r="AF981" s="1442"/>
      <c r="AG981" s="1443"/>
      <c r="AH981" s="1444"/>
      <c r="AI981" s="1444"/>
      <c r="AJ981" s="1445"/>
      <c r="AK981" s="1451"/>
      <c r="AL981" s="1413">
        <f t="shared" si="85"/>
        <v>0</v>
      </c>
      <c r="AM981" s="1443"/>
      <c r="AN981" s="1443"/>
      <c r="AO981" s="1444"/>
      <c r="AP981" s="1447"/>
      <c r="AQ981" s="1444"/>
      <c r="AR981" s="1447"/>
      <c r="AS981" s="1447"/>
      <c r="AT981" s="1443"/>
      <c r="AU981" s="1445"/>
      <c r="AV981" s="1577"/>
    </row>
    <row r="982" spans="1:48" s="1498" customFormat="1" ht="16.5" customHeight="1">
      <c r="A982" s="1418"/>
      <c r="B982" s="1418"/>
      <c r="C982" s="1452"/>
      <c r="D982" s="1419"/>
      <c r="E982" s="1452"/>
      <c r="F982" s="1421"/>
      <c r="G982" s="1419"/>
      <c r="H982" s="1578"/>
      <c r="I982" s="1576"/>
      <c r="J982" s="1427"/>
      <c r="K982" s="1577"/>
      <c r="L982" s="1426"/>
      <c r="M982" s="1427"/>
      <c r="N982" s="1419"/>
      <c r="O982" s="1571" t="s">
        <v>686</v>
      </c>
      <c r="P982" s="1572"/>
      <c r="Q982" s="1448"/>
      <c r="R982" s="1430"/>
      <c r="S982" s="1430"/>
      <c r="T982" s="1574"/>
      <c r="U982" s="1501"/>
      <c r="V982" s="1439"/>
      <c r="W982" s="1509"/>
      <c r="X982" s="1510"/>
      <c r="Y982" s="1422"/>
      <c r="Z982" s="1575"/>
      <c r="AA982" s="1430"/>
      <c r="AB982" s="1456"/>
      <c r="AC982" s="1448"/>
      <c r="AD982" s="1440"/>
      <c r="AE982" s="1441"/>
      <c r="AF982" s="1442"/>
      <c r="AG982" s="1443"/>
      <c r="AH982" s="1444"/>
      <c r="AI982" s="1444"/>
      <c r="AJ982" s="1445"/>
      <c r="AK982" s="1451"/>
      <c r="AL982" s="1413"/>
      <c r="AM982" s="1443"/>
      <c r="AN982" s="1443"/>
      <c r="AO982" s="1444"/>
      <c r="AP982" s="1447"/>
      <c r="AQ982" s="1444"/>
      <c r="AR982" s="1447"/>
      <c r="AS982" s="1447"/>
      <c r="AT982" s="1443"/>
      <c r="AU982" s="1445"/>
      <c r="AV982" s="1577"/>
    </row>
    <row r="983" spans="1:48" s="1498" customFormat="1" ht="16.5" customHeight="1">
      <c r="A983" s="1418"/>
      <c r="B983" s="1418"/>
      <c r="C983" s="1452"/>
      <c r="D983" s="1419"/>
      <c r="E983" s="1452"/>
      <c r="F983" s="1421"/>
      <c r="G983" s="1419"/>
      <c r="H983" s="1578"/>
      <c r="I983" s="1576"/>
      <c r="J983" s="1427"/>
      <c r="K983" s="1577"/>
      <c r="L983" s="1426"/>
      <c r="M983" s="1427"/>
      <c r="N983" s="1419" t="s">
        <v>25</v>
      </c>
      <c r="O983" s="1571" t="s">
        <v>26</v>
      </c>
      <c r="P983" s="1572">
        <v>1</v>
      </c>
      <c r="Q983" s="1448">
        <v>120</v>
      </c>
      <c r="R983" s="1430"/>
      <c r="S983" s="1430"/>
      <c r="T983" s="1574"/>
      <c r="U983" s="1501"/>
      <c r="V983" s="1439"/>
      <c r="W983" s="1509"/>
      <c r="X983" s="1510"/>
      <c r="Y983" s="1422"/>
      <c r="Z983" s="1575"/>
      <c r="AA983" s="1430"/>
      <c r="AB983" s="1456"/>
      <c r="AC983" s="1448"/>
      <c r="AD983" s="1440"/>
      <c r="AE983" s="1441"/>
      <c r="AF983" s="1442"/>
      <c r="AG983" s="1443"/>
      <c r="AH983" s="1444"/>
      <c r="AI983" s="1444"/>
      <c r="AJ983" s="1445"/>
      <c r="AK983" s="1451"/>
      <c r="AL983" s="1413"/>
      <c r="AM983" s="1443"/>
      <c r="AN983" s="1443"/>
      <c r="AO983" s="1444"/>
      <c r="AP983" s="1447"/>
      <c r="AQ983" s="1444"/>
      <c r="AR983" s="1447"/>
      <c r="AS983" s="1447"/>
      <c r="AT983" s="1443"/>
      <c r="AU983" s="1445"/>
      <c r="AV983" s="1577"/>
    </row>
    <row r="984" spans="1:48" s="1498" customFormat="1" ht="16.5" customHeight="1">
      <c r="A984" s="1418"/>
      <c r="B984" s="1418"/>
      <c r="C984" s="1452"/>
      <c r="D984" s="1419"/>
      <c r="E984" s="1452"/>
      <c r="F984" s="1421"/>
      <c r="G984" s="1419"/>
      <c r="H984" s="1578"/>
      <c r="I984" s="1576"/>
      <c r="J984" s="1427"/>
      <c r="K984" s="1577"/>
      <c r="L984" s="1426"/>
      <c r="M984" s="1427"/>
      <c r="N984" s="1419" t="s">
        <v>16</v>
      </c>
      <c r="O984" s="1571" t="s">
        <v>21</v>
      </c>
      <c r="P984" s="1572">
        <v>1</v>
      </c>
      <c r="Q984" s="1448">
        <v>5</v>
      </c>
      <c r="R984" s="1430"/>
      <c r="S984" s="1430"/>
      <c r="T984" s="1574"/>
      <c r="U984" s="1501"/>
      <c r="V984" s="1439"/>
      <c r="W984" s="1509"/>
      <c r="X984" s="1510"/>
      <c r="Y984" s="1422"/>
      <c r="Z984" s="1575"/>
      <c r="AA984" s="1430"/>
      <c r="AB984" s="1456"/>
      <c r="AC984" s="1448"/>
      <c r="AD984" s="1440"/>
      <c r="AE984" s="1441"/>
      <c r="AF984" s="1442"/>
      <c r="AG984" s="1443"/>
      <c r="AH984" s="1444"/>
      <c r="AI984" s="1444"/>
      <c r="AJ984" s="1445"/>
      <c r="AK984" s="1451"/>
      <c r="AL984" s="1413"/>
      <c r="AM984" s="1443"/>
      <c r="AN984" s="1443"/>
      <c r="AO984" s="1444"/>
      <c r="AP984" s="1447"/>
      <c r="AQ984" s="1444"/>
      <c r="AR984" s="1447"/>
      <c r="AS984" s="1447"/>
      <c r="AT984" s="1443"/>
      <c r="AU984" s="1445"/>
      <c r="AV984" s="1577"/>
    </row>
    <row r="985" spans="1:48" s="1498" customFormat="1" ht="16.5" customHeight="1">
      <c r="A985" s="1459"/>
      <c r="B985" s="1460"/>
      <c r="C985" s="1511"/>
      <c r="D985" s="1460"/>
      <c r="E985" s="1462"/>
      <c r="F985" s="1463"/>
      <c r="G985" s="1460"/>
      <c r="H985" s="1580"/>
      <c r="I985" s="1581"/>
      <c r="J985" s="1469"/>
      <c r="K985" s="1582"/>
      <c r="L985" s="1468"/>
      <c r="M985" s="1469"/>
      <c r="N985" s="1460"/>
      <c r="O985" s="1470"/>
      <c r="P985" s="1471"/>
      <c r="Q985" s="1472"/>
      <c r="R985" s="1473"/>
      <c r="S985" s="1473"/>
      <c r="T985" s="1583"/>
      <c r="U985" s="1580"/>
      <c r="V985" s="1584"/>
      <c r="W985" s="1519"/>
      <c r="X985" s="1520"/>
      <c r="Y985" s="1521"/>
      <c r="Z985" s="1585"/>
      <c r="AA985" s="1473"/>
      <c r="AB985" s="1479"/>
      <c r="AC985" s="1472"/>
      <c r="AD985" s="1480"/>
      <c r="AE985" s="1481"/>
      <c r="AF985" s="1482"/>
      <c r="AG985" s="1483"/>
      <c r="AH985" s="1484"/>
      <c r="AI985" s="1484"/>
      <c r="AJ985" s="1485"/>
      <c r="AK985" s="1525"/>
      <c r="AL985" s="1586"/>
      <c r="AM985" s="1483"/>
      <c r="AN985" s="1483"/>
      <c r="AO985" s="1484"/>
      <c r="AP985" s="1487"/>
      <c r="AQ985" s="1484"/>
      <c r="AR985" s="1487"/>
      <c r="AS985" s="1487"/>
      <c r="AT985" s="1483"/>
      <c r="AU985" s="1485"/>
      <c r="AV985" s="1582"/>
    </row>
    <row r="986" spans="1:48" ht="16.5" customHeight="1">
      <c r="A986" s="1351">
        <v>73</v>
      </c>
      <c r="B986" s="1122" t="s">
        <v>25</v>
      </c>
      <c r="C986" s="1039" t="s">
        <v>1625</v>
      </c>
      <c r="D986" s="1122"/>
      <c r="E986" s="1039"/>
      <c r="F986" s="1560" t="s">
        <v>1624</v>
      </c>
      <c r="G986" s="1243" t="s">
        <v>25</v>
      </c>
      <c r="H986" s="1126" t="s">
        <v>1540</v>
      </c>
      <c r="I986" s="1587">
        <v>596.15</v>
      </c>
      <c r="J986" s="1175" t="s">
        <v>41</v>
      </c>
      <c r="K986" s="1067" t="s">
        <v>1623</v>
      </c>
      <c r="L986" s="1129" t="s">
        <v>46</v>
      </c>
      <c r="M986" s="1352" t="s">
        <v>46</v>
      </c>
      <c r="N986" s="1035" t="s">
        <v>25</v>
      </c>
      <c r="O986" s="1190" t="s">
        <v>26</v>
      </c>
      <c r="P986" s="1081"/>
      <c r="Q986" s="1075">
        <v>70.23</v>
      </c>
      <c r="R986" s="1123"/>
      <c r="S986" s="1074" t="s">
        <v>15</v>
      </c>
      <c r="T986" s="1080"/>
      <c r="U986" s="1091">
        <v>1</v>
      </c>
      <c r="V986" s="1073" t="s">
        <v>344</v>
      </c>
      <c r="W986" s="1079">
        <v>2</v>
      </c>
      <c r="X986" s="1078"/>
      <c r="Y986" s="1039"/>
      <c r="Z986" s="1134">
        <f t="shared" ref="Z986:Z994" si="90">SUM(W986:Y986)</f>
        <v>2</v>
      </c>
      <c r="AA986" s="1123"/>
      <c r="AB986" s="1126"/>
      <c r="AC986" s="1073"/>
      <c r="AD986" s="1084"/>
      <c r="AE986" s="1062"/>
      <c r="AF986" s="1296">
        <f>Resum!F1</f>
        <v>356000</v>
      </c>
      <c r="AG986" s="1086">
        <f>AF986*I986</f>
        <v>212229400</v>
      </c>
      <c r="AH986" s="1298">
        <v>2530000</v>
      </c>
      <c r="AI986" s="1087">
        <f>AH986*Q986*0.85</f>
        <v>151029615</v>
      </c>
      <c r="AJ986" s="1354">
        <f>SUM(AI986:AI991)</f>
        <v>179604515</v>
      </c>
      <c r="AK986" s="1300">
        <v>150000</v>
      </c>
      <c r="AL986" s="1090">
        <f t="shared" si="85"/>
        <v>300000</v>
      </c>
      <c r="AM986" s="1297">
        <f>SUM(AL986:AL994)</f>
        <v>818895</v>
      </c>
      <c r="AN986" s="1086">
        <f>AM986+AJ986+AG986</f>
        <v>392652810</v>
      </c>
      <c r="AO986" s="1298"/>
      <c r="AP986" s="1136">
        <f>(97188000+AI986)*15%</f>
        <v>37232642.25</v>
      </c>
      <c r="AQ986" s="1087">
        <f>(AG986+AI986)*1%</f>
        <v>3632590.15</v>
      </c>
      <c r="AR986" s="1136">
        <f>(AG986+AI986)*5%</f>
        <v>18162950.75</v>
      </c>
      <c r="AS986" s="1087">
        <f>0.5%*(AG986+AI986)*(3)</f>
        <v>5448885.2249999996</v>
      </c>
      <c r="AT986" s="1086">
        <f>+AS986+AR986+AQ986+AP986+AO986</f>
        <v>64477068.375</v>
      </c>
      <c r="AU986" s="1137">
        <f>ROUND(AT986+AN986,-3)</f>
        <v>457130000</v>
      </c>
      <c r="AV986" s="1041"/>
    </row>
    <row r="987" spans="1:48" ht="16.5" customHeight="1">
      <c r="A987" s="1082"/>
      <c r="B987" s="1038" t="s">
        <v>16</v>
      </c>
      <c r="C987" s="1071" t="s">
        <v>1622</v>
      </c>
      <c r="D987" s="1038"/>
      <c r="E987" s="1071"/>
      <c r="F987" s="1560"/>
      <c r="G987" s="1038" t="s">
        <v>16</v>
      </c>
      <c r="H987" s="1074" t="s">
        <v>22</v>
      </c>
      <c r="I987" s="1127"/>
      <c r="J987" s="1128"/>
      <c r="K987" s="1067"/>
      <c r="L987" s="1139"/>
      <c r="M987" s="1128"/>
      <c r="N987" s="1038" t="s">
        <v>16</v>
      </c>
      <c r="O987" s="1293" t="s">
        <v>21</v>
      </c>
      <c r="P987" s="1081"/>
      <c r="Q987" s="1075">
        <v>20.48</v>
      </c>
      <c r="R987" s="1074"/>
      <c r="S987" s="1074"/>
      <c r="T987" s="1080"/>
      <c r="U987" s="1091">
        <v>2</v>
      </c>
      <c r="V987" s="1073" t="s">
        <v>240</v>
      </c>
      <c r="W987" s="1079">
        <v>7</v>
      </c>
      <c r="X987" s="1078"/>
      <c r="Y987" s="1039"/>
      <c r="Z987" s="1134">
        <f t="shared" si="90"/>
        <v>7</v>
      </c>
      <c r="AA987" s="1074"/>
      <c r="AB987" s="1126"/>
      <c r="AC987" s="1073"/>
      <c r="AD987" s="1084"/>
      <c r="AE987" s="1062"/>
      <c r="AF987" s="1296"/>
      <c r="AG987" s="1297"/>
      <c r="AH987" s="1298">
        <v>350000</v>
      </c>
      <c r="AI987" s="1087">
        <f>AH987*Q987*0.75</f>
        <v>5376000</v>
      </c>
      <c r="AJ987" s="1299"/>
      <c r="AK987" s="1089">
        <v>10000</v>
      </c>
      <c r="AL987" s="1090">
        <f>AK987*W987</f>
        <v>70000</v>
      </c>
      <c r="AM987" s="1297"/>
      <c r="AN987" s="1297"/>
      <c r="AO987" s="1298"/>
      <c r="AP987" s="1301"/>
      <c r="AQ987" s="1298"/>
      <c r="AR987" s="1301"/>
      <c r="AS987" s="1301"/>
      <c r="AT987" s="1297"/>
      <c r="AU987" s="1299"/>
      <c r="AV987" s="1067"/>
    </row>
    <row r="988" spans="1:48" ht="33" customHeight="1">
      <c r="A988" s="1082"/>
      <c r="B988" s="1038" t="s">
        <v>18</v>
      </c>
      <c r="C988" s="1039" t="s">
        <v>124</v>
      </c>
      <c r="D988" s="1038"/>
      <c r="E988" s="1039"/>
      <c r="F988" s="1560"/>
      <c r="G988" s="1038" t="s">
        <v>18</v>
      </c>
      <c r="H988" s="1074" t="s">
        <v>19</v>
      </c>
      <c r="I988" s="1127"/>
      <c r="J988" s="1128"/>
      <c r="K988" s="1067"/>
      <c r="L988" s="1139"/>
      <c r="M988" s="1128"/>
      <c r="N988" s="1038" t="s">
        <v>18</v>
      </c>
      <c r="O988" s="1293" t="s">
        <v>62</v>
      </c>
      <c r="P988" s="1081"/>
      <c r="Q988" s="1075">
        <v>31.18</v>
      </c>
      <c r="R988" s="1074"/>
      <c r="S988" s="1074"/>
      <c r="T988" s="1080"/>
      <c r="U988" s="1091">
        <v>3</v>
      </c>
      <c r="V988" s="1073" t="s">
        <v>80</v>
      </c>
      <c r="W988" s="1079">
        <v>53</v>
      </c>
      <c r="X988" s="1078"/>
      <c r="Y988" s="1039"/>
      <c r="Z988" s="1134">
        <f t="shared" si="90"/>
        <v>53</v>
      </c>
      <c r="AA988" s="1074"/>
      <c r="AB988" s="1126"/>
      <c r="AC988" s="1073"/>
      <c r="AD988" s="1084"/>
      <c r="AE988" s="1062"/>
      <c r="AF988" s="1296"/>
      <c r="AG988" s="1297"/>
      <c r="AH988" s="1298">
        <v>210000</v>
      </c>
      <c r="AI988" s="1087">
        <f>AH988*Q988*0.5</f>
        <v>3273900</v>
      </c>
      <c r="AJ988" s="1299"/>
      <c r="AK988" s="1300">
        <v>6000</v>
      </c>
      <c r="AL988" s="1090">
        <f t="shared" si="85"/>
        <v>318000</v>
      </c>
      <c r="AM988" s="1297"/>
      <c r="AN988" s="1297"/>
      <c r="AO988" s="1298"/>
      <c r="AP988" s="1301"/>
      <c r="AQ988" s="1298"/>
      <c r="AR988" s="1301"/>
      <c r="AS988" s="1301"/>
      <c r="AT988" s="1297"/>
      <c r="AU988" s="1299"/>
      <c r="AV988" s="1067"/>
    </row>
    <row r="989" spans="1:48" ht="49.5" customHeight="1">
      <c r="A989" s="1082"/>
      <c r="B989" s="1082" t="s">
        <v>12</v>
      </c>
      <c r="C989" s="1083" t="s">
        <v>1621</v>
      </c>
      <c r="D989" s="1082"/>
      <c r="E989" s="1083"/>
      <c r="F989" s="1560"/>
      <c r="G989" s="1038"/>
      <c r="H989" s="1077"/>
      <c r="I989" s="1127"/>
      <c r="J989" s="1128"/>
      <c r="K989" s="1067"/>
      <c r="L989" s="1139"/>
      <c r="M989" s="1128"/>
      <c r="N989" s="1038" t="s">
        <v>12</v>
      </c>
      <c r="O989" s="1293" t="s">
        <v>17</v>
      </c>
      <c r="P989" s="1081">
        <v>1</v>
      </c>
      <c r="Q989" s="1075"/>
      <c r="R989" s="1074"/>
      <c r="S989" s="1074"/>
      <c r="T989" s="1080"/>
      <c r="U989" s="1091">
        <v>4</v>
      </c>
      <c r="V989" s="1073" t="s">
        <v>1620</v>
      </c>
      <c r="W989" s="1079"/>
      <c r="X989" s="1078"/>
      <c r="Y989" s="1039">
        <v>2</v>
      </c>
      <c r="Z989" s="1134">
        <f t="shared" si="90"/>
        <v>2</v>
      </c>
      <c r="AA989" s="1074"/>
      <c r="AB989" s="1063"/>
      <c r="AC989" s="1075"/>
      <c r="AD989" s="1084"/>
      <c r="AE989" s="1062"/>
      <c r="AF989" s="1296"/>
      <c r="AG989" s="1297"/>
      <c r="AH989" s="1298">
        <v>2500000</v>
      </c>
      <c r="AI989" s="1087">
        <f t="shared" ref="AI989" si="91">AH989*P989*0.5</f>
        <v>1250000</v>
      </c>
      <c r="AJ989" s="1299"/>
      <c r="AK989" s="1300">
        <v>250</v>
      </c>
      <c r="AL989" s="1090">
        <f>AK989*Y989</f>
        <v>500</v>
      </c>
      <c r="AM989" s="1297"/>
      <c r="AN989" s="1297"/>
      <c r="AO989" s="1298"/>
      <c r="AP989" s="1301"/>
      <c r="AQ989" s="1298"/>
      <c r="AR989" s="1301"/>
      <c r="AS989" s="1301"/>
      <c r="AT989" s="1297"/>
      <c r="AU989" s="1299"/>
      <c r="AV989" s="1067"/>
    </row>
    <row r="990" spans="1:48" ht="16.5" customHeight="1">
      <c r="A990" s="1082"/>
      <c r="B990" s="1082" t="s">
        <v>8</v>
      </c>
      <c r="C990" s="1083" t="s">
        <v>1619</v>
      </c>
      <c r="D990" s="1082"/>
      <c r="E990" s="1083"/>
      <c r="F990" s="1560"/>
      <c r="G990" s="1038"/>
      <c r="H990" s="1077"/>
      <c r="I990" s="1127"/>
      <c r="J990" s="1128"/>
      <c r="K990" s="1067"/>
      <c r="L990" s="1139"/>
      <c r="M990" s="1128"/>
      <c r="N990" s="1038" t="s">
        <v>8</v>
      </c>
      <c r="O990" s="1293" t="s">
        <v>11</v>
      </c>
      <c r="P990" s="1081">
        <v>1</v>
      </c>
      <c r="Q990" s="1075"/>
      <c r="R990" s="1074"/>
      <c r="S990" s="1074"/>
      <c r="T990" s="1080"/>
      <c r="U990" s="1091">
        <v>5</v>
      </c>
      <c r="V990" s="1073" t="s">
        <v>826</v>
      </c>
      <c r="W990" s="1079">
        <v>1</v>
      </c>
      <c r="X990" s="1078"/>
      <c r="Y990" s="1039"/>
      <c r="Z990" s="1134">
        <f t="shared" si="90"/>
        <v>1</v>
      </c>
      <c r="AA990" s="1074"/>
      <c r="AB990" s="1063"/>
      <c r="AC990" s="1075"/>
      <c r="AD990" s="1084"/>
      <c r="AE990" s="1062"/>
      <c r="AF990" s="1296"/>
      <c r="AG990" s="1297"/>
      <c r="AH990" s="1298">
        <v>2500000</v>
      </c>
      <c r="AI990" s="1087">
        <f>AH990*P990*0.75</f>
        <v>1875000</v>
      </c>
      <c r="AJ990" s="1299"/>
      <c r="AK990" s="1089">
        <v>2645</v>
      </c>
      <c r="AL990" s="1090">
        <f t="shared" si="85"/>
        <v>2645</v>
      </c>
      <c r="AM990" s="1297"/>
      <c r="AN990" s="1297"/>
      <c r="AO990" s="1298"/>
      <c r="AP990" s="1301"/>
      <c r="AQ990" s="1298"/>
      <c r="AR990" s="1301"/>
      <c r="AS990" s="1301"/>
      <c r="AT990" s="1297"/>
      <c r="AU990" s="1299"/>
      <c r="AV990" s="1067"/>
    </row>
    <row r="991" spans="1:48" ht="16.5" customHeight="1">
      <c r="A991" s="1082"/>
      <c r="B991" s="1082"/>
      <c r="C991" s="1083"/>
      <c r="D991" s="1082"/>
      <c r="E991" s="1083"/>
      <c r="F991" s="1560"/>
      <c r="G991" s="1038"/>
      <c r="H991" s="1077"/>
      <c r="I991" s="1127"/>
      <c r="J991" s="1128"/>
      <c r="K991" s="1067"/>
      <c r="L991" s="1139"/>
      <c r="M991" s="1128"/>
      <c r="N991" s="1038" t="s">
        <v>54</v>
      </c>
      <c r="O991" s="1293" t="s">
        <v>1363</v>
      </c>
      <c r="P991" s="1081"/>
      <c r="Q991" s="1075">
        <v>112</v>
      </c>
      <c r="R991" s="1074"/>
      <c r="S991" s="1074"/>
      <c r="T991" s="1080"/>
      <c r="U991" s="1091">
        <v>6</v>
      </c>
      <c r="V991" s="1073" t="s">
        <v>1070</v>
      </c>
      <c r="W991" s="1079"/>
      <c r="X991" s="1078">
        <v>10</v>
      </c>
      <c r="Y991" s="1039"/>
      <c r="Z991" s="1134">
        <f t="shared" si="90"/>
        <v>10</v>
      </c>
      <c r="AA991" s="1074"/>
      <c r="AB991" s="1063"/>
      <c r="AC991" s="1075"/>
      <c r="AD991" s="1084"/>
      <c r="AE991" s="1062"/>
      <c r="AF991" s="1296"/>
      <c r="AG991" s="1297"/>
      <c r="AH991" s="1298">
        <v>300000</v>
      </c>
      <c r="AI991" s="1087">
        <f>AH991*Q991*0.5</f>
        <v>16800000</v>
      </c>
      <c r="AJ991" s="1299"/>
      <c r="AK991" s="1300">
        <v>2000</v>
      </c>
      <c r="AL991" s="1090">
        <f>AK991*X991</f>
        <v>20000</v>
      </c>
      <c r="AM991" s="1297"/>
      <c r="AN991" s="1297"/>
      <c r="AO991" s="1298"/>
      <c r="AP991" s="1301"/>
      <c r="AQ991" s="1298"/>
      <c r="AR991" s="1301"/>
      <c r="AS991" s="1301"/>
      <c r="AT991" s="1297"/>
      <c r="AU991" s="1299"/>
      <c r="AV991" s="1067"/>
    </row>
    <row r="992" spans="1:48" ht="16.5" customHeight="1">
      <c r="A992" s="1082"/>
      <c r="B992" s="1082"/>
      <c r="C992" s="1083"/>
      <c r="D992" s="1082"/>
      <c r="E992" s="1083"/>
      <c r="F992" s="1560"/>
      <c r="G992" s="1038"/>
      <c r="H992" s="1077"/>
      <c r="I992" s="1127"/>
      <c r="J992" s="1128"/>
      <c r="K992" s="1067"/>
      <c r="L992" s="1139"/>
      <c r="M992" s="1128"/>
      <c r="N992" s="1038"/>
      <c r="O992" s="1083"/>
      <c r="P992" s="1077"/>
      <c r="Q992" s="1073"/>
      <c r="R992" s="1074"/>
      <c r="S992" s="1074"/>
      <c r="T992" s="1080"/>
      <c r="U992" s="1091">
        <v>7</v>
      </c>
      <c r="V992" s="1073" t="s">
        <v>34</v>
      </c>
      <c r="W992" s="1079"/>
      <c r="X992" s="1078"/>
      <c r="Y992" s="1039">
        <v>1</v>
      </c>
      <c r="Z992" s="1134">
        <f t="shared" si="90"/>
        <v>1</v>
      </c>
      <c r="AA992" s="1074"/>
      <c r="AB992" s="1063"/>
      <c r="AC992" s="1075"/>
      <c r="AD992" s="1084"/>
      <c r="AE992" s="1062"/>
      <c r="AF992" s="1296"/>
      <c r="AG992" s="1297"/>
      <c r="AH992" s="1298"/>
      <c r="AI992" s="1298"/>
      <c r="AJ992" s="1299"/>
      <c r="AK992" s="1089">
        <v>41250</v>
      </c>
      <c r="AL992" s="1090">
        <f>AK992*Y992</f>
        <v>41250</v>
      </c>
      <c r="AM992" s="1297"/>
      <c r="AN992" s="1297"/>
      <c r="AO992" s="1298"/>
      <c r="AP992" s="1301"/>
      <c r="AQ992" s="1298"/>
      <c r="AR992" s="1301"/>
      <c r="AS992" s="1301"/>
      <c r="AT992" s="1297"/>
      <c r="AU992" s="1299"/>
      <c r="AV992" s="1067"/>
    </row>
    <row r="993" spans="1:48" ht="16.5" customHeight="1">
      <c r="A993" s="1082"/>
      <c r="B993" s="1082"/>
      <c r="C993" s="1083"/>
      <c r="D993" s="1082"/>
      <c r="E993" s="1083"/>
      <c r="F993" s="1560"/>
      <c r="G993" s="1038"/>
      <c r="H993" s="1077"/>
      <c r="I993" s="1127"/>
      <c r="J993" s="1128"/>
      <c r="K993" s="1067"/>
      <c r="L993" s="1139"/>
      <c r="M993" s="1128"/>
      <c r="N993" s="1038"/>
      <c r="O993" s="1083"/>
      <c r="P993" s="1077"/>
      <c r="Q993" s="1073"/>
      <c r="R993" s="1074"/>
      <c r="S993" s="1074"/>
      <c r="T993" s="1080"/>
      <c r="U993" s="1091">
        <v>8</v>
      </c>
      <c r="V993" s="1073" t="s">
        <v>808</v>
      </c>
      <c r="W993" s="1079"/>
      <c r="X993" s="1078"/>
      <c r="Y993" s="1039">
        <v>1</v>
      </c>
      <c r="Z993" s="1134">
        <f t="shared" si="90"/>
        <v>1</v>
      </c>
      <c r="AA993" s="1074"/>
      <c r="AB993" s="1063"/>
      <c r="AC993" s="1075"/>
      <c r="AD993" s="1084"/>
      <c r="AE993" s="1062"/>
      <c r="AF993" s="1296"/>
      <c r="AG993" s="1297"/>
      <c r="AH993" s="1298"/>
      <c r="AI993" s="1298"/>
      <c r="AJ993" s="1299"/>
      <c r="AK993" s="1089">
        <v>41200</v>
      </c>
      <c r="AL993" s="1090">
        <f>AK993*Y993</f>
        <v>41200</v>
      </c>
      <c r="AM993" s="1297"/>
      <c r="AN993" s="1297"/>
      <c r="AO993" s="1298"/>
      <c r="AP993" s="1301"/>
      <c r="AQ993" s="1298"/>
      <c r="AR993" s="1301"/>
      <c r="AS993" s="1301"/>
      <c r="AT993" s="1297"/>
      <c r="AU993" s="1299"/>
      <c r="AV993" s="1067"/>
    </row>
    <row r="994" spans="1:48" ht="16.5" customHeight="1">
      <c r="A994" s="1082"/>
      <c r="B994" s="1082"/>
      <c r="C994" s="1083"/>
      <c r="D994" s="1082"/>
      <c r="E994" s="1083"/>
      <c r="F994" s="1560"/>
      <c r="G994" s="1038"/>
      <c r="H994" s="1077"/>
      <c r="I994" s="1127"/>
      <c r="J994" s="1128"/>
      <c r="K994" s="1067"/>
      <c r="L994" s="1139"/>
      <c r="M994" s="1128"/>
      <c r="N994" s="1038"/>
      <c r="O994" s="1083"/>
      <c r="P994" s="1077"/>
      <c r="Q994" s="1073"/>
      <c r="R994" s="1074"/>
      <c r="S994" s="1074"/>
      <c r="T994" s="1080"/>
      <c r="U994" s="1091">
        <v>9</v>
      </c>
      <c r="V994" s="1073" t="s">
        <v>32</v>
      </c>
      <c r="W994" s="1079">
        <v>1</v>
      </c>
      <c r="X994" s="1078"/>
      <c r="Y994" s="1039"/>
      <c r="Z994" s="1134">
        <f t="shared" si="90"/>
        <v>1</v>
      </c>
      <c r="AA994" s="1074"/>
      <c r="AB994" s="1063"/>
      <c r="AC994" s="1075"/>
      <c r="AD994" s="1084"/>
      <c r="AE994" s="1062"/>
      <c r="AF994" s="1296"/>
      <c r="AG994" s="1297"/>
      <c r="AH994" s="1298"/>
      <c r="AI994" s="1298"/>
      <c r="AJ994" s="1299"/>
      <c r="AK994" s="1300">
        <v>25300</v>
      </c>
      <c r="AL994" s="1090">
        <f t="shared" si="85"/>
        <v>25300</v>
      </c>
      <c r="AM994" s="1297"/>
      <c r="AN994" s="1297"/>
      <c r="AO994" s="1298"/>
      <c r="AP994" s="1301"/>
      <c r="AQ994" s="1298"/>
      <c r="AR994" s="1301"/>
      <c r="AS994" s="1301"/>
      <c r="AT994" s="1297"/>
      <c r="AU994" s="1299"/>
      <c r="AV994" s="1067"/>
    </row>
    <row r="995" spans="1:48" ht="16.5" customHeight="1">
      <c r="A995" s="1082"/>
      <c r="B995" s="1082"/>
      <c r="C995" s="1083"/>
      <c r="D995" s="1082"/>
      <c r="E995" s="1083"/>
      <c r="F995" s="1560"/>
      <c r="G995" s="1038"/>
      <c r="H995" s="1077"/>
      <c r="I995" s="1127"/>
      <c r="J995" s="1128"/>
      <c r="K995" s="1067"/>
      <c r="L995" s="1139"/>
      <c r="M995" s="1128"/>
      <c r="N995" s="1038"/>
      <c r="O995" s="1083"/>
      <c r="P995" s="1077"/>
      <c r="Q995" s="1073"/>
      <c r="R995" s="1074"/>
      <c r="S995" s="1074"/>
      <c r="T995" s="1080"/>
      <c r="U995" s="1077"/>
      <c r="V995" s="1073"/>
      <c r="W995" s="1079"/>
      <c r="X995" s="1078"/>
      <c r="Y995" s="1039"/>
      <c r="Z995" s="1134"/>
      <c r="AA995" s="1074"/>
      <c r="AB995" s="1063"/>
      <c r="AC995" s="1075"/>
      <c r="AD995" s="1084"/>
      <c r="AE995" s="1062"/>
      <c r="AF995" s="1296"/>
      <c r="AG995" s="1297"/>
      <c r="AH995" s="1298"/>
      <c r="AI995" s="1298"/>
      <c r="AJ995" s="1299"/>
      <c r="AK995" s="1300"/>
      <c r="AL995" s="1090"/>
      <c r="AM995" s="1297"/>
      <c r="AN995" s="1297"/>
      <c r="AO995" s="1298"/>
      <c r="AP995" s="1076"/>
      <c r="AQ995" s="1298"/>
      <c r="AR995" s="1301"/>
      <c r="AS995" s="1301"/>
      <c r="AT995" s="1297"/>
      <c r="AU995" s="1299"/>
      <c r="AV995" s="1067"/>
    </row>
    <row r="996" spans="1:48" ht="16.5" customHeight="1">
      <c r="A996" s="1082"/>
      <c r="B996" s="1082"/>
      <c r="C996" s="1083"/>
      <c r="D996" s="1082"/>
      <c r="E996" s="1083"/>
      <c r="F996" s="1560"/>
      <c r="G996" s="1038"/>
      <c r="H996" s="1077"/>
      <c r="I996" s="1127"/>
      <c r="J996" s="1128"/>
      <c r="K996" s="1067"/>
      <c r="L996" s="1154"/>
      <c r="M996" s="1128"/>
      <c r="N996" s="1038"/>
      <c r="O996" s="1246"/>
      <c r="P996" s="1077"/>
      <c r="Q996" s="1073"/>
      <c r="R996" s="1074"/>
      <c r="S996" s="1074"/>
      <c r="T996" s="1080"/>
      <c r="U996" s="1077"/>
      <c r="V996" s="1073"/>
      <c r="W996" s="1079"/>
      <c r="X996" s="1078"/>
      <c r="Y996" s="1039"/>
      <c r="Z996" s="1134"/>
      <c r="AA996" s="1074"/>
      <c r="AB996" s="1063"/>
      <c r="AC996" s="1075"/>
      <c r="AD996" s="1084"/>
      <c r="AE996" s="1062"/>
      <c r="AF996" s="1296"/>
      <c r="AG996" s="1116"/>
      <c r="AH996" s="1298"/>
      <c r="AI996" s="1298"/>
      <c r="AJ996" s="1299"/>
      <c r="AK996" s="1119"/>
      <c r="AL996" s="1120"/>
      <c r="AM996" s="1297"/>
      <c r="AN996" s="1116"/>
      <c r="AO996" s="1298"/>
      <c r="AP996" s="1108"/>
      <c r="AQ996" s="1307"/>
      <c r="AR996" s="1310"/>
      <c r="AS996" s="1310"/>
      <c r="AT996" s="1116"/>
      <c r="AU996" s="1308"/>
      <c r="AV996" s="1101"/>
    </row>
    <row r="997" spans="1:48" ht="16.5" customHeight="1">
      <c r="A997" s="1269">
        <v>74</v>
      </c>
      <c r="B997" s="1033" t="s">
        <v>25</v>
      </c>
      <c r="C997" s="1036" t="s">
        <v>1618</v>
      </c>
      <c r="D997" s="1373"/>
      <c r="E997" s="1374"/>
      <c r="F997" s="1588" t="s">
        <v>2003</v>
      </c>
      <c r="G997" s="1272" t="s">
        <v>25</v>
      </c>
      <c r="H997" s="1173" t="s">
        <v>1540</v>
      </c>
      <c r="I997" s="1174">
        <v>245</v>
      </c>
      <c r="J997" s="1175" t="s">
        <v>41</v>
      </c>
      <c r="K997" s="1041" t="s">
        <v>1617</v>
      </c>
      <c r="L997" s="1279"/>
      <c r="M997" s="1054"/>
      <c r="N997" s="1035" t="s">
        <v>25</v>
      </c>
      <c r="O997" s="1190" t="s">
        <v>26</v>
      </c>
      <c r="P997" s="1054"/>
      <c r="Q997" s="1048">
        <v>98.6</v>
      </c>
      <c r="R997" s="1034"/>
      <c r="S997" s="1034"/>
      <c r="T997" s="1053"/>
      <c r="U997" s="1180">
        <v>1</v>
      </c>
      <c r="V997" s="1319" t="s">
        <v>14</v>
      </c>
      <c r="W997" s="1052"/>
      <c r="X997" s="1051">
        <v>6</v>
      </c>
      <c r="Y997" s="1036"/>
      <c r="Z997" s="1203">
        <f>SUM(W997:Y997)</f>
        <v>6</v>
      </c>
      <c r="AA997" s="1034"/>
      <c r="AB997" s="1050"/>
      <c r="AC997" s="1047"/>
      <c r="AD997" s="1180"/>
      <c r="AE997" s="1049"/>
      <c r="AF997" s="1333">
        <f>Resum!F1</f>
        <v>356000</v>
      </c>
      <c r="AG997" s="1086">
        <f>AF997*I997</f>
        <v>87220000</v>
      </c>
      <c r="AH997" s="1334">
        <v>2200000</v>
      </c>
      <c r="AI997" s="1087">
        <f>AH997*Q997*0.7</f>
        <v>151844000</v>
      </c>
      <c r="AJ997" s="1335">
        <f>SUM(AI997:AI1007)</f>
        <v>164533950</v>
      </c>
      <c r="AK997" s="1089">
        <v>231000</v>
      </c>
      <c r="AL997" s="1087">
        <f>AK997*X997</f>
        <v>1386000</v>
      </c>
      <c r="AM997" s="1337">
        <f>SUM(AL997:AL1008)</f>
        <v>1595000</v>
      </c>
      <c r="AN997" s="1086">
        <f>AM997+AJ997+AG997</f>
        <v>253348950</v>
      </c>
      <c r="AO997" s="1334">
        <f>300000*30*3</f>
        <v>27000000</v>
      </c>
      <c r="AP997" s="1136">
        <f>(AG997+AI997)*15%</f>
        <v>35859600</v>
      </c>
      <c r="AQ997" s="1087">
        <f>(AG997+AI997)*1%</f>
        <v>2390640</v>
      </c>
      <c r="AR997" s="1136">
        <f>(AG997+AI997)*5%</f>
        <v>11953200</v>
      </c>
      <c r="AS997" s="1087">
        <f>0.5%*(AG997+AI997)*(3)</f>
        <v>3585960</v>
      </c>
      <c r="AT997" s="1086">
        <f>+AS997+AR997+AQ997+AP997+AO997</f>
        <v>80789400</v>
      </c>
      <c r="AU997" s="1137">
        <f>ROUND(AT997+AN997,-3)</f>
        <v>334138000</v>
      </c>
      <c r="AV997" s="1365"/>
    </row>
    <row r="998" spans="1:48" ht="33" customHeight="1">
      <c r="A998" s="1082"/>
      <c r="B998" s="1038" t="s">
        <v>16</v>
      </c>
      <c r="C998" s="1071" t="s">
        <v>1616</v>
      </c>
      <c r="D998" s="1245"/>
      <c r="E998" s="1247"/>
      <c r="F998" s="1560"/>
      <c r="G998" s="1038" t="s">
        <v>16</v>
      </c>
      <c r="H998" s="1074" t="s">
        <v>22</v>
      </c>
      <c r="I998" s="1127"/>
      <c r="J998" s="1128"/>
      <c r="K998" s="1067"/>
      <c r="L998" s="1235"/>
      <c r="M998" s="1081"/>
      <c r="N998" s="1038" t="s">
        <v>16</v>
      </c>
      <c r="O998" s="1293" t="s">
        <v>62</v>
      </c>
      <c r="P998" s="1081"/>
      <c r="Q998" s="1075">
        <v>9.8800000000000008</v>
      </c>
      <c r="R998" s="1074"/>
      <c r="S998" s="1074"/>
      <c r="T998" s="1080"/>
      <c r="U998" s="1091">
        <v>2</v>
      </c>
      <c r="V998" s="1185" t="s">
        <v>1070</v>
      </c>
      <c r="W998" s="1079"/>
      <c r="X998" s="1078"/>
      <c r="Y998" s="1039">
        <v>20</v>
      </c>
      <c r="Z998" s="1134">
        <f>SUM(W998:Y998)</f>
        <v>20</v>
      </c>
      <c r="AA998" s="1074"/>
      <c r="AB998" s="1077"/>
      <c r="AC998" s="1073"/>
      <c r="AD998" s="1091"/>
      <c r="AE998" s="1076"/>
      <c r="AF998" s="1296"/>
      <c r="AG998" s="1297"/>
      <c r="AH998" s="1298">
        <v>430000</v>
      </c>
      <c r="AI998" s="1087">
        <f>AH998*Q998*0.5</f>
        <v>2124200</v>
      </c>
      <c r="AJ998" s="1299"/>
      <c r="AK998" s="1300">
        <v>1000</v>
      </c>
      <c r="AL998" s="1090">
        <f>AK998*Y998</f>
        <v>20000</v>
      </c>
      <c r="AM998" s="1297"/>
      <c r="AN998" s="1297"/>
      <c r="AO998" s="1298"/>
      <c r="AP998" s="1301"/>
      <c r="AQ998" s="1298"/>
      <c r="AR998" s="1301"/>
      <c r="AS998" s="1301"/>
      <c r="AT998" s="1297"/>
      <c r="AU998" s="1299"/>
      <c r="AV998" s="1302"/>
    </row>
    <row r="999" spans="1:48" ht="16.5" customHeight="1">
      <c r="A999" s="1082"/>
      <c r="B999" s="1038" t="s">
        <v>18</v>
      </c>
      <c r="C999" s="1039" t="s">
        <v>38</v>
      </c>
      <c r="D999" s="1245"/>
      <c r="E999" s="1247"/>
      <c r="F999" s="1560"/>
      <c r="G999" s="1038" t="s">
        <v>18</v>
      </c>
      <c r="H999" s="1074" t="s">
        <v>19</v>
      </c>
      <c r="I999" s="1127"/>
      <c r="J999" s="1128"/>
      <c r="K999" s="1067"/>
      <c r="L999" s="1235"/>
      <c r="M999" s="1081"/>
      <c r="N999" s="1038" t="s">
        <v>18</v>
      </c>
      <c r="O999" s="1293" t="s">
        <v>59</v>
      </c>
      <c r="P999" s="1081"/>
      <c r="Q999" s="1075">
        <v>19.45</v>
      </c>
      <c r="R999" s="1074"/>
      <c r="S999" s="1074"/>
      <c r="T999" s="1080"/>
      <c r="U999" s="1091">
        <v>3</v>
      </c>
      <c r="V999" s="1185" t="s">
        <v>32</v>
      </c>
      <c r="W999" s="1079"/>
      <c r="X999" s="1078">
        <v>15</v>
      </c>
      <c r="Y999" s="1039"/>
      <c r="Z999" s="1134">
        <f>SUM(W999:Y999)</f>
        <v>15</v>
      </c>
      <c r="AA999" s="1074"/>
      <c r="AB999" s="1077"/>
      <c r="AC999" s="1073"/>
      <c r="AD999" s="1091"/>
      <c r="AE999" s="1076"/>
      <c r="AF999" s="1296"/>
      <c r="AG999" s="1297"/>
      <c r="AH999" s="1087">
        <v>180000</v>
      </c>
      <c r="AI999" s="1087">
        <f t="shared" ref="AI999:AI1015" si="92">AH999*Q999*0.5</f>
        <v>1750500</v>
      </c>
      <c r="AJ999" s="1299"/>
      <c r="AK999" s="1300">
        <v>12600</v>
      </c>
      <c r="AL999" s="1090">
        <f>AK999*X999</f>
        <v>189000</v>
      </c>
      <c r="AM999" s="1297"/>
      <c r="AN999" s="1297"/>
      <c r="AO999" s="1298"/>
      <c r="AP999" s="1301"/>
      <c r="AQ999" s="1298"/>
      <c r="AR999" s="1301"/>
      <c r="AS999" s="1301"/>
      <c r="AT999" s="1297"/>
      <c r="AU999" s="1299"/>
      <c r="AV999" s="1302"/>
    </row>
    <row r="1000" spans="1:48" ht="49.5" customHeight="1">
      <c r="A1000" s="1082"/>
      <c r="B1000" s="1082" t="s">
        <v>12</v>
      </c>
      <c r="C1000" s="1083" t="s">
        <v>210</v>
      </c>
      <c r="D1000" s="1245"/>
      <c r="E1000" s="1247"/>
      <c r="F1000" s="1560"/>
      <c r="G1000" s="1038"/>
      <c r="H1000" s="1077"/>
      <c r="I1000" s="1127"/>
      <c r="J1000" s="1128"/>
      <c r="K1000" s="1067"/>
      <c r="L1000" s="1235"/>
      <c r="M1000" s="1081"/>
      <c r="N1000" s="1038" t="s">
        <v>12</v>
      </c>
      <c r="O1000" s="1293" t="s">
        <v>17</v>
      </c>
      <c r="P1000" s="1081">
        <v>1</v>
      </c>
      <c r="Q1000" s="1075"/>
      <c r="R1000" s="1074"/>
      <c r="S1000" s="1074"/>
      <c r="T1000" s="1080"/>
      <c r="U1000" s="1091">
        <v>4</v>
      </c>
      <c r="V1000" s="1185" t="s">
        <v>227</v>
      </c>
      <c r="W1000" s="1079">
        <v>4</v>
      </c>
      <c r="X1000" s="1078"/>
      <c r="Y1000" s="1039"/>
      <c r="Z1000" s="1134">
        <f>SUM(W1000:Y1000)</f>
        <v>4</v>
      </c>
      <c r="AA1000" s="1074"/>
      <c r="AB1000" s="1077"/>
      <c r="AC1000" s="1073"/>
      <c r="AD1000" s="1091"/>
      <c r="AE1000" s="1076"/>
      <c r="AF1000" s="1296"/>
      <c r="AG1000" s="1297"/>
      <c r="AH1000" s="1298">
        <v>2500000</v>
      </c>
      <c r="AI1000" s="1087">
        <f>AH1000*P1000*0.5</f>
        <v>1250000</v>
      </c>
      <c r="AJ1000" s="1299"/>
      <c r="AK1000" s="1300"/>
      <c r="AL1000" s="1090">
        <f>AK1000*W1000</f>
        <v>0</v>
      </c>
      <c r="AM1000" s="1297"/>
      <c r="AN1000" s="1297"/>
      <c r="AO1000" s="1298"/>
      <c r="AP1000" s="1301"/>
      <c r="AQ1000" s="1298"/>
      <c r="AR1000" s="1301"/>
      <c r="AS1000" s="1301"/>
      <c r="AT1000" s="1297"/>
      <c r="AU1000" s="1299"/>
      <c r="AV1000" s="1302"/>
    </row>
    <row r="1001" spans="1:48" ht="16.5" customHeight="1">
      <c r="A1001" s="1082"/>
      <c r="B1001" s="1082" t="s">
        <v>8</v>
      </c>
      <c r="C1001" s="1083" t="s">
        <v>1615</v>
      </c>
      <c r="D1001" s="1245"/>
      <c r="E1001" s="1247"/>
      <c r="F1001" s="1560"/>
      <c r="G1001" s="1038"/>
      <c r="H1001" s="1077"/>
      <c r="I1001" s="1127"/>
      <c r="J1001" s="1128"/>
      <c r="K1001" s="1067"/>
      <c r="L1001" s="1235"/>
      <c r="M1001" s="1081"/>
      <c r="N1001" s="1038" t="s">
        <v>8</v>
      </c>
      <c r="O1001" s="1293" t="s">
        <v>11</v>
      </c>
      <c r="P1001" s="1081">
        <v>1</v>
      </c>
      <c r="Q1001" s="1075"/>
      <c r="R1001" s="1074"/>
      <c r="S1001" s="1074"/>
      <c r="T1001" s="1080"/>
      <c r="U1001" s="1077"/>
      <c r="V1001" s="1073"/>
      <c r="W1001" s="1079"/>
      <c r="X1001" s="1078"/>
      <c r="Y1001" s="1039"/>
      <c r="Z1001" s="1134"/>
      <c r="AA1001" s="1074"/>
      <c r="AB1001" s="1077"/>
      <c r="AC1001" s="1073"/>
      <c r="AD1001" s="1091"/>
      <c r="AE1001" s="1076"/>
      <c r="AF1001" s="1296"/>
      <c r="AG1001" s="1297"/>
      <c r="AH1001" s="1298">
        <v>2500000</v>
      </c>
      <c r="AI1001" s="1087">
        <f>AH1001*P1001*0.75</f>
        <v>1875000</v>
      </c>
      <c r="AJ1001" s="1299"/>
      <c r="AK1001" s="1300"/>
      <c r="AL1001" s="1090"/>
      <c r="AM1001" s="1297"/>
      <c r="AN1001" s="1297"/>
      <c r="AO1001" s="1298"/>
      <c r="AP1001" s="1301"/>
      <c r="AQ1001" s="1298"/>
      <c r="AR1001" s="1301"/>
      <c r="AS1001" s="1301"/>
      <c r="AT1001" s="1297"/>
      <c r="AU1001" s="1299"/>
      <c r="AV1001" s="1302"/>
    </row>
    <row r="1002" spans="1:48" ht="16.5" customHeight="1">
      <c r="A1002" s="1082"/>
      <c r="B1002" s="1082"/>
      <c r="C1002" s="1083"/>
      <c r="D1002" s="1245"/>
      <c r="E1002" s="1247"/>
      <c r="F1002" s="1560"/>
      <c r="G1002" s="1038"/>
      <c r="H1002" s="1077"/>
      <c r="I1002" s="1127"/>
      <c r="J1002" s="1128"/>
      <c r="K1002" s="1067"/>
      <c r="L1002" s="1235"/>
      <c r="M1002" s="1081"/>
      <c r="N1002" s="1038"/>
      <c r="O1002" s="1293"/>
      <c r="P1002" s="1081"/>
      <c r="Q1002" s="1075"/>
      <c r="R1002" s="1074"/>
      <c r="S1002" s="1074"/>
      <c r="T1002" s="1080"/>
      <c r="U1002" s="1077"/>
      <c r="V1002" s="1073"/>
      <c r="W1002" s="1079"/>
      <c r="X1002" s="1078"/>
      <c r="Y1002" s="1039"/>
      <c r="Z1002" s="1134"/>
      <c r="AA1002" s="1074"/>
      <c r="AB1002" s="1077"/>
      <c r="AC1002" s="1073"/>
      <c r="AD1002" s="1091"/>
      <c r="AE1002" s="1076"/>
      <c r="AF1002" s="1296"/>
      <c r="AG1002" s="1297"/>
      <c r="AH1002" s="1298"/>
      <c r="AI1002" s="1087">
        <f t="shared" si="92"/>
        <v>0</v>
      </c>
      <c r="AJ1002" s="1299"/>
      <c r="AK1002" s="1300"/>
      <c r="AL1002" s="1090"/>
      <c r="AM1002" s="1297"/>
      <c r="AN1002" s="1297"/>
      <c r="AO1002" s="1298"/>
      <c r="AP1002" s="1301"/>
      <c r="AQ1002" s="1298"/>
      <c r="AR1002" s="1301"/>
      <c r="AS1002" s="1301"/>
      <c r="AT1002" s="1297"/>
      <c r="AU1002" s="1299"/>
      <c r="AV1002" s="1302"/>
    </row>
    <row r="1003" spans="1:48" ht="16.5" customHeight="1">
      <c r="A1003" s="1082"/>
      <c r="B1003" s="1082"/>
      <c r="C1003" s="1083"/>
      <c r="D1003" s="1245"/>
      <c r="E1003" s="1247"/>
      <c r="F1003" s="1560"/>
      <c r="G1003" s="1038"/>
      <c r="H1003" s="1077"/>
      <c r="I1003" s="1127"/>
      <c r="J1003" s="1128"/>
      <c r="K1003" s="1067"/>
      <c r="L1003" s="1235"/>
      <c r="M1003" s="1081"/>
      <c r="N1003" s="1038"/>
      <c r="O1003" s="1293"/>
      <c r="P1003" s="1081"/>
      <c r="Q1003" s="1075"/>
      <c r="R1003" s="1074"/>
      <c r="S1003" s="1074"/>
      <c r="T1003" s="1080"/>
      <c r="U1003" s="1077"/>
      <c r="V1003" s="1073"/>
      <c r="W1003" s="1079"/>
      <c r="X1003" s="1078"/>
      <c r="Y1003" s="1039"/>
      <c r="Z1003" s="1134"/>
      <c r="AA1003" s="1074"/>
      <c r="AB1003" s="1077"/>
      <c r="AC1003" s="1073"/>
      <c r="AD1003" s="1091"/>
      <c r="AE1003" s="1076"/>
      <c r="AF1003" s="1296"/>
      <c r="AG1003" s="1297"/>
      <c r="AH1003" s="1298"/>
      <c r="AI1003" s="1087">
        <f t="shared" si="92"/>
        <v>0</v>
      </c>
      <c r="AJ1003" s="1299"/>
      <c r="AK1003" s="1300"/>
      <c r="AL1003" s="1090"/>
      <c r="AM1003" s="1297"/>
      <c r="AN1003" s="1297"/>
      <c r="AO1003" s="1298"/>
      <c r="AP1003" s="1301"/>
      <c r="AQ1003" s="1298"/>
      <c r="AR1003" s="1301"/>
      <c r="AS1003" s="1301"/>
      <c r="AT1003" s="1297"/>
      <c r="AU1003" s="1299"/>
      <c r="AV1003" s="1302"/>
    </row>
    <row r="1004" spans="1:48" ht="16.5" customHeight="1">
      <c r="A1004" s="1082"/>
      <c r="B1004" s="1082"/>
      <c r="C1004" s="1083"/>
      <c r="D1004" s="1245"/>
      <c r="E1004" s="1247"/>
      <c r="F1004" s="1560"/>
      <c r="G1004" s="1038"/>
      <c r="H1004" s="1077"/>
      <c r="I1004" s="1127"/>
      <c r="J1004" s="1128"/>
      <c r="K1004" s="1067"/>
      <c r="L1004" s="1235"/>
      <c r="M1004" s="1081"/>
      <c r="N1004" s="1547" t="s">
        <v>1614</v>
      </c>
      <c r="O1004" s="1191"/>
      <c r="P1004" s="1081"/>
      <c r="Q1004" s="1075"/>
      <c r="R1004" s="1074"/>
      <c r="S1004" s="1074"/>
      <c r="T1004" s="1080"/>
      <c r="U1004" s="1077"/>
      <c r="V1004" s="1073"/>
      <c r="W1004" s="1079"/>
      <c r="X1004" s="1078"/>
      <c r="Y1004" s="1039"/>
      <c r="Z1004" s="1134"/>
      <c r="AA1004" s="1074"/>
      <c r="AB1004" s="1077"/>
      <c r="AC1004" s="1073"/>
      <c r="AD1004" s="1091"/>
      <c r="AE1004" s="1076"/>
      <c r="AF1004" s="1296"/>
      <c r="AG1004" s="1297"/>
      <c r="AH1004" s="1298"/>
      <c r="AI1004" s="1087">
        <f t="shared" si="92"/>
        <v>0</v>
      </c>
      <c r="AJ1004" s="1299"/>
      <c r="AK1004" s="1300"/>
      <c r="AL1004" s="1090"/>
      <c r="AM1004" s="1297"/>
      <c r="AN1004" s="1297"/>
      <c r="AO1004" s="1298"/>
      <c r="AP1004" s="1301"/>
      <c r="AQ1004" s="1298"/>
      <c r="AR1004" s="1301"/>
      <c r="AS1004" s="1301"/>
      <c r="AT1004" s="1297"/>
      <c r="AU1004" s="1299"/>
      <c r="AV1004" s="1302"/>
    </row>
    <row r="1005" spans="1:48" ht="16.5" customHeight="1">
      <c r="A1005" s="1082"/>
      <c r="B1005" s="1082"/>
      <c r="C1005" s="1083"/>
      <c r="D1005" s="1245"/>
      <c r="E1005" s="1247"/>
      <c r="F1005" s="1560"/>
      <c r="G1005" s="1038"/>
      <c r="H1005" s="1077"/>
      <c r="I1005" s="1127"/>
      <c r="J1005" s="1128"/>
      <c r="K1005" s="1067"/>
      <c r="L1005" s="1235"/>
      <c r="M1005" s="1081"/>
      <c r="N1005" s="1038" t="s">
        <v>25</v>
      </c>
      <c r="O1005" s="1293" t="s">
        <v>59</v>
      </c>
      <c r="P1005" s="1081"/>
      <c r="Q1005" s="1075">
        <v>36</v>
      </c>
      <c r="R1005" s="1074"/>
      <c r="S1005" s="1074"/>
      <c r="T1005" s="1080"/>
      <c r="U1005" s="1077"/>
      <c r="V1005" s="1073"/>
      <c r="W1005" s="1079"/>
      <c r="X1005" s="1078"/>
      <c r="Y1005" s="1039"/>
      <c r="Z1005" s="1134"/>
      <c r="AA1005" s="1074"/>
      <c r="AB1005" s="1077"/>
      <c r="AC1005" s="1073"/>
      <c r="AD1005" s="1091"/>
      <c r="AE1005" s="1076"/>
      <c r="AF1005" s="1296"/>
      <c r="AG1005" s="1297"/>
      <c r="AH1005" s="1087">
        <v>180000</v>
      </c>
      <c r="AI1005" s="1087">
        <f t="shared" si="92"/>
        <v>3240000</v>
      </c>
      <c r="AJ1005" s="1299"/>
      <c r="AK1005" s="1300"/>
      <c r="AL1005" s="1090"/>
      <c r="AM1005" s="1297"/>
      <c r="AN1005" s="1297"/>
      <c r="AO1005" s="1298"/>
      <c r="AP1005" s="1301"/>
      <c r="AQ1005" s="1298"/>
      <c r="AR1005" s="1301"/>
      <c r="AS1005" s="1301"/>
      <c r="AT1005" s="1297"/>
      <c r="AU1005" s="1299"/>
      <c r="AV1005" s="1302"/>
    </row>
    <row r="1006" spans="1:48" ht="16.5" customHeight="1">
      <c r="A1006" s="1082"/>
      <c r="B1006" s="1082"/>
      <c r="C1006" s="1083"/>
      <c r="D1006" s="1245"/>
      <c r="E1006" s="1247"/>
      <c r="F1006" s="1560"/>
      <c r="G1006" s="1038"/>
      <c r="H1006" s="1077"/>
      <c r="I1006" s="1127"/>
      <c r="J1006" s="1128"/>
      <c r="K1006" s="1067"/>
      <c r="L1006" s="1235"/>
      <c r="M1006" s="1081"/>
      <c r="N1006" s="1038" t="s">
        <v>16</v>
      </c>
      <c r="O1006" s="1293" t="s">
        <v>121</v>
      </c>
      <c r="P1006" s="1081"/>
      <c r="Q1006" s="1075">
        <v>15.6</v>
      </c>
      <c r="R1006" s="1074"/>
      <c r="S1006" s="1074"/>
      <c r="T1006" s="1080"/>
      <c r="U1006" s="1077"/>
      <c r="V1006" s="1073"/>
      <c r="W1006" s="1079"/>
      <c r="X1006" s="1078"/>
      <c r="Y1006" s="1039"/>
      <c r="Z1006" s="1134"/>
      <c r="AA1006" s="1074"/>
      <c r="AB1006" s="1077"/>
      <c r="AC1006" s="1073"/>
      <c r="AD1006" s="1091"/>
      <c r="AE1006" s="1076"/>
      <c r="AF1006" s="1296"/>
      <c r="AG1006" s="1297"/>
      <c r="AH1006" s="1298">
        <v>300000</v>
      </c>
      <c r="AI1006" s="1087">
        <f>AH1006*Q1006*0.5</f>
        <v>2340000</v>
      </c>
      <c r="AJ1006" s="1299"/>
      <c r="AK1006" s="1300"/>
      <c r="AL1006" s="1090"/>
      <c r="AM1006" s="1297"/>
      <c r="AN1006" s="1297"/>
      <c r="AO1006" s="1298"/>
      <c r="AP1006" s="1301"/>
      <c r="AQ1006" s="1298"/>
      <c r="AR1006" s="1301"/>
      <c r="AS1006" s="1301"/>
      <c r="AT1006" s="1297"/>
      <c r="AU1006" s="1299"/>
      <c r="AV1006" s="1302"/>
    </row>
    <row r="1007" spans="1:48" ht="16.5" customHeight="1">
      <c r="A1007" s="1082"/>
      <c r="B1007" s="1082"/>
      <c r="C1007" s="1083"/>
      <c r="D1007" s="1245"/>
      <c r="E1007" s="1247"/>
      <c r="F1007" s="1560"/>
      <c r="G1007" s="1038"/>
      <c r="H1007" s="1077"/>
      <c r="I1007" s="1127"/>
      <c r="J1007" s="1128"/>
      <c r="K1007" s="1067"/>
      <c r="L1007" s="1235"/>
      <c r="M1007" s="1081"/>
      <c r="N1007" s="1038" t="s">
        <v>18</v>
      </c>
      <c r="O1007" s="1293" t="s">
        <v>320</v>
      </c>
      <c r="P1007" s="1081"/>
      <c r="Q1007" s="1075">
        <v>1.47</v>
      </c>
      <c r="R1007" s="1074"/>
      <c r="S1007" s="1074"/>
      <c r="T1007" s="1080"/>
      <c r="U1007" s="1077"/>
      <c r="V1007" s="1073"/>
      <c r="W1007" s="1079"/>
      <c r="X1007" s="1078"/>
      <c r="Y1007" s="1039"/>
      <c r="Z1007" s="1134"/>
      <c r="AA1007" s="1074"/>
      <c r="AB1007" s="1077"/>
      <c r="AC1007" s="1073"/>
      <c r="AD1007" s="1091"/>
      <c r="AE1007" s="1076"/>
      <c r="AF1007" s="1296"/>
      <c r="AG1007" s="1297"/>
      <c r="AH1007" s="1298">
        <v>150000</v>
      </c>
      <c r="AI1007" s="1087">
        <f t="shared" si="92"/>
        <v>110250</v>
      </c>
      <c r="AJ1007" s="1299"/>
      <c r="AK1007" s="1300"/>
      <c r="AL1007" s="1090"/>
      <c r="AM1007" s="1297"/>
      <c r="AN1007" s="1297"/>
      <c r="AO1007" s="1298"/>
      <c r="AP1007" s="1301"/>
      <c r="AQ1007" s="1298"/>
      <c r="AR1007" s="1301"/>
      <c r="AS1007" s="1301"/>
      <c r="AT1007" s="1297"/>
      <c r="AU1007" s="1299"/>
      <c r="AV1007" s="1302"/>
    </row>
    <row r="1008" spans="1:48" ht="16.5" customHeight="1">
      <c r="A1008" s="1098"/>
      <c r="B1008" s="1095"/>
      <c r="C1008" s="1186"/>
      <c r="D1008" s="1270"/>
      <c r="E1008" s="1264"/>
      <c r="F1008" s="1563"/>
      <c r="G1008" s="1095"/>
      <c r="H1008" s="1151"/>
      <c r="I1008" s="1152"/>
      <c r="J1008" s="1153"/>
      <c r="K1008" s="1101"/>
      <c r="L1008" s="1287"/>
      <c r="M1008" s="1113"/>
      <c r="N1008" s="1095"/>
      <c r="O1008" s="1105"/>
      <c r="P1008" s="1151"/>
      <c r="Q1008" s="1107"/>
      <c r="R1008" s="1094"/>
      <c r="S1008" s="1094"/>
      <c r="T1008" s="1168"/>
      <c r="U1008" s="1109"/>
      <c r="V1008" s="1108"/>
      <c r="W1008" s="1111"/>
      <c r="X1008" s="1110"/>
      <c r="Y1008" s="1096"/>
      <c r="Z1008" s="1286"/>
      <c r="AA1008" s="1094"/>
      <c r="AB1008" s="1151"/>
      <c r="AC1008" s="1107"/>
      <c r="AD1008" s="1109"/>
      <c r="AE1008" s="1108"/>
      <c r="AF1008" s="1305"/>
      <c r="AG1008" s="1306"/>
      <c r="AH1008" s="1307"/>
      <c r="AI1008" s="1307"/>
      <c r="AJ1008" s="1308"/>
      <c r="AK1008" s="1309"/>
      <c r="AL1008" s="1120"/>
      <c r="AM1008" s="1306"/>
      <c r="AN1008" s="1306"/>
      <c r="AO1008" s="1307"/>
      <c r="AP1008" s="1310"/>
      <c r="AQ1008" s="1307"/>
      <c r="AR1008" s="1310"/>
      <c r="AS1008" s="1310"/>
      <c r="AT1008" s="1306"/>
      <c r="AU1008" s="1308"/>
      <c r="AV1008" s="1311"/>
    </row>
    <row r="1009" spans="1:48" ht="16.5" customHeight="1">
      <c r="A1009" s="1269">
        <v>75</v>
      </c>
      <c r="B1009" s="1033" t="s">
        <v>25</v>
      </c>
      <c r="C1009" s="1036" t="s">
        <v>1613</v>
      </c>
      <c r="D1009" s="1373"/>
      <c r="E1009" s="1374"/>
      <c r="F1009" s="1559" t="s">
        <v>1612</v>
      </c>
      <c r="G1009" s="1272" t="s">
        <v>25</v>
      </c>
      <c r="H1009" s="1173" t="s">
        <v>1540</v>
      </c>
      <c r="I1009" s="1174">
        <v>634</v>
      </c>
      <c r="J1009" s="1043" t="s">
        <v>28</v>
      </c>
      <c r="K1009" s="1330" t="s">
        <v>1611</v>
      </c>
      <c r="L1009" s="1129" t="s">
        <v>46</v>
      </c>
      <c r="M1009" s="1331" t="s">
        <v>46</v>
      </c>
      <c r="N1009" s="1035" t="s">
        <v>25</v>
      </c>
      <c r="O1009" s="1190" t="s">
        <v>26</v>
      </c>
      <c r="P1009" s="1054"/>
      <c r="Q1009" s="1048">
        <v>393.52</v>
      </c>
      <c r="R1009" s="1170"/>
      <c r="S1009" s="1034"/>
      <c r="T1009" s="1053"/>
      <c r="U1009" s="1180">
        <v>1</v>
      </c>
      <c r="V1009" s="1319" t="s">
        <v>14</v>
      </c>
      <c r="W1009" s="1052"/>
      <c r="X1009" s="1051"/>
      <c r="Y1009" s="1036">
        <v>1</v>
      </c>
      <c r="Z1009" s="1203">
        <f>SUM(W1009:Y1009)</f>
        <v>1</v>
      </c>
      <c r="AA1009" s="1170"/>
      <c r="AB1009" s="1173"/>
      <c r="AC1009" s="1047"/>
      <c r="AD1009" s="1055"/>
      <c r="AE1009" s="1032"/>
      <c r="AF1009" s="1333">
        <f>Resum!F1*1.1</f>
        <v>391600.00000000006</v>
      </c>
      <c r="AG1009" s="1086">
        <f>AF1009*I1009</f>
        <v>248274400.00000003</v>
      </c>
      <c r="AH1009" s="1334">
        <v>2530000</v>
      </c>
      <c r="AI1009" s="1087">
        <f>AH1009*Q1009*0.65</f>
        <v>647143640</v>
      </c>
      <c r="AJ1009" s="1335">
        <f>SUM(AI1009:AI1016)</f>
        <v>660886190</v>
      </c>
      <c r="AK1009" s="1089">
        <v>115500</v>
      </c>
      <c r="AL1009" s="1087">
        <f>AK1009*Y1009</f>
        <v>115500</v>
      </c>
      <c r="AM1009" s="1337">
        <f>SUM(AL1009:AL1011)</f>
        <v>191700</v>
      </c>
      <c r="AN1009" s="1086">
        <f>AM1009+AJ1009+AG1009</f>
        <v>909352290</v>
      </c>
      <c r="AO1009" s="1334"/>
      <c r="AP1009" s="1136">
        <f>(AG1009+AI1009)*15%</f>
        <v>134312706</v>
      </c>
      <c r="AQ1009" s="1087">
        <f>(AG1009+AI1009)*0.75%</f>
        <v>6715635.2999999998</v>
      </c>
      <c r="AR1009" s="1136">
        <f>(AG1009+AI1009)*5%</f>
        <v>44770902</v>
      </c>
      <c r="AS1009" s="1087">
        <f>0.5%*(AG1009+AI1009)*(3)</f>
        <v>13431270.600000001</v>
      </c>
      <c r="AT1009" s="1086">
        <f>+AS1009+AR1009+AQ1009+AP1009+AO1009</f>
        <v>199230513.90000001</v>
      </c>
      <c r="AU1009" s="1137">
        <f>ROUND(AT1009+AN1009,-3)</f>
        <v>1108583000</v>
      </c>
      <c r="AV1009" s="1041"/>
    </row>
    <row r="1010" spans="1:48" ht="16.5" customHeight="1">
      <c r="A1010" s="1082"/>
      <c r="B1010" s="1038" t="s">
        <v>16</v>
      </c>
      <c r="C1010" s="1071" t="s">
        <v>1610</v>
      </c>
      <c r="D1010" s="1245"/>
      <c r="E1010" s="1247"/>
      <c r="F1010" s="1560"/>
      <c r="G1010" s="1038" t="s">
        <v>16</v>
      </c>
      <c r="H1010" s="1074" t="s">
        <v>22</v>
      </c>
      <c r="I1010" s="1127"/>
      <c r="J1010" s="1069"/>
      <c r="K1010" s="1339"/>
      <c r="L1010" s="1139"/>
      <c r="M1010" s="1128"/>
      <c r="N1010" s="1038" t="s">
        <v>16</v>
      </c>
      <c r="O1010" s="1293" t="s">
        <v>21</v>
      </c>
      <c r="P1010" s="1081"/>
      <c r="Q1010" s="1075">
        <v>8.19</v>
      </c>
      <c r="R1010" s="1074"/>
      <c r="S1010" s="1074"/>
      <c r="T1010" s="1080"/>
      <c r="U1010" s="1091">
        <v>2</v>
      </c>
      <c r="V1010" s="1185" t="s">
        <v>32</v>
      </c>
      <c r="W1010" s="1079"/>
      <c r="X1010" s="1078">
        <v>5</v>
      </c>
      <c r="Y1010" s="1039"/>
      <c r="Z1010" s="1134">
        <f>SUM(W1010:Y1010)</f>
        <v>5</v>
      </c>
      <c r="AA1010" s="1074"/>
      <c r="AB1010" s="1126"/>
      <c r="AC1010" s="1073"/>
      <c r="AD1010" s="1084"/>
      <c r="AE1010" s="1062"/>
      <c r="AF1010" s="1296"/>
      <c r="AG1010" s="1297"/>
      <c r="AH1010" s="1298">
        <v>350000</v>
      </c>
      <c r="AI1010" s="1087">
        <f>AH1010*Q1010*0.7</f>
        <v>2006549.9999999998</v>
      </c>
      <c r="AJ1010" s="1299"/>
      <c r="AK1010" s="1300">
        <v>12600</v>
      </c>
      <c r="AL1010" s="1090">
        <f>AK1010*X1010</f>
        <v>63000</v>
      </c>
      <c r="AM1010" s="1297"/>
      <c r="AN1010" s="1297"/>
      <c r="AO1010" s="1298"/>
      <c r="AP1010" s="1301"/>
      <c r="AQ1010" s="1298"/>
      <c r="AR1010" s="1301"/>
      <c r="AS1010" s="1301"/>
      <c r="AT1010" s="1297"/>
      <c r="AU1010" s="1299"/>
      <c r="AV1010" s="1067"/>
    </row>
    <row r="1011" spans="1:48" ht="16.5" customHeight="1">
      <c r="A1011" s="1082"/>
      <c r="B1011" s="1038" t="s">
        <v>18</v>
      </c>
      <c r="C1011" s="1039" t="s">
        <v>404</v>
      </c>
      <c r="D1011" s="1245"/>
      <c r="E1011" s="1247"/>
      <c r="F1011" s="1560"/>
      <c r="G1011" s="1038" t="s">
        <v>18</v>
      </c>
      <c r="H1011" s="1074" t="s">
        <v>19</v>
      </c>
      <c r="I1011" s="1127"/>
      <c r="J1011" s="1069"/>
      <c r="K1011" s="1339"/>
      <c r="L1011" s="1139"/>
      <c r="M1011" s="1128"/>
      <c r="N1011" s="1038" t="s">
        <v>18</v>
      </c>
      <c r="O1011" s="1293" t="s">
        <v>320</v>
      </c>
      <c r="P1011" s="1081"/>
      <c r="Q1011" s="1075">
        <v>3.28</v>
      </c>
      <c r="R1011" s="1074"/>
      <c r="S1011" s="1074"/>
      <c r="T1011" s="1080"/>
      <c r="U1011" s="1091"/>
      <c r="V1011" s="1185" t="s">
        <v>32</v>
      </c>
      <c r="W1011" s="1079"/>
      <c r="X1011" s="1078"/>
      <c r="Y1011" s="1039">
        <v>2</v>
      </c>
      <c r="Z1011" s="1134"/>
      <c r="AA1011" s="1074"/>
      <c r="AB1011" s="1126"/>
      <c r="AC1011" s="1073"/>
      <c r="AD1011" s="1084"/>
      <c r="AE1011" s="1062"/>
      <c r="AF1011" s="1296"/>
      <c r="AG1011" s="1297"/>
      <c r="AH1011" s="1298">
        <v>350000</v>
      </c>
      <c r="AI1011" s="1087">
        <f t="shared" si="92"/>
        <v>574000</v>
      </c>
      <c r="AJ1011" s="1299"/>
      <c r="AK1011" s="1300">
        <v>6600</v>
      </c>
      <c r="AL1011" s="1090">
        <f>AK1011*Y1011</f>
        <v>13200</v>
      </c>
      <c r="AM1011" s="1297"/>
      <c r="AN1011" s="1297"/>
      <c r="AO1011" s="1298"/>
      <c r="AP1011" s="1301"/>
      <c r="AQ1011" s="1298"/>
      <c r="AR1011" s="1301"/>
      <c r="AS1011" s="1301"/>
      <c r="AT1011" s="1297"/>
      <c r="AU1011" s="1299"/>
      <c r="AV1011" s="1067"/>
    </row>
    <row r="1012" spans="1:48" ht="49.5" customHeight="1">
      <c r="A1012" s="1082"/>
      <c r="B1012" s="1082" t="s">
        <v>12</v>
      </c>
      <c r="C1012" s="1083" t="s">
        <v>210</v>
      </c>
      <c r="D1012" s="1245"/>
      <c r="E1012" s="1247"/>
      <c r="F1012" s="1560"/>
      <c r="G1012" s="1038"/>
      <c r="H1012" s="1077"/>
      <c r="I1012" s="1127"/>
      <c r="J1012" s="1069"/>
      <c r="K1012" s="1339"/>
      <c r="L1012" s="1139"/>
      <c r="M1012" s="1128"/>
      <c r="N1012" s="1038" t="s">
        <v>12</v>
      </c>
      <c r="O1012" s="1293" t="s">
        <v>1544</v>
      </c>
      <c r="P1012" s="1081"/>
      <c r="Q1012" s="1075">
        <v>16</v>
      </c>
      <c r="R1012" s="1074"/>
      <c r="S1012" s="1074"/>
      <c r="T1012" s="1080"/>
      <c r="U1012" s="1077"/>
      <c r="V1012" s="1185"/>
      <c r="W1012" s="1079"/>
      <c r="X1012" s="1078"/>
      <c r="Y1012" s="1039"/>
      <c r="Z1012" s="1134"/>
      <c r="AA1012" s="1074"/>
      <c r="AB1012" s="1126"/>
      <c r="AC1012" s="1073"/>
      <c r="AD1012" s="1084"/>
      <c r="AE1012" s="1062"/>
      <c r="AF1012" s="1296"/>
      <c r="AG1012" s="1297"/>
      <c r="AH1012" s="1298">
        <v>125000</v>
      </c>
      <c r="AI1012" s="1087">
        <f t="shared" si="92"/>
        <v>1000000</v>
      </c>
      <c r="AJ1012" s="1299"/>
      <c r="AK1012" s="1300"/>
      <c r="AL1012" s="1090"/>
      <c r="AM1012" s="1297"/>
      <c r="AN1012" s="1297"/>
      <c r="AO1012" s="1298"/>
      <c r="AP1012" s="1301"/>
      <c r="AQ1012" s="1298"/>
      <c r="AR1012" s="1301"/>
      <c r="AS1012" s="1301"/>
      <c r="AT1012" s="1297"/>
      <c r="AU1012" s="1299"/>
      <c r="AV1012" s="1067"/>
    </row>
    <row r="1013" spans="1:48" ht="16.5" customHeight="1">
      <c r="A1013" s="1082"/>
      <c r="B1013" s="1082" t="s">
        <v>8</v>
      </c>
      <c r="C1013" s="1083" t="s">
        <v>1609</v>
      </c>
      <c r="D1013" s="1245"/>
      <c r="E1013" s="1247"/>
      <c r="F1013" s="1560"/>
      <c r="G1013" s="1038"/>
      <c r="H1013" s="1077"/>
      <c r="I1013" s="1127"/>
      <c r="J1013" s="1069"/>
      <c r="K1013" s="1339"/>
      <c r="L1013" s="1139"/>
      <c r="M1013" s="1128"/>
      <c r="N1013" s="1038" t="s">
        <v>8</v>
      </c>
      <c r="O1013" s="1293" t="s">
        <v>17</v>
      </c>
      <c r="P1013" s="1081">
        <v>2</v>
      </c>
      <c r="Q1013" s="1075"/>
      <c r="R1013" s="1074"/>
      <c r="S1013" s="1074"/>
      <c r="T1013" s="1080"/>
      <c r="U1013" s="1077"/>
      <c r="V1013" s="1073"/>
      <c r="W1013" s="1079"/>
      <c r="X1013" s="1078"/>
      <c r="Y1013" s="1039"/>
      <c r="Z1013" s="1134"/>
      <c r="AA1013" s="1074"/>
      <c r="AB1013" s="1126"/>
      <c r="AC1013" s="1073"/>
      <c r="AD1013" s="1084"/>
      <c r="AE1013" s="1062"/>
      <c r="AF1013" s="1296"/>
      <c r="AG1013" s="1297"/>
      <c r="AH1013" s="1298">
        <v>2500000</v>
      </c>
      <c r="AI1013" s="1087">
        <f>AH1013*P1013*0.5</f>
        <v>2500000</v>
      </c>
      <c r="AJ1013" s="1299"/>
      <c r="AK1013" s="1300"/>
      <c r="AL1013" s="1090"/>
      <c r="AM1013" s="1297"/>
      <c r="AN1013" s="1297"/>
      <c r="AO1013" s="1298"/>
      <c r="AP1013" s="1301"/>
      <c r="AQ1013" s="1298"/>
      <c r="AR1013" s="1301"/>
      <c r="AS1013" s="1301"/>
      <c r="AT1013" s="1297"/>
      <c r="AU1013" s="1299"/>
      <c r="AV1013" s="1067"/>
    </row>
    <row r="1014" spans="1:48" ht="16.5" customHeight="1">
      <c r="A1014" s="1082"/>
      <c r="B1014" s="1082"/>
      <c r="C1014" s="1083"/>
      <c r="D1014" s="1245"/>
      <c r="E1014" s="1247"/>
      <c r="F1014" s="1560"/>
      <c r="G1014" s="1038"/>
      <c r="H1014" s="1077"/>
      <c r="I1014" s="1127"/>
      <c r="J1014" s="1069"/>
      <c r="K1014" s="1339"/>
      <c r="L1014" s="1139"/>
      <c r="M1014" s="1128"/>
      <c r="N1014" s="1038" t="s">
        <v>54</v>
      </c>
      <c r="O1014" s="1293" t="s">
        <v>11</v>
      </c>
      <c r="P1014" s="1081">
        <v>1</v>
      </c>
      <c r="Q1014" s="1075"/>
      <c r="R1014" s="1074"/>
      <c r="S1014" s="1074"/>
      <c r="T1014" s="1080"/>
      <c r="U1014" s="1077"/>
      <c r="V1014" s="1073"/>
      <c r="W1014" s="1079"/>
      <c r="X1014" s="1078"/>
      <c r="Y1014" s="1039"/>
      <c r="Z1014" s="1134"/>
      <c r="AA1014" s="1074"/>
      <c r="AB1014" s="1126"/>
      <c r="AC1014" s="1073"/>
      <c r="AD1014" s="1084"/>
      <c r="AE1014" s="1062"/>
      <c r="AF1014" s="1296"/>
      <c r="AG1014" s="1297"/>
      <c r="AH1014" s="1298">
        <v>2500000</v>
      </c>
      <c r="AI1014" s="1087">
        <f>AH1014*P1014*0.75</f>
        <v>1875000</v>
      </c>
      <c r="AJ1014" s="1299"/>
      <c r="AK1014" s="1300"/>
      <c r="AL1014" s="1090"/>
      <c r="AM1014" s="1297"/>
      <c r="AN1014" s="1297"/>
      <c r="AO1014" s="1298"/>
      <c r="AP1014" s="1301"/>
      <c r="AQ1014" s="1298"/>
      <c r="AR1014" s="1301"/>
      <c r="AS1014" s="1301"/>
      <c r="AT1014" s="1297"/>
      <c r="AU1014" s="1299"/>
      <c r="AV1014" s="1067"/>
    </row>
    <row r="1015" spans="1:48" ht="16.5" customHeight="1">
      <c r="A1015" s="1082"/>
      <c r="B1015" s="1082"/>
      <c r="C1015" s="1083"/>
      <c r="D1015" s="1245"/>
      <c r="E1015" s="1247"/>
      <c r="F1015" s="1560"/>
      <c r="G1015" s="1038"/>
      <c r="H1015" s="1077"/>
      <c r="I1015" s="1127"/>
      <c r="J1015" s="1069"/>
      <c r="K1015" s="1339"/>
      <c r="L1015" s="1139"/>
      <c r="M1015" s="1128"/>
      <c r="N1015" s="1038" t="s">
        <v>53</v>
      </c>
      <c r="O1015" s="1293" t="s">
        <v>175</v>
      </c>
      <c r="P1015" s="1081"/>
      <c r="Q1015" s="1075">
        <v>25</v>
      </c>
      <c r="R1015" s="1074"/>
      <c r="S1015" s="1074"/>
      <c r="T1015" s="1080"/>
      <c r="U1015" s="1077"/>
      <c r="V1015" s="1073"/>
      <c r="W1015" s="1079"/>
      <c r="X1015" s="1078"/>
      <c r="Y1015" s="1039"/>
      <c r="Z1015" s="1134"/>
      <c r="AA1015" s="1074"/>
      <c r="AB1015" s="1126"/>
      <c r="AC1015" s="1073"/>
      <c r="AD1015" s="1084"/>
      <c r="AE1015" s="1062"/>
      <c r="AF1015" s="1296"/>
      <c r="AG1015" s="1297"/>
      <c r="AH1015" s="1298">
        <v>300000</v>
      </c>
      <c r="AI1015" s="1087">
        <f t="shared" si="92"/>
        <v>3750000</v>
      </c>
      <c r="AJ1015" s="1299"/>
      <c r="AK1015" s="1300"/>
      <c r="AL1015" s="1090"/>
      <c r="AM1015" s="1297"/>
      <c r="AN1015" s="1297"/>
      <c r="AO1015" s="1298"/>
      <c r="AP1015" s="1301"/>
      <c r="AQ1015" s="1298"/>
      <c r="AR1015" s="1301"/>
      <c r="AS1015" s="1301"/>
      <c r="AT1015" s="1297"/>
      <c r="AU1015" s="1299"/>
      <c r="AV1015" s="1067"/>
    </row>
    <row r="1016" spans="1:48" ht="16.5" customHeight="1">
      <c r="A1016" s="1082"/>
      <c r="B1016" s="1082"/>
      <c r="C1016" s="1083"/>
      <c r="D1016" s="1245"/>
      <c r="E1016" s="1247"/>
      <c r="F1016" s="1560"/>
      <c r="G1016" s="1038"/>
      <c r="H1016" s="1077"/>
      <c r="I1016" s="1127"/>
      <c r="J1016" s="1069"/>
      <c r="K1016" s="1339"/>
      <c r="L1016" s="1139"/>
      <c r="M1016" s="1128"/>
      <c r="N1016" s="1038" t="s">
        <v>51</v>
      </c>
      <c r="O1016" s="1293" t="s">
        <v>184</v>
      </c>
      <c r="P1016" s="1081"/>
      <c r="Q1016" s="1075">
        <v>40.74</v>
      </c>
      <c r="R1016" s="1074"/>
      <c r="S1016" s="1074"/>
      <c r="T1016" s="1080"/>
      <c r="U1016" s="1077"/>
      <c r="V1016" s="1073"/>
      <c r="W1016" s="1079"/>
      <c r="X1016" s="1078"/>
      <c r="Y1016" s="1039"/>
      <c r="Z1016" s="1134"/>
      <c r="AA1016" s="1074"/>
      <c r="AB1016" s="1126"/>
      <c r="AC1016" s="1073"/>
      <c r="AD1016" s="1084"/>
      <c r="AE1016" s="1062"/>
      <c r="AF1016" s="1296"/>
      <c r="AG1016" s="1297"/>
      <c r="AH1016" s="1298">
        <v>100000</v>
      </c>
      <c r="AI1016" s="1087">
        <f>AH1016*Q1016*0.5</f>
        <v>2037000</v>
      </c>
      <c r="AJ1016" s="1299"/>
      <c r="AK1016" s="1300"/>
      <c r="AL1016" s="1090"/>
      <c r="AM1016" s="1297"/>
      <c r="AN1016" s="1297"/>
      <c r="AO1016" s="1298"/>
      <c r="AP1016" s="1301"/>
      <c r="AQ1016" s="1298"/>
      <c r="AR1016" s="1301"/>
      <c r="AS1016" s="1301"/>
      <c r="AT1016" s="1297"/>
      <c r="AU1016" s="1299"/>
      <c r="AV1016" s="1067"/>
    </row>
    <row r="1017" spans="1:48" ht="16.5" customHeight="1">
      <c r="A1017" s="1082"/>
      <c r="B1017" s="1082"/>
      <c r="C1017" s="1083"/>
      <c r="D1017" s="1245"/>
      <c r="E1017" s="1247"/>
      <c r="F1017" s="1560"/>
      <c r="G1017" s="1038"/>
      <c r="H1017" s="1077"/>
      <c r="I1017" s="1127"/>
      <c r="J1017" s="1069"/>
      <c r="K1017" s="1339"/>
      <c r="L1017" s="1139"/>
      <c r="M1017" s="1128"/>
      <c r="N1017" s="1038"/>
      <c r="O1017" s="1083"/>
      <c r="P1017" s="1091"/>
      <c r="Q1017" s="1076"/>
      <c r="R1017" s="1074"/>
      <c r="S1017" s="1074"/>
      <c r="T1017" s="1080"/>
      <c r="U1017" s="1077"/>
      <c r="V1017" s="1073"/>
      <c r="W1017" s="1079"/>
      <c r="X1017" s="1078"/>
      <c r="Y1017" s="1039"/>
      <c r="Z1017" s="1134"/>
      <c r="AA1017" s="1074"/>
      <c r="AB1017" s="1126"/>
      <c r="AC1017" s="1073"/>
      <c r="AD1017" s="1084"/>
      <c r="AE1017" s="1062"/>
      <c r="AF1017" s="1296"/>
      <c r="AG1017" s="1297"/>
      <c r="AH1017" s="1298"/>
      <c r="AI1017" s="1298"/>
      <c r="AJ1017" s="1299"/>
      <c r="AK1017" s="1300"/>
      <c r="AL1017" s="1090"/>
      <c r="AM1017" s="1297"/>
      <c r="AN1017" s="1297"/>
      <c r="AO1017" s="1298"/>
      <c r="AP1017" s="1301"/>
      <c r="AQ1017" s="1298"/>
      <c r="AR1017" s="1301"/>
      <c r="AS1017" s="1301"/>
      <c r="AT1017" s="1297"/>
      <c r="AU1017" s="1299"/>
      <c r="AV1017" s="1067"/>
    </row>
    <row r="1018" spans="1:48" ht="16.5" customHeight="1">
      <c r="A1018" s="1098"/>
      <c r="B1018" s="1095"/>
      <c r="C1018" s="1186"/>
      <c r="D1018" s="1270"/>
      <c r="E1018" s="1264"/>
      <c r="F1018" s="1563"/>
      <c r="G1018" s="1095"/>
      <c r="H1018" s="1151"/>
      <c r="I1018" s="1152"/>
      <c r="J1018" s="1103"/>
      <c r="K1018" s="1342"/>
      <c r="L1018" s="1154"/>
      <c r="M1018" s="1153"/>
      <c r="N1018" s="1095"/>
      <c r="O1018" s="1105"/>
      <c r="P1018" s="1109"/>
      <c r="Q1018" s="1108"/>
      <c r="R1018" s="1094"/>
      <c r="S1018" s="1094"/>
      <c r="T1018" s="1112"/>
      <c r="U1018" s="1151"/>
      <c r="V1018" s="1107"/>
      <c r="W1018" s="1111"/>
      <c r="X1018" s="1110"/>
      <c r="Y1018" s="1096"/>
      <c r="Z1018" s="1286"/>
      <c r="AA1018" s="1094"/>
      <c r="AB1018" s="1156"/>
      <c r="AC1018" s="1107"/>
      <c r="AD1018" s="1114"/>
      <c r="AE1018" s="1093"/>
      <c r="AF1018" s="1305"/>
      <c r="AG1018" s="1306"/>
      <c r="AH1018" s="1307"/>
      <c r="AI1018" s="1307"/>
      <c r="AJ1018" s="1308"/>
      <c r="AK1018" s="1309"/>
      <c r="AL1018" s="1120"/>
      <c r="AM1018" s="1306"/>
      <c r="AN1018" s="1306"/>
      <c r="AO1018" s="1307"/>
      <c r="AP1018" s="1310"/>
      <c r="AQ1018" s="1307"/>
      <c r="AR1018" s="1310"/>
      <c r="AS1018" s="1310"/>
      <c r="AT1018" s="1306"/>
      <c r="AU1018" s="1308"/>
      <c r="AV1018" s="1101"/>
    </row>
    <row r="1019" spans="1:48" ht="16.5" customHeight="1">
      <c r="A1019" s="1269">
        <v>76</v>
      </c>
      <c r="B1019" s="1033" t="s">
        <v>25</v>
      </c>
      <c r="C1019" s="1036" t="s">
        <v>1608</v>
      </c>
      <c r="D1019" s="1373"/>
      <c r="E1019" s="1374"/>
      <c r="F1019" s="1375" t="s">
        <v>1607</v>
      </c>
      <c r="G1019" s="1272" t="s">
        <v>25</v>
      </c>
      <c r="H1019" s="1173" t="s">
        <v>1540</v>
      </c>
      <c r="I1019" s="1174">
        <v>954</v>
      </c>
      <c r="J1019" s="1175" t="s">
        <v>41</v>
      </c>
      <c r="K1019" s="1041" t="s">
        <v>1606</v>
      </c>
      <c r="L1019" s="1279"/>
      <c r="M1019" s="1054"/>
      <c r="N1019" s="1035" t="s">
        <v>25</v>
      </c>
      <c r="O1019" s="1190" t="s">
        <v>26</v>
      </c>
      <c r="P1019" s="1054"/>
      <c r="Q1019" s="1048">
        <v>66.2</v>
      </c>
      <c r="R1019" s="1034"/>
      <c r="S1019" s="1034"/>
      <c r="T1019" s="1053"/>
      <c r="U1019" s="1180">
        <v>1</v>
      </c>
      <c r="V1019" s="1319" t="s">
        <v>1591</v>
      </c>
      <c r="W1019" s="1052">
        <v>1</v>
      </c>
      <c r="X1019" s="1051"/>
      <c r="Y1019" s="1036"/>
      <c r="Z1019" s="1203">
        <f t="shared" ref="Z1019:Z1028" si="93">SUM(W1019:Y1019)</f>
        <v>1</v>
      </c>
      <c r="AA1019" s="1034"/>
      <c r="AB1019" s="1050"/>
      <c r="AC1019" s="1047"/>
      <c r="AD1019" s="1180"/>
      <c r="AE1019" s="1049"/>
      <c r="AF1019" s="1333">
        <f>Resum!F1</f>
        <v>356000</v>
      </c>
      <c r="AG1019" s="1086">
        <f>AF1019*I1019</f>
        <v>339624000</v>
      </c>
      <c r="AH1019" s="1334">
        <v>2200000</v>
      </c>
      <c r="AI1019" s="1087">
        <f>AH1019*Q1019*0.75</f>
        <v>109230000</v>
      </c>
      <c r="AJ1019" s="1335">
        <f>SUM(AI1019:AI1039)</f>
        <v>385679550</v>
      </c>
      <c r="AK1019" s="1089">
        <v>350000</v>
      </c>
      <c r="AL1019" s="1087">
        <f t="shared" ref="AL1019:AL1060" si="94">AK1019*W1019</f>
        <v>350000</v>
      </c>
      <c r="AM1019" s="1337">
        <f>SUM(AL1019:AL1028)</f>
        <v>1974300</v>
      </c>
      <c r="AN1019" s="1086">
        <f>AM1019+AJ1019+AG1019</f>
        <v>727277850</v>
      </c>
      <c r="AO1019" s="1334">
        <f>300000*30*3</f>
        <v>27000000</v>
      </c>
      <c r="AP1019" s="1136">
        <f>(AG1019+AI1019)*15%</f>
        <v>67328100</v>
      </c>
      <c r="AQ1019" s="1087">
        <f>(AG1019+AI1019)*1%</f>
        <v>4488540</v>
      </c>
      <c r="AR1019" s="1136">
        <f>(AG1019+AI1019)*5%</f>
        <v>22442700</v>
      </c>
      <c r="AS1019" s="1087">
        <f>0.5%*(AG1019+AI1019)*(3)</f>
        <v>6732810</v>
      </c>
      <c r="AT1019" s="1086">
        <f>+AS1019+AR1019+AQ1019+AP1019+AO1019</f>
        <v>127992150</v>
      </c>
      <c r="AU1019" s="1137">
        <f>ROUND(AT1019+AN1019,-3)</f>
        <v>855270000</v>
      </c>
      <c r="AV1019" s="1365"/>
    </row>
    <row r="1020" spans="1:48" ht="16.5" customHeight="1">
      <c r="A1020" s="1082"/>
      <c r="B1020" s="1038" t="s">
        <v>16</v>
      </c>
      <c r="C1020" s="1071" t="s">
        <v>1605</v>
      </c>
      <c r="D1020" s="1245"/>
      <c r="E1020" s="1247"/>
      <c r="F1020" s="1138"/>
      <c r="G1020" s="1038" t="s">
        <v>16</v>
      </c>
      <c r="H1020" s="1074" t="s">
        <v>22</v>
      </c>
      <c r="I1020" s="1127"/>
      <c r="J1020" s="1128"/>
      <c r="K1020" s="1067"/>
      <c r="L1020" s="1235"/>
      <c r="M1020" s="1081"/>
      <c r="N1020" s="1038" t="s">
        <v>16</v>
      </c>
      <c r="O1020" s="1293" t="s">
        <v>21</v>
      </c>
      <c r="P1020" s="1081"/>
      <c r="Q1020" s="1075">
        <v>4.1500000000000004</v>
      </c>
      <c r="R1020" s="1074"/>
      <c r="S1020" s="1074"/>
      <c r="T1020" s="1080"/>
      <c r="U1020" s="1091">
        <v>2</v>
      </c>
      <c r="V1020" s="1185" t="s">
        <v>3</v>
      </c>
      <c r="W1020" s="1079">
        <v>1</v>
      </c>
      <c r="X1020" s="1078"/>
      <c r="Y1020" s="1039"/>
      <c r="Z1020" s="1134">
        <f t="shared" si="93"/>
        <v>1</v>
      </c>
      <c r="AA1020" s="1074"/>
      <c r="AB1020" s="1077"/>
      <c r="AC1020" s="1073"/>
      <c r="AD1020" s="1091"/>
      <c r="AE1020" s="1076"/>
      <c r="AF1020" s="1296"/>
      <c r="AG1020" s="1297"/>
      <c r="AH1020" s="1298">
        <v>350000</v>
      </c>
      <c r="AI1020" s="1087">
        <f>AH1020*Q1020*0.7</f>
        <v>1016750.0000000001</v>
      </c>
      <c r="AJ1020" s="1299"/>
      <c r="AK1020" s="1089">
        <v>85000</v>
      </c>
      <c r="AL1020" s="1090">
        <f t="shared" si="94"/>
        <v>85000</v>
      </c>
      <c r="AM1020" s="1297"/>
      <c r="AN1020" s="1297"/>
      <c r="AO1020" s="1298"/>
      <c r="AP1020" s="1301"/>
      <c r="AQ1020" s="1298"/>
      <c r="AR1020" s="1301"/>
      <c r="AS1020" s="1301"/>
      <c r="AT1020" s="1297"/>
      <c r="AU1020" s="1299"/>
      <c r="AV1020" s="1302"/>
    </row>
    <row r="1021" spans="1:48" ht="16.5" customHeight="1">
      <c r="A1021" s="1082"/>
      <c r="B1021" s="1038" t="s">
        <v>18</v>
      </c>
      <c r="C1021" s="1039" t="s">
        <v>1604</v>
      </c>
      <c r="D1021" s="1245"/>
      <c r="E1021" s="1247"/>
      <c r="F1021" s="1138"/>
      <c r="G1021" s="1038" t="s">
        <v>18</v>
      </c>
      <c r="H1021" s="1074" t="s">
        <v>19</v>
      </c>
      <c r="I1021" s="1127"/>
      <c r="J1021" s="1128"/>
      <c r="K1021" s="1067"/>
      <c r="L1021" s="1235"/>
      <c r="M1021" s="1081"/>
      <c r="N1021" s="1038" t="s">
        <v>18</v>
      </c>
      <c r="O1021" s="1293" t="s">
        <v>59</v>
      </c>
      <c r="P1021" s="1081"/>
      <c r="Q1021" s="1075">
        <v>4.5</v>
      </c>
      <c r="R1021" s="1074"/>
      <c r="S1021" s="1074"/>
      <c r="T1021" s="1080"/>
      <c r="U1021" s="1091">
        <v>3</v>
      </c>
      <c r="V1021" s="1185" t="s">
        <v>265</v>
      </c>
      <c r="W1021" s="1079"/>
      <c r="X1021" s="1078">
        <v>2</v>
      </c>
      <c r="Y1021" s="1039"/>
      <c r="Z1021" s="1134">
        <f t="shared" si="93"/>
        <v>2</v>
      </c>
      <c r="AA1021" s="1074"/>
      <c r="AB1021" s="1077"/>
      <c r="AC1021" s="1073"/>
      <c r="AD1021" s="1091"/>
      <c r="AE1021" s="1076"/>
      <c r="AF1021" s="1296"/>
      <c r="AG1021" s="1297"/>
      <c r="AH1021" s="1087">
        <v>180000</v>
      </c>
      <c r="AI1021" s="1087">
        <f t="shared" ref="AI1021:AI1039" si="95">AH1021*Q1021*0.5</f>
        <v>405000</v>
      </c>
      <c r="AJ1021" s="1299"/>
      <c r="AK1021" s="1089">
        <v>66000</v>
      </c>
      <c r="AL1021" s="1090">
        <f>AK1021*X1021</f>
        <v>132000</v>
      </c>
      <c r="AM1021" s="1297"/>
      <c r="AN1021" s="1297"/>
      <c r="AO1021" s="1298"/>
      <c r="AP1021" s="1301"/>
      <c r="AQ1021" s="1298"/>
      <c r="AR1021" s="1301"/>
      <c r="AS1021" s="1301"/>
      <c r="AT1021" s="1297"/>
      <c r="AU1021" s="1299"/>
      <c r="AV1021" s="1302"/>
    </row>
    <row r="1022" spans="1:48" ht="49.5" customHeight="1">
      <c r="A1022" s="1082"/>
      <c r="B1022" s="1082" t="s">
        <v>12</v>
      </c>
      <c r="C1022" s="1083" t="s">
        <v>210</v>
      </c>
      <c r="D1022" s="1245"/>
      <c r="E1022" s="1247"/>
      <c r="F1022" s="1138"/>
      <c r="G1022" s="1038"/>
      <c r="H1022" s="1092"/>
      <c r="I1022" s="1127"/>
      <c r="J1022" s="1128"/>
      <c r="K1022" s="1067"/>
      <c r="L1022" s="1235"/>
      <c r="M1022" s="1081"/>
      <c r="N1022" s="1038" t="s">
        <v>12</v>
      </c>
      <c r="O1022" s="1293" t="s">
        <v>17</v>
      </c>
      <c r="P1022" s="1081">
        <v>1</v>
      </c>
      <c r="Q1022" s="1075"/>
      <c r="R1022" s="1074"/>
      <c r="S1022" s="1074"/>
      <c r="T1022" s="1080"/>
      <c r="U1022" s="1091">
        <v>4</v>
      </c>
      <c r="V1022" s="1185" t="s">
        <v>144</v>
      </c>
      <c r="W1022" s="1079"/>
      <c r="X1022" s="1078">
        <v>2</v>
      </c>
      <c r="Y1022" s="1039"/>
      <c r="Z1022" s="1134">
        <f t="shared" si="93"/>
        <v>2</v>
      </c>
      <c r="AA1022" s="1074"/>
      <c r="AB1022" s="1077"/>
      <c r="AC1022" s="1073"/>
      <c r="AD1022" s="1091"/>
      <c r="AE1022" s="1076"/>
      <c r="AF1022" s="1296"/>
      <c r="AG1022" s="1297"/>
      <c r="AH1022" s="1298">
        <v>2500000</v>
      </c>
      <c r="AI1022" s="1087">
        <f>AH1022*P1022*0.5</f>
        <v>1250000</v>
      </c>
      <c r="AJ1022" s="1299"/>
      <c r="AK1022" s="1300">
        <v>13250</v>
      </c>
      <c r="AL1022" s="1090">
        <f>AK1022*X1022</f>
        <v>26500</v>
      </c>
      <c r="AM1022" s="1297"/>
      <c r="AN1022" s="1297"/>
      <c r="AO1022" s="1298"/>
      <c r="AP1022" s="1301"/>
      <c r="AQ1022" s="1298"/>
      <c r="AR1022" s="1301"/>
      <c r="AS1022" s="1301"/>
      <c r="AT1022" s="1297"/>
      <c r="AU1022" s="1299"/>
      <c r="AV1022" s="1302"/>
    </row>
    <row r="1023" spans="1:48" ht="16.5" customHeight="1">
      <c r="A1023" s="1082"/>
      <c r="B1023" s="1082" t="s">
        <v>8</v>
      </c>
      <c r="C1023" s="1083" t="s">
        <v>1603</v>
      </c>
      <c r="D1023" s="1321"/>
      <c r="E1023" s="1247"/>
      <c r="F1023" s="1138"/>
      <c r="G1023" s="1074"/>
      <c r="H1023" s="1092"/>
      <c r="I1023" s="1127"/>
      <c r="J1023" s="1128"/>
      <c r="K1023" s="1067"/>
      <c r="L1023" s="1235"/>
      <c r="M1023" s="1081"/>
      <c r="N1023" s="1038" t="s">
        <v>8</v>
      </c>
      <c r="O1023" s="1293" t="s">
        <v>11</v>
      </c>
      <c r="P1023" s="1081">
        <v>1</v>
      </c>
      <c r="Q1023" s="1075"/>
      <c r="R1023" s="1074"/>
      <c r="S1023" s="1074"/>
      <c r="T1023" s="1080"/>
      <c r="U1023" s="1091">
        <v>5</v>
      </c>
      <c r="V1023" s="1185" t="s">
        <v>466</v>
      </c>
      <c r="W1023" s="1079"/>
      <c r="X1023" s="1078">
        <v>1</v>
      </c>
      <c r="Y1023" s="1039"/>
      <c r="Z1023" s="1134">
        <f t="shared" si="93"/>
        <v>1</v>
      </c>
      <c r="AA1023" s="1074"/>
      <c r="AB1023" s="1077"/>
      <c r="AC1023" s="1073"/>
      <c r="AD1023" s="1091"/>
      <c r="AE1023" s="1076"/>
      <c r="AF1023" s="1296"/>
      <c r="AG1023" s="1297"/>
      <c r="AH1023" s="1298">
        <v>2500000</v>
      </c>
      <c r="AI1023" s="1087">
        <f>AH1023*P1023*0.75</f>
        <v>1875000</v>
      </c>
      <c r="AJ1023" s="1299"/>
      <c r="AK1023" s="1300">
        <v>99000</v>
      </c>
      <c r="AL1023" s="1090">
        <f>AK1023*X1023</f>
        <v>99000</v>
      </c>
      <c r="AM1023" s="1297"/>
      <c r="AN1023" s="1297"/>
      <c r="AO1023" s="1298"/>
      <c r="AP1023" s="1301"/>
      <c r="AQ1023" s="1298"/>
      <c r="AR1023" s="1301"/>
      <c r="AS1023" s="1301"/>
      <c r="AT1023" s="1297"/>
      <c r="AU1023" s="1299"/>
      <c r="AV1023" s="1302"/>
    </row>
    <row r="1024" spans="1:48" ht="16.5" customHeight="1">
      <c r="A1024" s="1082"/>
      <c r="B1024" s="1082"/>
      <c r="C1024" s="1083"/>
      <c r="D1024" s="1321"/>
      <c r="E1024" s="1247"/>
      <c r="F1024" s="1138"/>
      <c r="G1024" s="1074"/>
      <c r="H1024" s="1092"/>
      <c r="I1024" s="1127"/>
      <c r="J1024" s="1128"/>
      <c r="K1024" s="1067"/>
      <c r="L1024" s="1235"/>
      <c r="M1024" s="1081"/>
      <c r="N1024" s="1038"/>
      <c r="O1024" s="1191"/>
      <c r="P1024" s="1081"/>
      <c r="Q1024" s="1075"/>
      <c r="R1024" s="1074"/>
      <c r="S1024" s="1074"/>
      <c r="T1024" s="1080"/>
      <c r="U1024" s="1091">
        <v>6</v>
      </c>
      <c r="V1024" s="1185" t="s">
        <v>1602</v>
      </c>
      <c r="W1024" s="1079"/>
      <c r="X1024" s="1078">
        <v>11</v>
      </c>
      <c r="Y1024" s="1039"/>
      <c r="Z1024" s="1134">
        <f t="shared" si="93"/>
        <v>11</v>
      </c>
      <c r="AA1024" s="1074"/>
      <c r="AB1024" s="1077"/>
      <c r="AC1024" s="1073"/>
      <c r="AD1024" s="1091"/>
      <c r="AE1024" s="1076"/>
      <c r="AF1024" s="1296"/>
      <c r="AG1024" s="1297"/>
      <c r="AH1024" s="1298"/>
      <c r="AI1024" s="1087">
        <f t="shared" si="95"/>
        <v>0</v>
      </c>
      <c r="AJ1024" s="1299"/>
      <c r="AK1024" s="1300">
        <v>105000</v>
      </c>
      <c r="AL1024" s="1090">
        <f>AK1024*X1024</f>
        <v>1155000</v>
      </c>
      <c r="AM1024" s="1297"/>
      <c r="AN1024" s="1297"/>
      <c r="AO1024" s="1298"/>
      <c r="AP1024" s="1301"/>
      <c r="AQ1024" s="1298"/>
      <c r="AR1024" s="1301"/>
      <c r="AS1024" s="1301"/>
      <c r="AT1024" s="1297"/>
      <c r="AU1024" s="1299"/>
      <c r="AV1024" s="1302"/>
    </row>
    <row r="1025" spans="1:48" ht="16.5" customHeight="1">
      <c r="A1025" s="1082"/>
      <c r="B1025" s="1082"/>
      <c r="C1025" s="1083"/>
      <c r="D1025" s="1321"/>
      <c r="E1025" s="1247"/>
      <c r="F1025" s="1138"/>
      <c r="G1025" s="1074"/>
      <c r="H1025" s="1092"/>
      <c r="I1025" s="1127"/>
      <c r="J1025" s="1128"/>
      <c r="K1025" s="1067"/>
      <c r="L1025" s="1235"/>
      <c r="M1025" s="1081"/>
      <c r="N1025" s="1547" t="s">
        <v>1601</v>
      </c>
      <c r="O1025" s="1191"/>
      <c r="P1025" s="1081"/>
      <c r="Q1025" s="1075"/>
      <c r="R1025" s="1074"/>
      <c r="S1025" s="1074"/>
      <c r="T1025" s="1080"/>
      <c r="U1025" s="1091">
        <v>7</v>
      </c>
      <c r="V1025" s="1185" t="s">
        <v>808</v>
      </c>
      <c r="W1025" s="1079">
        <v>1</v>
      </c>
      <c r="X1025" s="1078"/>
      <c r="Y1025" s="1039"/>
      <c r="Z1025" s="1134">
        <f t="shared" si="93"/>
        <v>1</v>
      </c>
      <c r="AA1025" s="1074"/>
      <c r="AB1025" s="1077"/>
      <c r="AC1025" s="1073"/>
      <c r="AD1025" s="1091"/>
      <c r="AE1025" s="1076"/>
      <c r="AF1025" s="1296"/>
      <c r="AG1025" s="1297"/>
      <c r="AH1025" s="1298"/>
      <c r="AI1025" s="1087">
        <f t="shared" si="95"/>
        <v>0</v>
      </c>
      <c r="AJ1025" s="1299"/>
      <c r="AK1025" s="1300">
        <v>125000</v>
      </c>
      <c r="AL1025" s="1090">
        <f t="shared" si="94"/>
        <v>125000</v>
      </c>
      <c r="AM1025" s="1297"/>
      <c r="AN1025" s="1297"/>
      <c r="AO1025" s="1298"/>
      <c r="AP1025" s="1301"/>
      <c r="AQ1025" s="1298"/>
      <c r="AR1025" s="1301"/>
      <c r="AS1025" s="1301"/>
      <c r="AT1025" s="1297"/>
      <c r="AU1025" s="1299"/>
      <c r="AV1025" s="1302"/>
    </row>
    <row r="1026" spans="1:48" ht="16.5" customHeight="1">
      <c r="A1026" s="1082"/>
      <c r="B1026" s="1082"/>
      <c r="C1026" s="1083"/>
      <c r="D1026" s="1321"/>
      <c r="E1026" s="1247"/>
      <c r="F1026" s="1138"/>
      <c r="G1026" s="1074"/>
      <c r="H1026" s="1092"/>
      <c r="I1026" s="1127"/>
      <c r="J1026" s="1128"/>
      <c r="K1026" s="1067"/>
      <c r="L1026" s="1235"/>
      <c r="M1026" s="1081"/>
      <c r="N1026" s="1038" t="s">
        <v>25</v>
      </c>
      <c r="O1026" s="1293" t="s">
        <v>26</v>
      </c>
      <c r="P1026" s="1081"/>
      <c r="Q1026" s="1075">
        <v>125.45</v>
      </c>
      <c r="R1026" s="1074"/>
      <c r="S1026" s="1074"/>
      <c r="T1026" s="1080"/>
      <c r="U1026" s="1091">
        <v>8</v>
      </c>
      <c r="V1026" s="1185" t="s">
        <v>217</v>
      </c>
      <c r="W1026" s="1079">
        <v>2</v>
      </c>
      <c r="X1026" s="1078"/>
      <c r="Y1026" s="1039"/>
      <c r="Z1026" s="1134">
        <f t="shared" si="93"/>
        <v>2</v>
      </c>
      <c r="AA1026" s="1074"/>
      <c r="AB1026" s="1077"/>
      <c r="AC1026" s="1073"/>
      <c r="AD1026" s="1091"/>
      <c r="AE1026" s="1076"/>
      <c r="AF1026" s="1296"/>
      <c r="AG1026" s="1297"/>
      <c r="AH1026" s="1298">
        <v>2200000</v>
      </c>
      <c r="AI1026" s="1087">
        <f>AH1026*Q1026*0.7</f>
        <v>193193000</v>
      </c>
      <c r="AJ1026" s="1299"/>
      <c r="AK1026" s="1300">
        <v>900</v>
      </c>
      <c r="AL1026" s="1090">
        <f t="shared" si="94"/>
        <v>1800</v>
      </c>
      <c r="AM1026" s="1297"/>
      <c r="AN1026" s="1297"/>
      <c r="AO1026" s="1298"/>
      <c r="AP1026" s="1301"/>
      <c r="AQ1026" s="1298"/>
      <c r="AR1026" s="1301"/>
      <c r="AS1026" s="1301"/>
      <c r="AT1026" s="1297"/>
      <c r="AU1026" s="1299"/>
      <c r="AV1026" s="1302"/>
    </row>
    <row r="1027" spans="1:48" ht="16.5" customHeight="1">
      <c r="A1027" s="1082"/>
      <c r="B1027" s="1082"/>
      <c r="C1027" s="1083"/>
      <c r="D1027" s="1321"/>
      <c r="E1027" s="1247"/>
      <c r="F1027" s="1138"/>
      <c r="G1027" s="1074"/>
      <c r="H1027" s="1092"/>
      <c r="I1027" s="1127"/>
      <c r="J1027" s="1128"/>
      <c r="K1027" s="1067"/>
      <c r="L1027" s="1235"/>
      <c r="M1027" s="1081"/>
      <c r="N1027" s="1038" t="s">
        <v>16</v>
      </c>
      <c r="O1027" s="1293" t="s">
        <v>21</v>
      </c>
      <c r="P1027" s="1081"/>
      <c r="Q1027" s="1075">
        <v>16.7</v>
      </c>
      <c r="R1027" s="1074"/>
      <c r="S1027" s="1074"/>
      <c r="T1027" s="1080"/>
      <c r="U1027" s="1091">
        <v>9</v>
      </c>
      <c r="V1027" s="1185" t="s">
        <v>227</v>
      </c>
      <c r="W1027" s="1079">
        <v>165</v>
      </c>
      <c r="X1027" s="1078"/>
      <c r="Y1027" s="1039"/>
      <c r="Z1027" s="1134">
        <f t="shared" si="93"/>
        <v>165</v>
      </c>
      <c r="AA1027" s="1074"/>
      <c r="AB1027" s="1077"/>
      <c r="AC1027" s="1073"/>
      <c r="AD1027" s="1091"/>
      <c r="AE1027" s="1076"/>
      <c r="AF1027" s="1296"/>
      <c r="AG1027" s="1297"/>
      <c r="AH1027" s="1298">
        <v>350000</v>
      </c>
      <c r="AI1027" s="1087">
        <f>AH1027*Q1027*0.7</f>
        <v>4091499.9999999995</v>
      </c>
      <c r="AJ1027" s="1299"/>
      <c r="AK1027" s="1300"/>
      <c r="AL1027" s="1090">
        <f t="shared" si="94"/>
        <v>0</v>
      </c>
      <c r="AM1027" s="1297"/>
      <c r="AN1027" s="1297"/>
      <c r="AO1027" s="1298"/>
      <c r="AP1027" s="1301"/>
      <c r="AQ1027" s="1298"/>
      <c r="AR1027" s="1301"/>
      <c r="AS1027" s="1301"/>
      <c r="AT1027" s="1297"/>
      <c r="AU1027" s="1299"/>
      <c r="AV1027" s="1302"/>
    </row>
    <row r="1028" spans="1:48" ht="16.5" customHeight="1">
      <c r="A1028" s="1082"/>
      <c r="B1028" s="1082"/>
      <c r="C1028" s="1083"/>
      <c r="D1028" s="1321"/>
      <c r="E1028" s="1247"/>
      <c r="F1028" s="1138"/>
      <c r="G1028" s="1074"/>
      <c r="H1028" s="1092"/>
      <c r="I1028" s="1127"/>
      <c r="J1028" s="1128"/>
      <c r="K1028" s="1067"/>
      <c r="L1028" s="1235"/>
      <c r="M1028" s="1081"/>
      <c r="N1028" s="1038" t="s">
        <v>18</v>
      </c>
      <c r="O1028" s="1293" t="s">
        <v>59</v>
      </c>
      <c r="P1028" s="1081"/>
      <c r="Q1028" s="1075">
        <v>29.9</v>
      </c>
      <c r="R1028" s="1074"/>
      <c r="S1028" s="1074"/>
      <c r="T1028" s="1080"/>
      <c r="U1028" s="1091">
        <v>10</v>
      </c>
      <c r="V1028" s="1185" t="s">
        <v>1600</v>
      </c>
      <c r="W1028" s="1079">
        <v>17</v>
      </c>
      <c r="X1028" s="1078"/>
      <c r="Y1028" s="1039"/>
      <c r="Z1028" s="1134">
        <f t="shared" si="93"/>
        <v>17</v>
      </c>
      <c r="AA1028" s="1074"/>
      <c r="AB1028" s="1077"/>
      <c r="AC1028" s="1073"/>
      <c r="AD1028" s="1091"/>
      <c r="AE1028" s="1076"/>
      <c r="AF1028" s="1296"/>
      <c r="AG1028" s="1297"/>
      <c r="AH1028" s="1087">
        <v>180000</v>
      </c>
      <c r="AI1028" s="1087">
        <f>AH1028*Q1028*0.5</f>
        <v>2691000</v>
      </c>
      <c r="AJ1028" s="1299"/>
      <c r="AK1028" s="1300"/>
      <c r="AL1028" s="1090">
        <f t="shared" si="94"/>
        <v>0</v>
      </c>
      <c r="AM1028" s="1297"/>
      <c r="AN1028" s="1297"/>
      <c r="AO1028" s="1298"/>
      <c r="AP1028" s="1301"/>
      <c r="AQ1028" s="1298"/>
      <c r="AR1028" s="1301"/>
      <c r="AS1028" s="1301"/>
      <c r="AT1028" s="1297"/>
      <c r="AU1028" s="1299"/>
      <c r="AV1028" s="1302"/>
    </row>
    <row r="1029" spans="1:48" ht="16.5" customHeight="1">
      <c r="A1029" s="1082"/>
      <c r="B1029" s="1082"/>
      <c r="C1029" s="1083"/>
      <c r="D1029" s="1321"/>
      <c r="E1029" s="1247"/>
      <c r="F1029" s="1138"/>
      <c r="G1029" s="1074"/>
      <c r="H1029" s="1092"/>
      <c r="I1029" s="1127"/>
      <c r="J1029" s="1128"/>
      <c r="K1029" s="1067"/>
      <c r="L1029" s="1235"/>
      <c r="M1029" s="1081"/>
      <c r="N1029" s="1038" t="s">
        <v>12</v>
      </c>
      <c r="O1029" s="1191" t="s">
        <v>1097</v>
      </c>
      <c r="P1029" s="1081"/>
      <c r="Q1029" s="1075">
        <v>3.72</v>
      </c>
      <c r="R1029" s="1074"/>
      <c r="S1029" s="1074"/>
      <c r="T1029" s="1080"/>
      <c r="U1029" s="1077"/>
      <c r="V1029" s="1185"/>
      <c r="W1029" s="1079"/>
      <c r="X1029" s="1078"/>
      <c r="Y1029" s="1039"/>
      <c r="Z1029" s="1134"/>
      <c r="AA1029" s="1074"/>
      <c r="AB1029" s="1077"/>
      <c r="AC1029" s="1073"/>
      <c r="AD1029" s="1091"/>
      <c r="AE1029" s="1076"/>
      <c r="AF1029" s="1296"/>
      <c r="AG1029" s="1297"/>
      <c r="AH1029" s="1298">
        <v>200000</v>
      </c>
      <c r="AI1029" s="1087">
        <f t="shared" si="95"/>
        <v>372000</v>
      </c>
      <c r="AJ1029" s="1299"/>
      <c r="AK1029" s="1300"/>
      <c r="AL1029" s="1090"/>
      <c r="AM1029" s="1297"/>
      <c r="AN1029" s="1297"/>
      <c r="AO1029" s="1298"/>
      <c r="AP1029" s="1301"/>
      <c r="AQ1029" s="1298"/>
      <c r="AR1029" s="1301"/>
      <c r="AS1029" s="1301"/>
      <c r="AT1029" s="1297"/>
      <c r="AU1029" s="1299"/>
      <c r="AV1029" s="1302"/>
    </row>
    <row r="1030" spans="1:48" ht="16.5" customHeight="1">
      <c r="A1030" s="1082"/>
      <c r="B1030" s="1082"/>
      <c r="C1030" s="1083"/>
      <c r="D1030" s="1321"/>
      <c r="E1030" s="1247"/>
      <c r="F1030" s="1138"/>
      <c r="G1030" s="1074"/>
      <c r="H1030" s="1092"/>
      <c r="I1030" s="1127"/>
      <c r="J1030" s="1128"/>
      <c r="K1030" s="1067"/>
      <c r="L1030" s="1235"/>
      <c r="M1030" s="1081"/>
      <c r="N1030" s="1038" t="s">
        <v>8</v>
      </c>
      <c r="O1030" s="1191" t="s">
        <v>17</v>
      </c>
      <c r="P1030" s="1081">
        <v>1</v>
      </c>
      <c r="Q1030" s="1075"/>
      <c r="R1030" s="1074"/>
      <c r="S1030" s="1074"/>
      <c r="T1030" s="1080"/>
      <c r="U1030" s="1077"/>
      <c r="V1030" s="1073"/>
      <c r="W1030" s="1079"/>
      <c r="X1030" s="1078"/>
      <c r="Y1030" s="1039"/>
      <c r="Z1030" s="1134"/>
      <c r="AA1030" s="1074"/>
      <c r="AB1030" s="1077"/>
      <c r="AC1030" s="1073"/>
      <c r="AD1030" s="1091"/>
      <c r="AE1030" s="1076"/>
      <c r="AF1030" s="1296"/>
      <c r="AG1030" s="1297"/>
      <c r="AH1030" s="1298">
        <v>2500000</v>
      </c>
      <c r="AI1030" s="1087">
        <f>AH1030*P1030*0.5</f>
        <v>1250000</v>
      </c>
      <c r="AJ1030" s="1299"/>
      <c r="AK1030" s="1300"/>
      <c r="AL1030" s="1090"/>
      <c r="AM1030" s="1297"/>
      <c r="AN1030" s="1297"/>
      <c r="AO1030" s="1298"/>
      <c r="AP1030" s="1301"/>
      <c r="AQ1030" s="1298"/>
      <c r="AR1030" s="1301"/>
      <c r="AS1030" s="1301"/>
      <c r="AT1030" s="1297"/>
      <c r="AU1030" s="1299"/>
      <c r="AV1030" s="1302"/>
    </row>
    <row r="1031" spans="1:48" ht="16.5" customHeight="1">
      <c r="A1031" s="1082"/>
      <c r="B1031" s="1082"/>
      <c r="C1031" s="1083"/>
      <c r="D1031" s="1321"/>
      <c r="E1031" s="1247"/>
      <c r="F1031" s="1138"/>
      <c r="G1031" s="1074"/>
      <c r="H1031" s="1092"/>
      <c r="I1031" s="1127"/>
      <c r="J1031" s="1128"/>
      <c r="K1031" s="1067"/>
      <c r="L1031" s="1235"/>
      <c r="M1031" s="1081"/>
      <c r="N1031" s="1038" t="s">
        <v>54</v>
      </c>
      <c r="O1031" s="1191" t="s">
        <v>11</v>
      </c>
      <c r="P1031" s="1081">
        <v>1</v>
      </c>
      <c r="Q1031" s="1075"/>
      <c r="R1031" s="1074"/>
      <c r="S1031" s="1074"/>
      <c r="T1031" s="1080"/>
      <c r="U1031" s="1077"/>
      <c r="V1031" s="1073"/>
      <c r="W1031" s="1079"/>
      <c r="X1031" s="1078"/>
      <c r="Y1031" s="1039"/>
      <c r="Z1031" s="1134"/>
      <c r="AA1031" s="1074"/>
      <c r="AB1031" s="1077"/>
      <c r="AC1031" s="1073"/>
      <c r="AD1031" s="1091"/>
      <c r="AE1031" s="1076"/>
      <c r="AF1031" s="1296"/>
      <c r="AG1031" s="1297"/>
      <c r="AH1031" s="1298">
        <v>2500000</v>
      </c>
      <c r="AI1031" s="1087">
        <f>AH1031*P1031*0.75</f>
        <v>1875000</v>
      </c>
      <c r="AJ1031" s="1299"/>
      <c r="AK1031" s="1300"/>
      <c r="AL1031" s="1090"/>
      <c r="AM1031" s="1297"/>
      <c r="AN1031" s="1297"/>
      <c r="AO1031" s="1298"/>
      <c r="AP1031" s="1301"/>
      <c r="AQ1031" s="1298"/>
      <c r="AR1031" s="1301"/>
      <c r="AS1031" s="1301"/>
      <c r="AT1031" s="1297"/>
      <c r="AU1031" s="1299"/>
      <c r="AV1031" s="1302"/>
    </row>
    <row r="1032" spans="1:48" ht="16.5" customHeight="1">
      <c r="A1032" s="1082"/>
      <c r="B1032" s="1082"/>
      <c r="C1032" s="1083"/>
      <c r="D1032" s="1321"/>
      <c r="E1032" s="1247"/>
      <c r="F1032" s="1138"/>
      <c r="G1032" s="1074"/>
      <c r="H1032" s="1092"/>
      <c r="I1032" s="1127"/>
      <c r="J1032" s="1128"/>
      <c r="K1032" s="1067"/>
      <c r="L1032" s="1235"/>
      <c r="M1032" s="1081"/>
      <c r="N1032" s="1038" t="s">
        <v>53</v>
      </c>
      <c r="O1032" s="1191" t="s">
        <v>121</v>
      </c>
      <c r="P1032" s="1081"/>
      <c r="Q1032" s="1075">
        <v>14.5</v>
      </c>
      <c r="R1032" s="1074"/>
      <c r="S1032" s="1074"/>
      <c r="T1032" s="1080"/>
      <c r="U1032" s="1077"/>
      <c r="V1032" s="1073"/>
      <c r="W1032" s="1079"/>
      <c r="X1032" s="1078"/>
      <c r="Y1032" s="1039"/>
      <c r="Z1032" s="1134"/>
      <c r="AA1032" s="1074"/>
      <c r="AB1032" s="1077"/>
      <c r="AC1032" s="1073"/>
      <c r="AD1032" s="1091"/>
      <c r="AE1032" s="1076"/>
      <c r="AF1032" s="1296"/>
      <c r="AG1032" s="1297"/>
      <c r="AH1032" s="1298">
        <v>300000</v>
      </c>
      <c r="AI1032" s="1087">
        <f>AH1032*Q1032*0.5</f>
        <v>2175000</v>
      </c>
      <c r="AJ1032" s="1299"/>
      <c r="AK1032" s="1300"/>
      <c r="AL1032" s="1090"/>
      <c r="AM1032" s="1297"/>
      <c r="AN1032" s="1297"/>
      <c r="AO1032" s="1298"/>
      <c r="AP1032" s="1301"/>
      <c r="AQ1032" s="1298"/>
      <c r="AR1032" s="1301"/>
      <c r="AS1032" s="1301"/>
      <c r="AT1032" s="1297"/>
      <c r="AU1032" s="1299"/>
      <c r="AV1032" s="1302"/>
    </row>
    <row r="1033" spans="1:48" ht="16.5" customHeight="1">
      <c r="A1033" s="1082"/>
      <c r="B1033" s="1082"/>
      <c r="C1033" s="1083"/>
      <c r="D1033" s="1321"/>
      <c r="E1033" s="1247"/>
      <c r="F1033" s="1138"/>
      <c r="G1033" s="1074"/>
      <c r="H1033" s="1092"/>
      <c r="I1033" s="1127"/>
      <c r="J1033" s="1128"/>
      <c r="K1033" s="1067"/>
      <c r="L1033" s="1235"/>
      <c r="M1033" s="1081"/>
      <c r="N1033" s="1547" t="s">
        <v>1599</v>
      </c>
      <c r="O1033" s="1191"/>
      <c r="P1033" s="1081"/>
      <c r="Q1033" s="1075"/>
      <c r="R1033" s="1074"/>
      <c r="S1033" s="1074"/>
      <c r="T1033" s="1080"/>
      <c r="U1033" s="1077"/>
      <c r="V1033" s="1073"/>
      <c r="W1033" s="1079"/>
      <c r="X1033" s="1078"/>
      <c r="Y1033" s="1039"/>
      <c r="Z1033" s="1134"/>
      <c r="AA1033" s="1074"/>
      <c r="AB1033" s="1077"/>
      <c r="AC1033" s="1073"/>
      <c r="AD1033" s="1091"/>
      <c r="AE1033" s="1076"/>
      <c r="AF1033" s="1296"/>
      <c r="AG1033" s="1297"/>
      <c r="AH1033" s="1298"/>
      <c r="AI1033" s="1087">
        <f t="shared" si="95"/>
        <v>0</v>
      </c>
      <c r="AJ1033" s="1299"/>
      <c r="AK1033" s="1300"/>
      <c r="AL1033" s="1090"/>
      <c r="AM1033" s="1297"/>
      <c r="AN1033" s="1297"/>
      <c r="AO1033" s="1298"/>
      <c r="AP1033" s="1301"/>
      <c r="AQ1033" s="1298"/>
      <c r="AR1033" s="1301"/>
      <c r="AS1033" s="1301"/>
      <c r="AT1033" s="1297"/>
      <c r="AU1033" s="1299"/>
      <c r="AV1033" s="1302"/>
    </row>
    <row r="1034" spans="1:48" ht="33" customHeight="1">
      <c r="A1034" s="1082"/>
      <c r="B1034" s="1082"/>
      <c r="C1034" s="1083"/>
      <c r="D1034" s="1321"/>
      <c r="E1034" s="1247"/>
      <c r="F1034" s="1138"/>
      <c r="G1034" s="1074"/>
      <c r="H1034" s="1092"/>
      <c r="I1034" s="1127"/>
      <c r="J1034" s="1128"/>
      <c r="K1034" s="1067"/>
      <c r="L1034" s="1235"/>
      <c r="M1034" s="1081"/>
      <c r="N1034" s="1038" t="s">
        <v>25</v>
      </c>
      <c r="O1034" s="1293" t="s">
        <v>1543</v>
      </c>
      <c r="P1034" s="1081"/>
      <c r="Q1034" s="1075">
        <v>26.5</v>
      </c>
      <c r="R1034" s="1074"/>
      <c r="S1034" s="1074"/>
      <c r="T1034" s="1080"/>
      <c r="U1034" s="1077"/>
      <c r="V1034" s="1073"/>
      <c r="W1034" s="1079"/>
      <c r="X1034" s="1078"/>
      <c r="Y1034" s="1039"/>
      <c r="Z1034" s="1134"/>
      <c r="AA1034" s="1074"/>
      <c r="AB1034" s="1077"/>
      <c r="AC1034" s="1073"/>
      <c r="AD1034" s="1091"/>
      <c r="AE1034" s="1076"/>
      <c r="AF1034" s="1296"/>
      <c r="AG1034" s="1297"/>
      <c r="AH1034" s="1298">
        <v>1800000</v>
      </c>
      <c r="AI1034" s="1087">
        <f>AH1034*Q1034*0.75</f>
        <v>35775000</v>
      </c>
      <c r="AJ1034" s="1299"/>
      <c r="AK1034" s="1300"/>
      <c r="AL1034" s="1090"/>
      <c r="AM1034" s="1297"/>
      <c r="AN1034" s="1297"/>
      <c r="AO1034" s="1298"/>
      <c r="AP1034" s="1301"/>
      <c r="AQ1034" s="1298"/>
      <c r="AR1034" s="1301"/>
      <c r="AS1034" s="1301"/>
      <c r="AT1034" s="1297"/>
      <c r="AU1034" s="1299"/>
      <c r="AV1034" s="1302"/>
    </row>
    <row r="1035" spans="1:48" ht="16.5" customHeight="1">
      <c r="A1035" s="1082"/>
      <c r="B1035" s="1082"/>
      <c r="C1035" s="1083"/>
      <c r="D1035" s="1321"/>
      <c r="E1035" s="1247"/>
      <c r="F1035" s="1138"/>
      <c r="G1035" s="1074"/>
      <c r="H1035" s="1092"/>
      <c r="I1035" s="1127"/>
      <c r="J1035" s="1128"/>
      <c r="K1035" s="1067"/>
      <c r="L1035" s="1235"/>
      <c r="M1035" s="1081"/>
      <c r="N1035" s="1038" t="s">
        <v>16</v>
      </c>
      <c r="O1035" s="1293" t="s">
        <v>21</v>
      </c>
      <c r="P1035" s="1081"/>
      <c r="Q1035" s="1075">
        <v>13.25</v>
      </c>
      <c r="R1035" s="1074"/>
      <c r="S1035" s="1074"/>
      <c r="T1035" s="1080"/>
      <c r="U1035" s="1077"/>
      <c r="V1035" s="1073"/>
      <c r="W1035" s="1079"/>
      <c r="X1035" s="1078"/>
      <c r="Y1035" s="1039"/>
      <c r="Z1035" s="1134"/>
      <c r="AA1035" s="1074"/>
      <c r="AB1035" s="1077"/>
      <c r="AC1035" s="1073"/>
      <c r="AD1035" s="1091"/>
      <c r="AE1035" s="1076"/>
      <c r="AF1035" s="1296"/>
      <c r="AG1035" s="1297"/>
      <c r="AH1035" s="1298">
        <v>100000</v>
      </c>
      <c r="AI1035" s="1087">
        <f t="shared" si="95"/>
        <v>662500</v>
      </c>
      <c r="AJ1035" s="1299"/>
      <c r="AK1035" s="1300"/>
      <c r="AL1035" s="1090"/>
      <c r="AM1035" s="1297"/>
      <c r="AN1035" s="1297"/>
      <c r="AO1035" s="1298"/>
      <c r="AP1035" s="1301"/>
      <c r="AQ1035" s="1298"/>
      <c r="AR1035" s="1301"/>
      <c r="AS1035" s="1301"/>
      <c r="AT1035" s="1297"/>
      <c r="AU1035" s="1299"/>
      <c r="AV1035" s="1302"/>
    </row>
    <row r="1036" spans="1:48" ht="16.5" customHeight="1">
      <c r="A1036" s="1082"/>
      <c r="B1036" s="1082"/>
      <c r="C1036" s="1083"/>
      <c r="D1036" s="1321"/>
      <c r="E1036" s="1247"/>
      <c r="F1036" s="1138"/>
      <c r="G1036" s="1074"/>
      <c r="H1036" s="1092"/>
      <c r="I1036" s="1127"/>
      <c r="J1036" s="1128"/>
      <c r="K1036" s="1067"/>
      <c r="L1036" s="1235"/>
      <c r="M1036" s="1081"/>
      <c r="N1036" s="1038"/>
      <c r="O1036" s="1191"/>
      <c r="P1036" s="1081"/>
      <c r="Q1036" s="1075"/>
      <c r="R1036" s="1074"/>
      <c r="S1036" s="1074"/>
      <c r="T1036" s="1080"/>
      <c r="U1036" s="1077"/>
      <c r="V1036" s="1073"/>
      <c r="W1036" s="1079"/>
      <c r="X1036" s="1078"/>
      <c r="Y1036" s="1039"/>
      <c r="Z1036" s="1134"/>
      <c r="AA1036" s="1074"/>
      <c r="AB1036" s="1077"/>
      <c r="AC1036" s="1073"/>
      <c r="AD1036" s="1091"/>
      <c r="AE1036" s="1076"/>
      <c r="AF1036" s="1296"/>
      <c r="AG1036" s="1297"/>
      <c r="AH1036" s="1298"/>
      <c r="AI1036" s="1087">
        <f t="shared" si="95"/>
        <v>0</v>
      </c>
      <c r="AJ1036" s="1299"/>
      <c r="AK1036" s="1300"/>
      <c r="AL1036" s="1090"/>
      <c r="AM1036" s="1297"/>
      <c r="AN1036" s="1297"/>
      <c r="AO1036" s="1298"/>
      <c r="AP1036" s="1301"/>
      <c r="AQ1036" s="1298"/>
      <c r="AR1036" s="1301"/>
      <c r="AS1036" s="1301"/>
      <c r="AT1036" s="1297"/>
      <c r="AU1036" s="1299"/>
      <c r="AV1036" s="1302"/>
    </row>
    <row r="1037" spans="1:48" ht="16.5" customHeight="1">
      <c r="A1037" s="1082"/>
      <c r="B1037" s="1082"/>
      <c r="C1037" s="1083"/>
      <c r="D1037" s="1321"/>
      <c r="E1037" s="1247"/>
      <c r="F1037" s="1138"/>
      <c r="G1037" s="1074"/>
      <c r="H1037" s="1092"/>
      <c r="I1037" s="1127"/>
      <c r="J1037" s="1128"/>
      <c r="K1037" s="1067"/>
      <c r="L1037" s="1235"/>
      <c r="M1037" s="1081"/>
      <c r="N1037" s="1547" t="s">
        <v>1598</v>
      </c>
      <c r="O1037" s="1191"/>
      <c r="P1037" s="1081"/>
      <c r="Q1037" s="1075"/>
      <c r="R1037" s="1074"/>
      <c r="S1037" s="1074"/>
      <c r="T1037" s="1080"/>
      <c r="U1037" s="1077"/>
      <c r="V1037" s="1073"/>
      <c r="W1037" s="1079"/>
      <c r="X1037" s="1078"/>
      <c r="Y1037" s="1039"/>
      <c r="Z1037" s="1134"/>
      <c r="AA1037" s="1074"/>
      <c r="AB1037" s="1077"/>
      <c r="AC1037" s="1073"/>
      <c r="AD1037" s="1091"/>
      <c r="AE1037" s="1076"/>
      <c r="AF1037" s="1296"/>
      <c r="AG1037" s="1297"/>
      <c r="AH1037" s="1298"/>
      <c r="AI1037" s="1087">
        <f t="shared" si="95"/>
        <v>0</v>
      </c>
      <c r="AJ1037" s="1299"/>
      <c r="AK1037" s="1300"/>
      <c r="AL1037" s="1090"/>
      <c r="AM1037" s="1297"/>
      <c r="AN1037" s="1297"/>
      <c r="AO1037" s="1298"/>
      <c r="AP1037" s="1301"/>
      <c r="AQ1037" s="1298"/>
      <c r="AR1037" s="1301"/>
      <c r="AS1037" s="1301"/>
      <c r="AT1037" s="1297"/>
      <c r="AU1037" s="1299"/>
      <c r="AV1037" s="1302"/>
    </row>
    <row r="1038" spans="1:48" ht="16.5" customHeight="1">
      <c r="A1038" s="1082"/>
      <c r="B1038" s="1082"/>
      <c r="C1038" s="1083"/>
      <c r="D1038" s="1321"/>
      <c r="E1038" s="1247"/>
      <c r="F1038" s="1138"/>
      <c r="G1038" s="1074"/>
      <c r="H1038" s="1092"/>
      <c r="I1038" s="1127"/>
      <c r="J1038" s="1128"/>
      <c r="K1038" s="1067"/>
      <c r="L1038" s="1235"/>
      <c r="M1038" s="1081"/>
      <c r="N1038" s="1038" t="s">
        <v>25</v>
      </c>
      <c r="O1038" s="1293" t="s">
        <v>26</v>
      </c>
      <c r="P1038" s="1081"/>
      <c r="Q1038" s="1075">
        <v>68.900000000000006</v>
      </c>
      <c r="R1038" s="1074"/>
      <c r="S1038" s="1074"/>
      <c r="T1038" s="1080"/>
      <c r="U1038" s="1077"/>
      <c r="V1038" s="1073"/>
      <c r="W1038" s="1079"/>
      <c r="X1038" s="1078"/>
      <c r="Y1038" s="1039"/>
      <c r="Z1038" s="1134"/>
      <c r="AA1038" s="1074"/>
      <c r="AB1038" s="1077"/>
      <c r="AC1038" s="1073"/>
      <c r="AD1038" s="1091"/>
      <c r="AE1038" s="1076"/>
      <c r="AF1038" s="1296"/>
      <c r="AG1038" s="1297"/>
      <c r="AH1038" s="1298">
        <v>610000</v>
      </c>
      <c r="AI1038" s="1087">
        <f>AH1038*Q1038*0.7</f>
        <v>29420299.999999996</v>
      </c>
      <c r="AJ1038" s="1299"/>
      <c r="AK1038" s="1300"/>
      <c r="AL1038" s="1090"/>
      <c r="AM1038" s="1297"/>
      <c r="AN1038" s="1297"/>
      <c r="AO1038" s="1298"/>
      <c r="AP1038" s="1301"/>
      <c r="AQ1038" s="1298"/>
      <c r="AR1038" s="1301"/>
      <c r="AS1038" s="1301"/>
      <c r="AT1038" s="1297"/>
      <c r="AU1038" s="1299"/>
      <c r="AV1038" s="1302"/>
    </row>
    <row r="1039" spans="1:48" ht="16.5" customHeight="1">
      <c r="A1039" s="1082"/>
      <c r="B1039" s="1082"/>
      <c r="C1039" s="1083"/>
      <c r="D1039" s="1321"/>
      <c r="E1039" s="1247"/>
      <c r="F1039" s="1138"/>
      <c r="G1039" s="1074"/>
      <c r="H1039" s="1092"/>
      <c r="I1039" s="1127"/>
      <c r="J1039" s="1128"/>
      <c r="K1039" s="1067"/>
      <c r="L1039" s="1235"/>
      <c r="M1039" s="1081"/>
      <c r="N1039" s="1038" t="s">
        <v>16</v>
      </c>
      <c r="O1039" s="1293" t="s">
        <v>21</v>
      </c>
      <c r="P1039" s="1081"/>
      <c r="Q1039" s="1075">
        <v>7.95</v>
      </c>
      <c r="R1039" s="1074"/>
      <c r="S1039" s="1074"/>
      <c r="T1039" s="1080"/>
      <c r="U1039" s="1077"/>
      <c r="V1039" s="1073"/>
      <c r="W1039" s="1079"/>
      <c r="X1039" s="1078"/>
      <c r="Y1039" s="1039"/>
      <c r="Z1039" s="1134"/>
      <c r="AA1039" s="1074"/>
      <c r="AB1039" s="1077"/>
      <c r="AC1039" s="1073"/>
      <c r="AD1039" s="1091"/>
      <c r="AE1039" s="1076"/>
      <c r="AF1039" s="1296"/>
      <c r="AG1039" s="1297"/>
      <c r="AH1039" s="1298">
        <v>100000</v>
      </c>
      <c r="AI1039" s="1087">
        <f t="shared" si="95"/>
        <v>397500</v>
      </c>
      <c r="AJ1039" s="1299"/>
      <c r="AK1039" s="1300"/>
      <c r="AL1039" s="1090"/>
      <c r="AM1039" s="1297"/>
      <c r="AN1039" s="1297"/>
      <c r="AO1039" s="1298"/>
      <c r="AP1039" s="1301"/>
      <c r="AQ1039" s="1298"/>
      <c r="AR1039" s="1301"/>
      <c r="AS1039" s="1301"/>
      <c r="AT1039" s="1297"/>
      <c r="AU1039" s="1299"/>
      <c r="AV1039" s="1302"/>
    </row>
    <row r="1040" spans="1:48" ht="16.5" customHeight="1">
      <c r="A1040" s="1107"/>
      <c r="B1040" s="1095"/>
      <c r="C1040" s="1283"/>
      <c r="D1040" s="1263"/>
      <c r="E1040" s="1264"/>
      <c r="F1040" s="1150"/>
      <c r="G1040" s="1094"/>
      <c r="H1040" s="1099"/>
      <c r="I1040" s="1152"/>
      <c r="J1040" s="1153"/>
      <c r="K1040" s="1101"/>
      <c r="L1040" s="1287"/>
      <c r="M1040" s="1168"/>
      <c r="N1040" s="1095"/>
      <c r="O1040" s="1105"/>
      <c r="P1040" s="1310"/>
      <c r="Q1040" s="1108"/>
      <c r="R1040" s="1094"/>
      <c r="S1040" s="1096"/>
      <c r="T1040" s="1112"/>
      <c r="U1040" s="1107"/>
      <c r="V1040" s="1107"/>
      <c r="W1040" s="1110"/>
      <c r="X1040" s="1110"/>
      <c r="Y1040" s="1112"/>
      <c r="Z1040" s="1286"/>
      <c r="AA1040" s="1094"/>
      <c r="AB1040" s="1099"/>
      <c r="AC1040" s="1107"/>
      <c r="AD1040" s="1108"/>
      <c r="AE1040" s="1108"/>
      <c r="AF1040" s="1115"/>
      <c r="AG1040" s="1116"/>
      <c r="AH1040" s="1117"/>
      <c r="AI1040" s="1117"/>
      <c r="AJ1040" s="1118"/>
      <c r="AK1040" s="1119"/>
      <c r="AL1040" s="1120"/>
      <c r="AM1040" s="1116"/>
      <c r="AN1040" s="1116"/>
      <c r="AO1040" s="1117"/>
      <c r="AP1040" s="1108"/>
      <c r="AQ1040" s="1117"/>
      <c r="AR1040" s="1108"/>
      <c r="AS1040" s="1108"/>
      <c r="AT1040" s="1116"/>
      <c r="AU1040" s="1118"/>
      <c r="AV1040" s="1287"/>
    </row>
    <row r="1041" spans="1:48" ht="16.5" customHeight="1">
      <c r="A1041" s="1589">
        <v>77</v>
      </c>
      <c r="B1041" s="1033" t="s">
        <v>25</v>
      </c>
      <c r="C1041" s="1374" t="s">
        <v>1575</v>
      </c>
      <c r="D1041" s="1373"/>
      <c r="E1041" s="1374"/>
      <c r="F1041" s="1559" t="s">
        <v>1597</v>
      </c>
      <c r="G1041" s="1272" t="s">
        <v>25</v>
      </c>
      <c r="H1041" s="1173" t="s">
        <v>1540</v>
      </c>
      <c r="I1041" s="1174">
        <v>214</v>
      </c>
      <c r="J1041" s="1175" t="s">
        <v>41</v>
      </c>
      <c r="K1041" s="1041" t="s">
        <v>1596</v>
      </c>
      <c r="L1041" s="1317"/>
      <c r="M1041" s="1318"/>
      <c r="N1041" s="1038" t="s">
        <v>25</v>
      </c>
      <c r="O1041" s="1293" t="s">
        <v>26</v>
      </c>
      <c r="P1041" s="1081"/>
      <c r="Q1041" s="1075">
        <v>89.02</v>
      </c>
      <c r="R1041" s="1034"/>
      <c r="S1041" s="1034"/>
      <c r="T1041" s="1053"/>
      <c r="U1041" s="1050"/>
      <c r="V1041" s="1047"/>
      <c r="W1041" s="1052"/>
      <c r="X1041" s="1051"/>
      <c r="Y1041" s="1036"/>
      <c r="Z1041" s="1036"/>
      <c r="AA1041" s="1318"/>
      <c r="AB1041" s="1318"/>
      <c r="AC1041" s="1317"/>
      <c r="AD1041" s="1318"/>
      <c r="AE1041" s="1317"/>
      <c r="AF1041" s="1333">
        <f>Resum!F1</f>
        <v>356000</v>
      </c>
      <c r="AG1041" s="1086">
        <f>AF1041*I1041</f>
        <v>76184000</v>
      </c>
      <c r="AH1041" s="1590">
        <v>2200000</v>
      </c>
      <c r="AI1041" s="1087">
        <f>AH1041*Q1041*0.9</f>
        <v>176259600</v>
      </c>
      <c r="AJ1041" s="1591">
        <f>SUM(AI1041:AI1045)</f>
        <v>182786100</v>
      </c>
      <c r="AK1041" s="1592"/>
      <c r="AL1041" s="1090"/>
      <c r="AM1041" s="1593"/>
      <c r="AN1041" s="1086">
        <f>AM1041+AJ1041+AG1041</f>
        <v>258970100</v>
      </c>
      <c r="AO1041" s="1590"/>
      <c r="AP1041" s="1136">
        <f>(AG1041+AI1041)*15%</f>
        <v>37866540</v>
      </c>
      <c r="AQ1041" s="1087">
        <f>(AG1041+AI1041)*1%</f>
        <v>2524436</v>
      </c>
      <c r="AR1041" s="1136">
        <f>(AG1041+AI1041)*5%</f>
        <v>12622180</v>
      </c>
      <c r="AS1041" s="1087">
        <f>0.5%*(AG1041+AI1041)*(3)</f>
        <v>3786654</v>
      </c>
      <c r="AT1041" s="1086">
        <f>+AS1041+AR1041+AQ1041+AP1041+AO1041</f>
        <v>56799810</v>
      </c>
      <c r="AU1041" s="1137">
        <f>ROUND(AT1041+AN1041,-3)</f>
        <v>315770000</v>
      </c>
      <c r="AV1041" s="1374"/>
    </row>
    <row r="1042" spans="1:48" ht="16.5" customHeight="1">
      <c r="A1042" s="1245"/>
      <c r="B1042" s="1038" t="s">
        <v>16</v>
      </c>
      <c r="C1042" s="1247" t="s">
        <v>1572</v>
      </c>
      <c r="D1042" s="1245"/>
      <c r="E1042" s="1247"/>
      <c r="F1042" s="1560"/>
      <c r="G1042" s="1038" t="s">
        <v>16</v>
      </c>
      <c r="H1042" s="1074" t="s">
        <v>22</v>
      </c>
      <c r="I1042" s="1127"/>
      <c r="J1042" s="1128"/>
      <c r="K1042" s="1067"/>
      <c r="L1042" s="1320"/>
      <c r="M1042" s="1321"/>
      <c r="N1042" s="1038" t="s">
        <v>16</v>
      </c>
      <c r="O1042" s="1293" t="s">
        <v>21</v>
      </c>
      <c r="P1042" s="1081"/>
      <c r="Q1042" s="1075">
        <v>7.13</v>
      </c>
      <c r="R1042" s="1074"/>
      <c r="S1042" s="1074"/>
      <c r="T1042" s="1080"/>
      <c r="U1042" s="1077"/>
      <c r="V1042" s="1073"/>
      <c r="W1042" s="1079"/>
      <c r="X1042" s="1078"/>
      <c r="Y1042" s="1039"/>
      <c r="Z1042" s="1039"/>
      <c r="AA1042" s="1321"/>
      <c r="AB1042" s="1321"/>
      <c r="AC1042" s="1320"/>
      <c r="AD1042" s="1321"/>
      <c r="AE1042" s="1320"/>
      <c r="AF1042" s="1296"/>
      <c r="AG1042" s="1594"/>
      <c r="AH1042" s="1595">
        <v>100000</v>
      </c>
      <c r="AI1042" s="1087">
        <f>AH1042*Q1042*0.5</f>
        <v>356500</v>
      </c>
      <c r="AJ1042" s="1596"/>
      <c r="AK1042" s="1597"/>
      <c r="AL1042" s="1090"/>
      <c r="AM1042" s="1594"/>
      <c r="AN1042" s="1594"/>
      <c r="AO1042" s="1595"/>
      <c r="AP1042" s="1247"/>
      <c r="AQ1042" s="1595"/>
      <c r="AR1042" s="1247"/>
      <c r="AS1042" s="1247"/>
      <c r="AT1042" s="1594"/>
      <c r="AU1042" s="1596"/>
      <c r="AV1042" s="1247"/>
    </row>
    <row r="1043" spans="1:48" ht="16.5" customHeight="1">
      <c r="A1043" s="1245"/>
      <c r="B1043" s="1038" t="s">
        <v>18</v>
      </c>
      <c r="C1043" s="1039" t="s">
        <v>1595</v>
      </c>
      <c r="D1043" s="1245"/>
      <c r="E1043" s="1247"/>
      <c r="F1043" s="1560"/>
      <c r="G1043" s="1038" t="s">
        <v>18</v>
      </c>
      <c r="H1043" s="1074" t="s">
        <v>19</v>
      </c>
      <c r="I1043" s="1127"/>
      <c r="J1043" s="1128"/>
      <c r="K1043" s="1067"/>
      <c r="L1043" s="1320"/>
      <c r="M1043" s="1321"/>
      <c r="N1043" s="1038" t="s">
        <v>18</v>
      </c>
      <c r="O1043" s="1293" t="s">
        <v>17</v>
      </c>
      <c r="P1043" s="1081">
        <v>1</v>
      </c>
      <c r="Q1043" s="1075"/>
      <c r="R1043" s="1074"/>
      <c r="S1043" s="1074"/>
      <c r="T1043" s="1080"/>
      <c r="U1043" s="1077"/>
      <c r="V1043" s="1073"/>
      <c r="W1043" s="1079"/>
      <c r="X1043" s="1078"/>
      <c r="Y1043" s="1039"/>
      <c r="Z1043" s="1039"/>
      <c r="AA1043" s="1321"/>
      <c r="AB1043" s="1321"/>
      <c r="AC1043" s="1320"/>
      <c r="AD1043" s="1321"/>
      <c r="AE1043" s="1320"/>
      <c r="AF1043" s="1296"/>
      <c r="AG1043" s="1594"/>
      <c r="AH1043" s="1595">
        <v>2500000</v>
      </c>
      <c r="AI1043" s="1087">
        <f>AH1043*P1043*0.5</f>
        <v>1250000</v>
      </c>
      <c r="AJ1043" s="1596"/>
      <c r="AK1043" s="1597"/>
      <c r="AL1043" s="1090"/>
      <c r="AM1043" s="1594"/>
      <c r="AN1043" s="1594"/>
      <c r="AO1043" s="1595"/>
      <c r="AP1043" s="1247"/>
      <c r="AQ1043" s="1595"/>
      <c r="AR1043" s="1247"/>
      <c r="AS1043" s="1247"/>
      <c r="AT1043" s="1594"/>
      <c r="AU1043" s="1596"/>
      <c r="AV1043" s="1247"/>
    </row>
    <row r="1044" spans="1:48" ht="49.5" customHeight="1">
      <c r="A1044" s="1245"/>
      <c r="B1044" s="1082" t="s">
        <v>12</v>
      </c>
      <c r="C1044" s="1083" t="s">
        <v>210</v>
      </c>
      <c r="D1044" s="1245"/>
      <c r="E1044" s="1247"/>
      <c r="F1044" s="1560"/>
      <c r="G1044" s="1245"/>
      <c r="H1044" s="1321"/>
      <c r="I1044" s="1127"/>
      <c r="J1044" s="1128"/>
      <c r="K1044" s="1067"/>
      <c r="L1044" s="1320"/>
      <c r="M1044" s="1321"/>
      <c r="N1044" s="1038" t="s">
        <v>12</v>
      </c>
      <c r="O1044" s="1293" t="s">
        <v>11</v>
      </c>
      <c r="P1044" s="1081">
        <v>1</v>
      </c>
      <c r="Q1044" s="1075"/>
      <c r="R1044" s="1074"/>
      <c r="S1044" s="1074"/>
      <c r="T1044" s="1080"/>
      <c r="U1044" s="1077"/>
      <c r="V1044" s="1073"/>
      <c r="W1044" s="1079"/>
      <c r="X1044" s="1078"/>
      <c r="Y1044" s="1039"/>
      <c r="Z1044" s="1039"/>
      <c r="AA1044" s="1321"/>
      <c r="AB1044" s="1321"/>
      <c r="AC1044" s="1320"/>
      <c r="AD1044" s="1321"/>
      <c r="AE1044" s="1320"/>
      <c r="AF1044" s="1296"/>
      <c r="AG1044" s="1594"/>
      <c r="AH1044" s="1595">
        <v>2500000</v>
      </c>
      <c r="AI1044" s="1087">
        <f>AH1044*P1044*0.75</f>
        <v>1875000</v>
      </c>
      <c r="AJ1044" s="1596"/>
      <c r="AK1044" s="1597"/>
      <c r="AL1044" s="1090"/>
      <c r="AM1044" s="1594"/>
      <c r="AN1044" s="1594"/>
      <c r="AO1044" s="1595"/>
      <c r="AP1044" s="1247"/>
      <c r="AQ1044" s="1595"/>
      <c r="AR1044" s="1247"/>
      <c r="AS1044" s="1247"/>
      <c r="AT1044" s="1594"/>
      <c r="AU1044" s="1596"/>
      <c r="AV1044" s="1247"/>
    </row>
    <row r="1045" spans="1:48" ht="16.5" customHeight="1">
      <c r="A1045" s="1245"/>
      <c r="B1045" s="1082" t="s">
        <v>8</v>
      </c>
      <c r="C1045" s="1083" t="s">
        <v>1571</v>
      </c>
      <c r="D1045" s="1245"/>
      <c r="E1045" s="1247"/>
      <c r="F1045" s="1560"/>
      <c r="G1045" s="1245"/>
      <c r="H1045" s="1321"/>
      <c r="I1045" s="1127"/>
      <c r="J1045" s="1128"/>
      <c r="K1045" s="1067"/>
      <c r="L1045" s="1320"/>
      <c r="M1045" s="1321"/>
      <c r="N1045" s="1038" t="s">
        <v>8</v>
      </c>
      <c r="O1045" s="1191" t="s">
        <v>175</v>
      </c>
      <c r="P1045" s="1081"/>
      <c r="Q1045" s="1075">
        <v>20.3</v>
      </c>
      <c r="R1045" s="1074"/>
      <c r="S1045" s="1074"/>
      <c r="T1045" s="1080"/>
      <c r="U1045" s="1077"/>
      <c r="V1045" s="1073"/>
      <c r="W1045" s="1079"/>
      <c r="X1045" s="1078"/>
      <c r="Y1045" s="1039"/>
      <c r="Z1045" s="1039"/>
      <c r="AA1045" s="1321"/>
      <c r="AB1045" s="1321"/>
      <c r="AC1045" s="1320"/>
      <c r="AD1045" s="1321"/>
      <c r="AE1045" s="1320"/>
      <c r="AF1045" s="1296"/>
      <c r="AG1045" s="1594"/>
      <c r="AH1045" s="1595">
        <v>300000</v>
      </c>
      <c r="AI1045" s="1087">
        <f>AH1045*Q1045*0.5</f>
        <v>3045000</v>
      </c>
      <c r="AJ1045" s="1596"/>
      <c r="AK1045" s="1597"/>
      <c r="AL1045" s="1090"/>
      <c r="AM1045" s="1594"/>
      <c r="AN1045" s="1594"/>
      <c r="AO1045" s="1598"/>
      <c r="AP1045" s="1247"/>
      <c r="AQ1045" s="1595"/>
      <c r="AR1045" s="1247"/>
      <c r="AS1045" s="1247"/>
      <c r="AT1045" s="1594"/>
      <c r="AU1045" s="1596"/>
      <c r="AV1045" s="1247"/>
    </row>
    <row r="1046" spans="1:48" ht="16.5" customHeight="1">
      <c r="A1046" s="1245"/>
      <c r="B1046" s="1082"/>
      <c r="C1046" s="1599"/>
      <c r="D1046" s="1245"/>
      <c r="E1046" s="1247"/>
      <c r="F1046" s="1560"/>
      <c r="G1046" s="1245"/>
      <c r="H1046" s="1321"/>
      <c r="I1046" s="1152"/>
      <c r="J1046" s="1153"/>
      <c r="K1046" s="1101"/>
      <c r="L1046" s="1320"/>
      <c r="M1046" s="1321"/>
      <c r="N1046" s="1245"/>
      <c r="O1046" s="1246"/>
      <c r="P1046" s="1600"/>
      <c r="Q1046" s="1601"/>
      <c r="R1046" s="1074"/>
      <c r="S1046" s="1074"/>
      <c r="T1046" s="1080"/>
      <c r="U1046" s="1077"/>
      <c r="V1046" s="1073"/>
      <c r="W1046" s="1079"/>
      <c r="X1046" s="1078"/>
      <c r="Y1046" s="1039"/>
      <c r="Z1046" s="1039"/>
      <c r="AA1046" s="1321"/>
      <c r="AB1046" s="1321"/>
      <c r="AC1046" s="1320"/>
      <c r="AD1046" s="1321"/>
      <c r="AE1046" s="1320"/>
      <c r="AF1046" s="1296"/>
      <c r="AG1046" s="1602"/>
      <c r="AH1046" s="1595"/>
      <c r="AI1046" s="1603"/>
      <c r="AJ1046" s="1596"/>
      <c r="AK1046" s="1604"/>
      <c r="AL1046" s="1120"/>
      <c r="AM1046" s="1594"/>
      <c r="AN1046" s="1602"/>
      <c r="AO1046" s="1603"/>
      <c r="AP1046" s="1264"/>
      <c r="AQ1046" s="1210"/>
      <c r="AR1046" s="1264"/>
      <c r="AS1046" s="1264"/>
      <c r="AT1046" s="1602"/>
      <c r="AU1046" s="1605"/>
      <c r="AV1046" s="1247"/>
    </row>
    <row r="1047" spans="1:48" ht="16.5" customHeight="1">
      <c r="A1047" s="1269">
        <v>78</v>
      </c>
      <c r="B1047" s="1033" t="s">
        <v>25</v>
      </c>
      <c r="C1047" s="1036" t="s">
        <v>1594</v>
      </c>
      <c r="D1047" s="1033"/>
      <c r="E1047" s="1036"/>
      <c r="F1047" s="1559" t="s">
        <v>1593</v>
      </c>
      <c r="G1047" s="1272" t="s">
        <v>25</v>
      </c>
      <c r="H1047" s="1173" t="s">
        <v>1540</v>
      </c>
      <c r="I1047" s="1174">
        <v>522.06100000000004</v>
      </c>
      <c r="J1047" s="1043" t="s">
        <v>41</v>
      </c>
      <c r="K1047" s="1330" t="s">
        <v>1592</v>
      </c>
      <c r="L1047" s="1129" t="s">
        <v>46</v>
      </c>
      <c r="M1047" s="1331" t="s">
        <v>46</v>
      </c>
      <c r="N1047" s="1035" t="s">
        <v>25</v>
      </c>
      <c r="O1047" s="1190" t="s">
        <v>26</v>
      </c>
      <c r="P1047" s="1054"/>
      <c r="Q1047" s="1048">
        <v>84.45</v>
      </c>
      <c r="R1047" s="1170"/>
      <c r="S1047" s="1034"/>
      <c r="T1047" s="1376"/>
      <c r="U1047" s="1527">
        <v>1</v>
      </c>
      <c r="V1047" s="1319" t="s">
        <v>1591</v>
      </c>
      <c r="W1047" s="1606">
        <v>8</v>
      </c>
      <c r="X1047" s="1607"/>
      <c r="Y1047" s="1558"/>
      <c r="Z1047" s="1312">
        <f t="shared" ref="Z1047:Z1060" si="96">SUM(W1047:Y1047)</f>
        <v>8</v>
      </c>
      <c r="AA1047" s="1170"/>
      <c r="AB1047" s="1173"/>
      <c r="AC1047" s="1047"/>
      <c r="AD1047" s="1055"/>
      <c r="AE1047" s="1032"/>
      <c r="AF1047" s="1333">
        <f>Resum!F1</f>
        <v>356000</v>
      </c>
      <c r="AG1047" s="1086">
        <f>AF1047*I1047</f>
        <v>185853716</v>
      </c>
      <c r="AH1047" s="1334">
        <v>2200000</v>
      </c>
      <c r="AI1047" s="1087">
        <f>AH1047*Q1047*0.7</f>
        <v>130052999.99999999</v>
      </c>
      <c r="AJ1047" s="1335">
        <f>SUM(AI1047:AI1055)</f>
        <v>155723000</v>
      </c>
      <c r="AK1047" s="1089">
        <v>350000</v>
      </c>
      <c r="AL1047" s="1087">
        <f t="shared" si="94"/>
        <v>2800000</v>
      </c>
      <c r="AM1047" s="1337">
        <f>SUM(AL1047:AL1060)</f>
        <v>4778500</v>
      </c>
      <c r="AN1047" s="1086">
        <f>AM1047+AJ1047+AG1047</f>
        <v>346355216</v>
      </c>
      <c r="AO1047" s="1298"/>
      <c r="AP1047" s="1136">
        <f>(90780000+AI1047)*15%</f>
        <v>33124950</v>
      </c>
      <c r="AQ1047" s="1087">
        <f>(AG1047+AI1047)*1%</f>
        <v>3159067.16</v>
      </c>
      <c r="AR1047" s="1136">
        <f>(AG1047+AI1047)*5%</f>
        <v>15795335.800000001</v>
      </c>
      <c r="AS1047" s="1087">
        <f>0.5%*(AG1047+AI1047)*(3)</f>
        <v>4738600.74</v>
      </c>
      <c r="AT1047" s="1086">
        <f>+AS1047+AR1047+AQ1047+AP1047+AO1047</f>
        <v>56817953.700000003</v>
      </c>
      <c r="AU1047" s="1137">
        <f>ROUND(AT1047+AN1047,-3)</f>
        <v>403173000</v>
      </c>
      <c r="AV1047" s="1041"/>
    </row>
    <row r="1048" spans="1:48" ht="16.5" customHeight="1">
      <c r="A1048" s="1351"/>
      <c r="B1048" s="1122"/>
      <c r="C1048" s="1071" t="s">
        <v>1590</v>
      </c>
      <c r="D1048" s="1122"/>
      <c r="E1048" s="1039"/>
      <c r="F1048" s="1560"/>
      <c r="G1048" s="1243"/>
      <c r="H1048" s="1126"/>
      <c r="I1048" s="1127"/>
      <c r="J1048" s="1069"/>
      <c r="K1048" s="1339"/>
      <c r="L1048" s="1139"/>
      <c r="M1048" s="1352"/>
      <c r="N1048" s="1038" t="s">
        <v>16</v>
      </c>
      <c r="O1048" s="1293" t="s">
        <v>62</v>
      </c>
      <c r="P1048" s="1081"/>
      <c r="Q1048" s="1075">
        <v>19</v>
      </c>
      <c r="R1048" s="1123"/>
      <c r="S1048" s="1074"/>
      <c r="T1048" s="1144"/>
      <c r="U1048" s="1184"/>
      <c r="V1048" s="1185" t="s">
        <v>1591</v>
      </c>
      <c r="W1048" s="1314"/>
      <c r="X1048" s="1315"/>
      <c r="Y1048" s="1316">
        <v>1</v>
      </c>
      <c r="Z1048" s="1183"/>
      <c r="AA1048" s="1123"/>
      <c r="AB1048" s="1126"/>
      <c r="AC1048" s="1073"/>
      <c r="AD1048" s="1084"/>
      <c r="AE1048" s="1062"/>
      <c r="AF1048" s="1296"/>
      <c r="AG1048" s="1297"/>
      <c r="AH1048" s="1298">
        <v>430000</v>
      </c>
      <c r="AI1048" s="1087">
        <f t="shared" ref="AI1048:AI1051" si="97">AH1048*Q1048*0.5</f>
        <v>4085000</v>
      </c>
      <c r="AJ1048" s="1299"/>
      <c r="AK1048" s="1089">
        <v>115500</v>
      </c>
      <c r="AL1048" s="1087">
        <f>AK1048*Y1048</f>
        <v>115500</v>
      </c>
      <c r="AM1048" s="1297"/>
      <c r="AN1048" s="1297"/>
      <c r="AO1048" s="1298"/>
      <c r="AP1048" s="1301"/>
      <c r="AQ1048" s="1298"/>
      <c r="AR1048" s="1301"/>
      <c r="AS1048" s="1301"/>
      <c r="AT1048" s="1297"/>
      <c r="AU1048" s="1299"/>
      <c r="AV1048" s="1067"/>
    </row>
    <row r="1049" spans="1:48" ht="33" customHeight="1">
      <c r="A1049" s="1082"/>
      <c r="B1049" s="1038" t="s">
        <v>16</v>
      </c>
      <c r="C1049" s="1039" t="s">
        <v>38</v>
      </c>
      <c r="D1049" s="1038"/>
      <c r="E1049" s="1071"/>
      <c r="F1049" s="1560"/>
      <c r="G1049" s="1038" t="s">
        <v>16</v>
      </c>
      <c r="H1049" s="1074" t="s">
        <v>22</v>
      </c>
      <c r="I1049" s="1127"/>
      <c r="J1049" s="1069"/>
      <c r="K1049" s="1339"/>
      <c r="L1049" s="1139"/>
      <c r="M1049" s="1128"/>
      <c r="N1049" s="1038" t="s">
        <v>18</v>
      </c>
      <c r="O1049" s="1293" t="s">
        <v>21</v>
      </c>
      <c r="P1049" s="1081"/>
      <c r="Q1049" s="1075">
        <v>4.9400000000000004</v>
      </c>
      <c r="R1049" s="1074"/>
      <c r="S1049" s="1074"/>
      <c r="T1049" s="1566"/>
      <c r="U1049" s="1184">
        <v>2</v>
      </c>
      <c r="V1049" s="1146" t="s">
        <v>48</v>
      </c>
      <c r="W1049" s="1314">
        <v>51</v>
      </c>
      <c r="X1049" s="1315"/>
      <c r="Y1049" s="1316"/>
      <c r="Z1049" s="1183">
        <f t="shared" si="96"/>
        <v>51</v>
      </c>
      <c r="AA1049" s="1074"/>
      <c r="AB1049" s="1126"/>
      <c r="AC1049" s="1073"/>
      <c r="AD1049" s="1084"/>
      <c r="AE1049" s="1062"/>
      <c r="AF1049" s="1296"/>
      <c r="AG1049" s="1297"/>
      <c r="AH1049" s="1298">
        <v>100000</v>
      </c>
      <c r="AI1049" s="1087">
        <f t="shared" si="97"/>
        <v>247000.00000000003</v>
      </c>
      <c r="AJ1049" s="1299"/>
      <c r="AK1049" s="1300">
        <v>15000</v>
      </c>
      <c r="AL1049" s="1090">
        <f t="shared" si="94"/>
        <v>765000</v>
      </c>
      <c r="AM1049" s="1297"/>
      <c r="AN1049" s="1297"/>
      <c r="AO1049" s="1298"/>
      <c r="AP1049" s="1301"/>
      <c r="AQ1049" s="1298"/>
      <c r="AR1049" s="1301"/>
      <c r="AS1049" s="1301"/>
      <c r="AT1049" s="1297"/>
      <c r="AU1049" s="1299"/>
      <c r="AV1049" s="1067"/>
    </row>
    <row r="1050" spans="1:48" ht="45.6" customHeight="1">
      <c r="A1050" s="1082"/>
      <c r="B1050" s="1038"/>
      <c r="C1050" s="1083" t="s">
        <v>98</v>
      </c>
      <c r="D1050" s="1038"/>
      <c r="E1050" s="1071"/>
      <c r="F1050" s="1560"/>
      <c r="G1050" s="1038"/>
      <c r="H1050" s="1074"/>
      <c r="I1050" s="1127"/>
      <c r="J1050" s="1069"/>
      <c r="K1050" s="1339"/>
      <c r="L1050" s="1139"/>
      <c r="M1050" s="1128"/>
      <c r="N1050" s="1038" t="s">
        <v>12</v>
      </c>
      <c r="O1050" s="1191" t="s">
        <v>59</v>
      </c>
      <c r="P1050" s="1081"/>
      <c r="Q1050" s="1075">
        <v>25</v>
      </c>
      <c r="R1050" s="1074"/>
      <c r="S1050" s="1074"/>
      <c r="T1050" s="1566"/>
      <c r="U1050" s="1184"/>
      <c r="V1050" s="1146" t="s">
        <v>48</v>
      </c>
      <c r="W1050" s="1314"/>
      <c r="X1050" s="1315"/>
      <c r="Y1050" s="1316">
        <v>47</v>
      </c>
      <c r="Z1050" s="1183"/>
      <c r="AA1050" s="1074"/>
      <c r="AB1050" s="1126"/>
      <c r="AC1050" s="1073"/>
      <c r="AD1050" s="1084"/>
      <c r="AE1050" s="1062"/>
      <c r="AF1050" s="1296"/>
      <c r="AG1050" s="1297"/>
      <c r="AH1050" s="1087">
        <v>180000</v>
      </c>
      <c r="AI1050" s="1087">
        <f t="shared" si="97"/>
        <v>2250000</v>
      </c>
      <c r="AJ1050" s="1299"/>
      <c r="AK1050" s="1300">
        <v>5000</v>
      </c>
      <c r="AL1050" s="1090">
        <f>AK1050*Y1050</f>
        <v>235000</v>
      </c>
      <c r="AM1050" s="1297"/>
      <c r="AN1050" s="1297"/>
      <c r="AO1050" s="1298"/>
      <c r="AP1050" s="1301"/>
      <c r="AQ1050" s="1298"/>
      <c r="AR1050" s="1301"/>
      <c r="AS1050" s="1301"/>
      <c r="AT1050" s="1297"/>
      <c r="AU1050" s="1299"/>
      <c r="AV1050" s="1067"/>
    </row>
    <row r="1051" spans="1:48" ht="16.5" customHeight="1">
      <c r="A1051" s="1082"/>
      <c r="B1051" s="1038" t="s">
        <v>18</v>
      </c>
      <c r="C1051" s="1147" t="s">
        <v>1589</v>
      </c>
      <c r="D1051" s="1038"/>
      <c r="E1051" s="1039"/>
      <c r="F1051" s="1560"/>
      <c r="G1051" s="1038" t="s">
        <v>18</v>
      </c>
      <c r="H1051" s="1074" t="s">
        <v>19</v>
      </c>
      <c r="I1051" s="1127"/>
      <c r="J1051" s="1069"/>
      <c r="K1051" s="1339"/>
      <c r="L1051" s="1139"/>
      <c r="M1051" s="1128"/>
      <c r="N1051" s="1038" t="s">
        <v>8</v>
      </c>
      <c r="O1051" s="1191" t="s">
        <v>1097</v>
      </c>
      <c r="P1051" s="1081"/>
      <c r="Q1051" s="1075">
        <v>1.8</v>
      </c>
      <c r="R1051" s="1074"/>
      <c r="S1051" s="1074"/>
      <c r="T1051" s="1080"/>
      <c r="U1051" s="1184">
        <v>3</v>
      </c>
      <c r="V1051" s="1185" t="s">
        <v>268</v>
      </c>
      <c r="W1051" s="1079"/>
      <c r="X1051" s="1078"/>
      <c r="Y1051" s="1039">
        <v>1</v>
      </c>
      <c r="Z1051" s="1183">
        <f t="shared" si="96"/>
        <v>1</v>
      </c>
      <c r="AA1051" s="1074"/>
      <c r="AB1051" s="1126"/>
      <c r="AC1051" s="1073"/>
      <c r="AD1051" s="1084"/>
      <c r="AE1051" s="1062"/>
      <c r="AF1051" s="1296"/>
      <c r="AG1051" s="1297"/>
      <c r="AH1051" s="1298">
        <v>200000</v>
      </c>
      <c r="AI1051" s="1087">
        <f t="shared" si="97"/>
        <v>180000</v>
      </c>
      <c r="AJ1051" s="1299"/>
      <c r="AK1051" s="1300">
        <v>66000</v>
      </c>
      <c r="AL1051" s="1090">
        <f>AK1051*Y1051</f>
        <v>66000</v>
      </c>
      <c r="AM1051" s="1297"/>
      <c r="AN1051" s="1297"/>
      <c r="AO1051" s="1298"/>
      <c r="AP1051" s="1301"/>
      <c r="AQ1051" s="1298"/>
      <c r="AR1051" s="1301"/>
      <c r="AS1051" s="1301"/>
      <c r="AT1051" s="1297"/>
      <c r="AU1051" s="1299"/>
      <c r="AV1051" s="1067"/>
    </row>
    <row r="1052" spans="1:48" ht="16.5" customHeight="1">
      <c r="A1052" s="1082"/>
      <c r="B1052" s="1082" t="s">
        <v>12</v>
      </c>
      <c r="D1052" s="1082"/>
      <c r="E1052" s="1083"/>
      <c r="F1052" s="1560"/>
      <c r="G1052" s="1038"/>
      <c r="H1052" s="1077"/>
      <c r="I1052" s="1127"/>
      <c r="J1052" s="1069"/>
      <c r="K1052" s="1339"/>
      <c r="L1052" s="1139"/>
      <c r="M1052" s="1128"/>
      <c r="N1052" s="1245" t="s">
        <v>54</v>
      </c>
      <c r="O1052" s="1293" t="s">
        <v>17</v>
      </c>
      <c r="P1052" s="1081">
        <v>1</v>
      </c>
      <c r="Q1052" s="1075"/>
      <c r="R1052" s="1074"/>
      <c r="S1052" s="1074"/>
      <c r="T1052" s="1080"/>
      <c r="U1052" s="1184">
        <v>4</v>
      </c>
      <c r="V1052" s="1185" t="s">
        <v>3</v>
      </c>
      <c r="W1052" s="1079">
        <v>2</v>
      </c>
      <c r="X1052" s="1078"/>
      <c r="Y1052" s="1039"/>
      <c r="Z1052" s="1183">
        <f t="shared" si="96"/>
        <v>2</v>
      </c>
      <c r="AA1052" s="1074"/>
      <c r="AB1052" s="1126"/>
      <c r="AC1052" s="1073"/>
      <c r="AD1052" s="1084"/>
      <c r="AE1052" s="1062"/>
      <c r="AF1052" s="1296"/>
      <c r="AG1052" s="1297"/>
      <c r="AH1052" s="1298">
        <v>2500000</v>
      </c>
      <c r="AI1052" s="1087">
        <f>AH1052*P1052*0.5</f>
        <v>1250000</v>
      </c>
      <c r="AJ1052" s="1299"/>
      <c r="AK1052" s="1089">
        <v>85000</v>
      </c>
      <c r="AL1052" s="1090">
        <f t="shared" si="94"/>
        <v>170000</v>
      </c>
      <c r="AM1052" s="1297"/>
      <c r="AN1052" s="1297"/>
      <c r="AO1052" s="1298"/>
      <c r="AP1052" s="1301"/>
      <c r="AQ1052" s="1298"/>
      <c r="AR1052" s="1301"/>
      <c r="AS1052" s="1301"/>
      <c r="AT1052" s="1297"/>
      <c r="AU1052" s="1299"/>
      <c r="AV1052" s="1067"/>
    </row>
    <row r="1053" spans="1:48" ht="16.5" customHeight="1">
      <c r="A1053" s="1082"/>
      <c r="B1053" s="1082" t="s">
        <v>8</v>
      </c>
      <c r="C1053" s="1147"/>
      <c r="D1053" s="1082"/>
      <c r="E1053" s="1083"/>
      <c r="F1053" s="1560"/>
      <c r="G1053" s="1038"/>
      <c r="H1053" s="1077"/>
      <c r="I1053" s="1127"/>
      <c r="J1053" s="1069"/>
      <c r="K1053" s="1339"/>
      <c r="L1053" s="1139"/>
      <c r="M1053" s="1128"/>
      <c r="N1053" s="1245" t="s">
        <v>53</v>
      </c>
      <c r="O1053" s="1293" t="s">
        <v>11</v>
      </c>
      <c r="P1053" s="1081">
        <v>1</v>
      </c>
      <c r="Q1053" s="1075"/>
      <c r="R1053" s="1074"/>
      <c r="S1053" s="1074"/>
      <c r="T1053" s="1080"/>
      <c r="U1053" s="1184">
        <v>5</v>
      </c>
      <c r="V1053" s="1185" t="s">
        <v>144</v>
      </c>
      <c r="W1053" s="1079"/>
      <c r="X1053" s="1078">
        <v>2</v>
      </c>
      <c r="Y1053" s="1039"/>
      <c r="Z1053" s="1183">
        <f t="shared" si="96"/>
        <v>2</v>
      </c>
      <c r="AA1053" s="1074"/>
      <c r="AB1053" s="1126"/>
      <c r="AC1053" s="1073"/>
      <c r="AD1053" s="1084"/>
      <c r="AE1053" s="1062"/>
      <c r="AF1053" s="1296"/>
      <c r="AG1053" s="1297"/>
      <c r="AH1053" s="1298">
        <v>2500000</v>
      </c>
      <c r="AI1053" s="1087">
        <f>AH1053*P1053*0.75</f>
        <v>1875000</v>
      </c>
      <c r="AJ1053" s="1299"/>
      <c r="AK1053" s="1300">
        <v>13250</v>
      </c>
      <c r="AL1053" s="1090">
        <f>AK1053*X1053</f>
        <v>26500</v>
      </c>
      <c r="AM1053" s="1297"/>
      <c r="AN1053" s="1297"/>
      <c r="AO1053" s="1298"/>
      <c r="AP1053" s="1301"/>
      <c r="AQ1053" s="1298"/>
      <c r="AR1053" s="1301"/>
      <c r="AS1053" s="1301"/>
      <c r="AT1053" s="1297"/>
      <c r="AU1053" s="1299"/>
      <c r="AV1053" s="1067"/>
    </row>
    <row r="1054" spans="1:48" ht="16.5" customHeight="1">
      <c r="A1054" s="1082"/>
      <c r="B1054" s="1082"/>
      <c r="C1054" s="1147"/>
      <c r="D1054" s="1082"/>
      <c r="E1054" s="1083"/>
      <c r="F1054" s="1560"/>
      <c r="G1054" s="1038"/>
      <c r="H1054" s="1077"/>
      <c r="I1054" s="1127"/>
      <c r="J1054" s="1069"/>
      <c r="K1054" s="1339"/>
      <c r="L1054" s="1139"/>
      <c r="M1054" s="1128"/>
      <c r="N1054" s="1038" t="s">
        <v>51</v>
      </c>
      <c r="O1054" s="1293" t="s">
        <v>175</v>
      </c>
      <c r="P1054" s="1081"/>
      <c r="Q1054" s="1075">
        <v>101.2</v>
      </c>
      <c r="R1054" s="1074"/>
      <c r="S1054" s="1074"/>
      <c r="T1054" s="1080"/>
      <c r="U1054" s="1184">
        <v>6</v>
      </c>
      <c r="V1054" s="1185" t="s">
        <v>137</v>
      </c>
      <c r="W1054" s="1079">
        <v>1</v>
      </c>
      <c r="X1054" s="1078"/>
      <c r="Y1054" s="1039"/>
      <c r="Z1054" s="1183">
        <f t="shared" si="96"/>
        <v>1</v>
      </c>
      <c r="AA1054" s="1074"/>
      <c r="AB1054" s="1126"/>
      <c r="AC1054" s="1073"/>
      <c r="AD1054" s="1084"/>
      <c r="AE1054" s="1062"/>
      <c r="AF1054" s="1296"/>
      <c r="AG1054" s="1297"/>
      <c r="AH1054" s="1298">
        <v>300000</v>
      </c>
      <c r="AI1054" s="1087">
        <f>AH1054*Q1054*0.5</f>
        <v>15180000</v>
      </c>
      <c r="AJ1054" s="1299"/>
      <c r="AK1054" s="1300">
        <v>125000</v>
      </c>
      <c r="AL1054" s="1090">
        <f t="shared" si="94"/>
        <v>125000</v>
      </c>
      <c r="AM1054" s="1297"/>
      <c r="AN1054" s="1297"/>
      <c r="AO1054" s="1298"/>
      <c r="AP1054" s="1301"/>
      <c r="AQ1054" s="1298"/>
      <c r="AR1054" s="1301"/>
      <c r="AS1054" s="1301"/>
      <c r="AT1054" s="1297"/>
      <c r="AU1054" s="1299"/>
      <c r="AV1054" s="1067"/>
    </row>
    <row r="1055" spans="1:48" ht="16.5" customHeight="1">
      <c r="A1055" s="1082"/>
      <c r="B1055" s="1082"/>
      <c r="C1055" s="1147"/>
      <c r="D1055" s="1082"/>
      <c r="E1055" s="1083"/>
      <c r="F1055" s="1560"/>
      <c r="G1055" s="1038"/>
      <c r="H1055" s="1077"/>
      <c r="I1055" s="1127"/>
      <c r="J1055" s="1069"/>
      <c r="K1055" s="1339"/>
      <c r="L1055" s="1139"/>
      <c r="M1055" s="1128"/>
      <c r="N1055" s="1038" t="s">
        <v>154</v>
      </c>
      <c r="O1055" s="1293" t="s">
        <v>184</v>
      </c>
      <c r="P1055" s="1081"/>
      <c r="Q1055" s="1075">
        <v>12.06</v>
      </c>
      <c r="R1055" s="1074"/>
      <c r="S1055" s="1074"/>
      <c r="T1055" s="1080"/>
      <c r="U1055" s="1184"/>
      <c r="V1055" s="1185" t="s">
        <v>137</v>
      </c>
      <c r="W1055" s="1079"/>
      <c r="X1055" s="1078"/>
      <c r="Y1055" s="1039">
        <v>4</v>
      </c>
      <c r="Z1055" s="1183"/>
      <c r="AA1055" s="1074"/>
      <c r="AB1055" s="1126"/>
      <c r="AC1055" s="1073"/>
      <c r="AD1055" s="1084"/>
      <c r="AE1055" s="1062"/>
      <c r="AF1055" s="1296"/>
      <c r="AG1055" s="1297"/>
      <c r="AH1055" s="1298">
        <v>100000</v>
      </c>
      <c r="AI1055" s="1087">
        <f>AH1055*Q1055*0.5</f>
        <v>603000</v>
      </c>
      <c r="AJ1055" s="1299"/>
      <c r="AK1055" s="1300">
        <v>41250</v>
      </c>
      <c r="AL1055" s="1090">
        <f>AK1055*Y1055</f>
        <v>165000</v>
      </c>
      <c r="AM1055" s="1297"/>
      <c r="AN1055" s="1297"/>
      <c r="AO1055" s="1298"/>
      <c r="AP1055" s="1301"/>
      <c r="AQ1055" s="1298"/>
      <c r="AR1055" s="1301"/>
      <c r="AS1055" s="1301"/>
      <c r="AT1055" s="1297"/>
      <c r="AU1055" s="1299"/>
      <c r="AV1055" s="1067"/>
    </row>
    <row r="1056" spans="1:48" ht="16.5" customHeight="1">
      <c r="A1056" s="1082"/>
      <c r="B1056" s="1082"/>
      <c r="C1056" s="1147"/>
      <c r="D1056" s="1082"/>
      <c r="E1056" s="1083"/>
      <c r="F1056" s="1560"/>
      <c r="G1056" s="1038"/>
      <c r="H1056" s="1077"/>
      <c r="I1056" s="1127"/>
      <c r="J1056" s="1069"/>
      <c r="K1056" s="1339"/>
      <c r="L1056" s="1139"/>
      <c r="M1056" s="1128"/>
      <c r="N1056" s="1245"/>
      <c r="O1056" s="1083"/>
      <c r="P1056" s="1091"/>
      <c r="Q1056" s="1076"/>
      <c r="R1056" s="1074"/>
      <c r="S1056" s="1074"/>
      <c r="T1056" s="1080"/>
      <c r="U1056" s="1184">
        <v>7</v>
      </c>
      <c r="V1056" s="1185" t="s">
        <v>6</v>
      </c>
      <c r="W1056" s="1079">
        <v>1</v>
      </c>
      <c r="X1056" s="1078"/>
      <c r="Y1056" s="1092"/>
      <c r="Z1056" s="1183">
        <f t="shared" si="96"/>
        <v>1</v>
      </c>
      <c r="AA1056" s="1074"/>
      <c r="AB1056" s="1126"/>
      <c r="AC1056" s="1073"/>
      <c r="AD1056" s="1084"/>
      <c r="AE1056" s="1062"/>
      <c r="AF1056" s="1296"/>
      <c r="AG1056" s="1297"/>
      <c r="AH1056" s="1298"/>
      <c r="AI1056" s="1298"/>
      <c r="AJ1056" s="1299"/>
      <c r="AK1056" s="1300">
        <v>10000</v>
      </c>
      <c r="AL1056" s="1090">
        <f t="shared" si="94"/>
        <v>10000</v>
      </c>
      <c r="AM1056" s="1297"/>
      <c r="AN1056" s="1297"/>
      <c r="AO1056" s="1298"/>
      <c r="AP1056" s="1301"/>
      <c r="AQ1056" s="1298"/>
      <c r="AR1056" s="1301"/>
      <c r="AS1056" s="1301"/>
      <c r="AT1056" s="1297"/>
      <c r="AU1056" s="1299"/>
      <c r="AV1056" s="1067"/>
    </row>
    <row r="1057" spans="1:48" ht="16.5" customHeight="1">
      <c r="A1057" s="1082"/>
      <c r="B1057" s="1082"/>
      <c r="C1057" s="1147"/>
      <c r="D1057" s="1082"/>
      <c r="E1057" s="1083"/>
      <c r="F1057" s="1560"/>
      <c r="G1057" s="1038"/>
      <c r="H1057" s="1077"/>
      <c r="I1057" s="1127"/>
      <c r="J1057" s="1069"/>
      <c r="K1057" s="1339"/>
      <c r="L1057" s="1139"/>
      <c r="M1057" s="1128"/>
      <c r="N1057" s="1038"/>
      <c r="O1057" s="1083"/>
      <c r="P1057" s="1091"/>
      <c r="Q1057" s="1076"/>
      <c r="R1057" s="1074"/>
      <c r="S1057" s="1074"/>
      <c r="T1057" s="1080"/>
      <c r="U1057" s="1184">
        <v>8</v>
      </c>
      <c r="V1057" s="1185" t="s">
        <v>240</v>
      </c>
      <c r="W1057" s="1079">
        <v>11</v>
      </c>
      <c r="X1057" s="1078"/>
      <c r="Y1057" s="1039"/>
      <c r="Z1057" s="1183">
        <f t="shared" si="96"/>
        <v>11</v>
      </c>
      <c r="AA1057" s="1074"/>
      <c r="AB1057" s="1126"/>
      <c r="AC1057" s="1073"/>
      <c r="AD1057" s="1084"/>
      <c r="AE1057" s="1062"/>
      <c r="AF1057" s="1296"/>
      <c r="AG1057" s="1297"/>
      <c r="AH1057" s="1298"/>
      <c r="AI1057" s="1298"/>
      <c r="AJ1057" s="1299"/>
      <c r="AK1057" s="1089">
        <v>10000</v>
      </c>
      <c r="AL1057" s="1090">
        <f t="shared" si="94"/>
        <v>110000</v>
      </c>
      <c r="AM1057" s="1297"/>
      <c r="AN1057" s="1297"/>
      <c r="AO1057" s="1298"/>
      <c r="AP1057" s="1301"/>
      <c r="AQ1057" s="1298"/>
      <c r="AR1057" s="1301"/>
      <c r="AS1057" s="1301"/>
      <c r="AT1057" s="1297"/>
      <c r="AU1057" s="1299"/>
      <c r="AV1057" s="1067"/>
    </row>
    <row r="1058" spans="1:48" ht="16.5" customHeight="1">
      <c r="A1058" s="1082"/>
      <c r="B1058" s="1082"/>
      <c r="C1058" s="1147"/>
      <c r="D1058" s="1082"/>
      <c r="E1058" s="1083"/>
      <c r="F1058" s="1560"/>
      <c r="G1058" s="1038"/>
      <c r="H1058" s="1077"/>
      <c r="I1058" s="1127"/>
      <c r="J1058" s="1069"/>
      <c r="K1058" s="1339"/>
      <c r="L1058" s="1139"/>
      <c r="M1058" s="1128"/>
      <c r="N1058" s="1038"/>
      <c r="O1058" s="1083"/>
      <c r="P1058" s="1091"/>
      <c r="Q1058" s="1076"/>
      <c r="R1058" s="1074"/>
      <c r="S1058" s="1074"/>
      <c r="T1058" s="1080"/>
      <c r="U1058" s="1184">
        <v>9</v>
      </c>
      <c r="V1058" s="1185" t="s">
        <v>1588</v>
      </c>
      <c r="W1058" s="1079">
        <v>10</v>
      </c>
      <c r="X1058" s="1078"/>
      <c r="Y1058" s="1039"/>
      <c r="Z1058" s="1183">
        <f t="shared" si="96"/>
        <v>10</v>
      </c>
      <c r="AA1058" s="1074"/>
      <c r="AB1058" s="1126"/>
      <c r="AC1058" s="1073"/>
      <c r="AD1058" s="1084"/>
      <c r="AE1058" s="1062"/>
      <c r="AF1058" s="1296"/>
      <c r="AG1058" s="1297"/>
      <c r="AH1058" s="1298"/>
      <c r="AI1058" s="1298"/>
      <c r="AJ1058" s="1299"/>
      <c r="AK1058" s="1300">
        <v>10000</v>
      </c>
      <c r="AL1058" s="1090">
        <f t="shared" si="94"/>
        <v>100000</v>
      </c>
      <c r="AM1058" s="1297"/>
      <c r="AN1058" s="1297"/>
      <c r="AO1058" s="1298"/>
      <c r="AP1058" s="1301"/>
      <c r="AQ1058" s="1298"/>
      <c r="AR1058" s="1301"/>
      <c r="AS1058" s="1301"/>
      <c r="AT1058" s="1297"/>
      <c r="AU1058" s="1299"/>
      <c r="AV1058" s="1067"/>
    </row>
    <row r="1059" spans="1:48" ht="33" customHeight="1">
      <c r="A1059" s="1082"/>
      <c r="B1059" s="1082"/>
      <c r="C1059" s="1147"/>
      <c r="D1059" s="1082"/>
      <c r="E1059" s="1083"/>
      <c r="F1059" s="1560"/>
      <c r="G1059" s="1038"/>
      <c r="H1059" s="1077"/>
      <c r="I1059" s="1127"/>
      <c r="J1059" s="1069"/>
      <c r="K1059" s="1339"/>
      <c r="L1059" s="1139"/>
      <c r="M1059" s="1128"/>
      <c r="N1059" s="1038"/>
      <c r="O1059" s="1083"/>
      <c r="P1059" s="1091"/>
      <c r="Q1059" s="1076"/>
      <c r="R1059" s="1074"/>
      <c r="S1059" s="1074"/>
      <c r="T1059" s="1080"/>
      <c r="U1059" s="1184">
        <v>10</v>
      </c>
      <c r="V1059" s="1211" t="s">
        <v>1587</v>
      </c>
      <c r="W1059" s="1079">
        <v>2</v>
      </c>
      <c r="X1059" s="1078"/>
      <c r="Y1059" s="1039"/>
      <c r="Z1059" s="1183">
        <f t="shared" si="96"/>
        <v>2</v>
      </c>
      <c r="AA1059" s="1074"/>
      <c r="AB1059" s="1126"/>
      <c r="AC1059" s="1073"/>
      <c r="AD1059" s="1084"/>
      <c r="AE1059" s="1062"/>
      <c r="AF1059" s="1296"/>
      <c r="AG1059" s="1297"/>
      <c r="AH1059" s="1298"/>
      <c r="AI1059" s="1298"/>
      <c r="AJ1059" s="1299"/>
      <c r="AK1059" s="1300">
        <v>45000</v>
      </c>
      <c r="AL1059" s="1090">
        <f t="shared" si="94"/>
        <v>90000</v>
      </c>
      <c r="AM1059" s="1297"/>
      <c r="AN1059" s="1297"/>
      <c r="AO1059" s="1298"/>
      <c r="AP1059" s="1301"/>
      <c r="AQ1059" s="1298"/>
      <c r="AR1059" s="1301"/>
      <c r="AS1059" s="1301"/>
      <c r="AT1059" s="1297"/>
      <c r="AU1059" s="1299"/>
      <c r="AV1059" s="1067"/>
    </row>
    <row r="1060" spans="1:48" ht="16.5" customHeight="1">
      <c r="A1060" s="1098"/>
      <c r="B1060" s="1098"/>
      <c r="C1060" s="1283"/>
      <c r="D1060" s="1098"/>
      <c r="E1060" s="1105"/>
      <c r="F1060" s="1563"/>
      <c r="G1060" s="1095"/>
      <c r="H1060" s="1151"/>
      <c r="I1060" s="1152"/>
      <c r="J1060" s="1103"/>
      <c r="K1060" s="1342"/>
      <c r="L1060" s="1154"/>
      <c r="M1060" s="1153"/>
      <c r="N1060" s="1095"/>
      <c r="O1060" s="1105"/>
      <c r="P1060" s="1109"/>
      <c r="Q1060" s="1108"/>
      <c r="R1060" s="1094"/>
      <c r="S1060" s="1094"/>
      <c r="T1060" s="1112"/>
      <c r="U1060" s="1188">
        <v>11</v>
      </c>
      <c r="V1060" s="1189" t="s">
        <v>4</v>
      </c>
      <c r="W1060" s="1111">
        <v>2</v>
      </c>
      <c r="X1060" s="1110"/>
      <c r="Y1060" s="1096"/>
      <c r="Z1060" s="1166">
        <f t="shared" si="96"/>
        <v>2</v>
      </c>
      <c r="AA1060" s="1094"/>
      <c r="AB1060" s="1156"/>
      <c r="AC1060" s="1107"/>
      <c r="AD1060" s="1114"/>
      <c r="AE1060" s="1093"/>
      <c r="AF1060" s="1305"/>
      <c r="AG1060" s="1306"/>
      <c r="AH1060" s="1307"/>
      <c r="AI1060" s="1307"/>
      <c r="AJ1060" s="1308"/>
      <c r="AK1060" s="1309">
        <v>250</v>
      </c>
      <c r="AL1060" s="1120">
        <f t="shared" si="94"/>
        <v>500</v>
      </c>
      <c r="AM1060" s="1306"/>
      <c r="AN1060" s="1306"/>
      <c r="AO1060" s="1307"/>
      <c r="AP1060" s="1310"/>
      <c r="AQ1060" s="1307"/>
      <c r="AR1060" s="1310"/>
      <c r="AS1060" s="1310"/>
      <c r="AT1060" s="1306"/>
      <c r="AU1060" s="1308"/>
      <c r="AV1060" s="1101"/>
    </row>
    <row r="1061" spans="1:48" ht="33" customHeight="1">
      <c r="A1061" s="1269">
        <v>79</v>
      </c>
      <c r="B1061" s="1033" t="s">
        <v>25</v>
      </c>
      <c r="C1061" s="1036" t="s">
        <v>1586</v>
      </c>
      <c r="D1061" s="1033"/>
      <c r="E1061" s="1036"/>
      <c r="F1061" s="1559" t="s">
        <v>1585</v>
      </c>
      <c r="G1061" s="1272" t="s">
        <v>25</v>
      </c>
      <c r="H1061" s="1173" t="s">
        <v>1540</v>
      </c>
      <c r="I1061" s="1174">
        <v>336</v>
      </c>
      <c r="J1061" s="1175" t="s">
        <v>41</v>
      </c>
      <c r="K1061" s="1041" t="s">
        <v>1584</v>
      </c>
      <c r="L1061" s="1129" t="s">
        <v>46</v>
      </c>
      <c r="M1061" s="1331" t="s">
        <v>46</v>
      </c>
      <c r="N1061" s="1035" t="s">
        <v>25</v>
      </c>
      <c r="O1061" s="1190" t="s">
        <v>1543</v>
      </c>
      <c r="P1061" s="1054"/>
      <c r="Q1061" s="1048">
        <v>59.5</v>
      </c>
      <c r="R1061" s="1170"/>
      <c r="S1061" s="1034"/>
      <c r="T1061" s="1048"/>
      <c r="U1061" s="1353"/>
      <c r="V1061" s="1319"/>
      <c r="W1061" s="1052"/>
      <c r="X1061" s="1051"/>
      <c r="Y1061" s="1036"/>
      <c r="Z1061" s="1203"/>
      <c r="AA1061" s="1170"/>
      <c r="AB1061" s="1173"/>
      <c r="AC1061" s="1047"/>
      <c r="AD1061" s="1055"/>
      <c r="AE1061" s="1032"/>
      <c r="AF1061" s="1333">
        <f>Resum!F1</f>
        <v>356000</v>
      </c>
      <c r="AG1061" s="1086">
        <f>AF1061*I1061</f>
        <v>119616000</v>
      </c>
      <c r="AH1061" s="1334">
        <v>1800000</v>
      </c>
      <c r="AI1061" s="1087">
        <f>AH1061*Q1061*0.6</f>
        <v>64260000</v>
      </c>
      <c r="AJ1061" s="1335">
        <f>SUM(AI1061:AI1075)</f>
        <v>182930000</v>
      </c>
      <c r="AK1061" s="1336"/>
      <c r="AL1061" s="1090"/>
      <c r="AM1061" s="1337"/>
      <c r="AN1061" s="1086">
        <f>AM1061+AJ1061+AG1061</f>
        <v>302546000</v>
      </c>
      <c r="AO1061" s="1334">
        <f>200000*30*3</f>
        <v>18000000</v>
      </c>
      <c r="AP1061" s="1136">
        <f>(AG1061+AI1061)*15%</f>
        <v>27581400</v>
      </c>
      <c r="AQ1061" s="1087">
        <f>(AG1061+AI1061)*1%</f>
        <v>1838760</v>
      </c>
      <c r="AR1061" s="1136">
        <f>(AG1061+AI1061)*5%</f>
        <v>9193800</v>
      </c>
      <c r="AS1061" s="1087">
        <f>0.5%*(AG1061+AI1061)*(3)</f>
        <v>2758140</v>
      </c>
      <c r="AT1061" s="1086">
        <f>+AS1061+AR1061+AQ1061+AP1061+AO1061</f>
        <v>59372100</v>
      </c>
      <c r="AU1061" s="1137">
        <f>ROUND(AT1061+AN1061,-3)</f>
        <v>361918000</v>
      </c>
      <c r="AV1061" s="1041"/>
    </row>
    <row r="1062" spans="1:48" ht="16.5" customHeight="1">
      <c r="A1062" s="1082"/>
      <c r="B1062" s="1038" t="s">
        <v>16</v>
      </c>
      <c r="C1062" s="1071" t="s">
        <v>1583</v>
      </c>
      <c r="D1062" s="1038"/>
      <c r="E1062" s="1071"/>
      <c r="F1062" s="1560"/>
      <c r="G1062" s="1038" t="s">
        <v>16</v>
      </c>
      <c r="H1062" s="1074" t="s">
        <v>22</v>
      </c>
      <c r="I1062" s="1127"/>
      <c r="J1062" s="1128"/>
      <c r="K1062" s="1067"/>
      <c r="L1062" s="1139"/>
      <c r="M1062" s="1128"/>
      <c r="N1062" s="1038" t="s">
        <v>16</v>
      </c>
      <c r="O1062" s="1293" t="s">
        <v>21</v>
      </c>
      <c r="P1062" s="1081"/>
      <c r="Q1062" s="1075">
        <v>14</v>
      </c>
      <c r="R1062" s="1074"/>
      <c r="S1062" s="1074"/>
      <c r="T1062" s="1566"/>
      <c r="U1062" s="1184"/>
      <c r="V1062" s="1146"/>
      <c r="W1062" s="1314"/>
      <c r="X1062" s="1315"/>
      <c r="Y1062" s="1316"/>
      <c r="Z1062" s="1134"/>
      <c r="AA1062" s="1074"/>
      <c r="AB1062" s="1126"/>
      <c r="AC1062" s="1073"/>
      <c r="AD1062" s="1084"/>
      <c r="AE1062" s="1062"/>
      <c r="AF1062" s="1296"/>
      <c r="AG1062" s="1297"/>
      <c r="AH1062" s="1298">
        <v>100000</v>
      </c>
      <c r="AI1062" s="1087">
        <f t="shared" ref="AI1062:AI1083" si="98">AH1062*Q1062*0.5</f>
        <v>700000</v>
      </c>
      <c r="AJ1062" s="1299"/>
      <c r="AK1062" s="1300"/>
      <c r="AL1062" s="1090"/>
      <c r="AM1062" s="1297"/>
      <c r="AN1062" s="1297"/>
      <c r="AO1062" s="1298"/>
      <c r="AP1062" s="1301"/>
      <c r="AQ1062" s="1298"/>
      <c r="AR1062" s="1301"/>
      <c r="AS1062" s="1301"/>
      <c r="AT1062" s="1297"/>
      <c r="AU1062" s="1299"/>
      <c r="AV1062" s="1067"/>
    </row>
    <row r="1063" spans="1:48" ht="16.5" customHeight="1">
      <c r="A1063" s="1082"/>
      <c r="B1063" s="1038" t="s">
        <v>18</v>
      </c>
      <c r="C1063" s="1039" t="s">
        <v>124</v>
      </c>
      <c r="D1063" s="1038"/>
      <c r="E1063" s="1039"/>
      <c r="F1063" s="1560"/>
      <c r="G1063" s="1038" t="s">
        <v>18</v>
      </c>
      <c r="H1063" s="1074" t="s">
        <v>19</v>
      </c>
      <c r="I1063" s="1127"/>
      <c r="J1063" s="1128"/>
      <c r="K1063" s="1067"/>
      <c r="L1063" s="1139"/>
      <c r="M1063" s="1128"/>
      <c r="N1063" s="1038"/>
      <c r="O1063" s="1293"/>
      <c r="P1063" s="1081"/>
      <c r="Q1063" s="1075"/>
      <c r="R1063" s="1074"/>
      <c r="S1063" s="1074"/>
      <c r="T1063" s="1080"/>
      <c r="U1063" s="1184"/>
      <c r="V1063" s="1185"/>
      <c r="W1063" s="1079"/>
      <c r="X1063" s="1078"/>
      <c r="Y1063" s="1039"/>
      <c r="Z1063" s="1134"/>
      <c r="AA1063" s="1074"/>
      <c r="AB1063" s="1126"/>
      <c r="AC1063" s="1073"/>
      <c r="AD1063" s="1084"/>
      <c r="AE1063" s="1062"/>
      <c r="AF1063" s="1296"/>
      <c r="AG1063" s="1297"/>
      <c r="AH1063" s="1298"/>
      <c r="AI1063" s="1087">
        <f t="shared" si="98"/>
        <v>0</v>
      </c>
      <c r="AJ1063" s="1299"/>
      <c r="AK1063" s="1300"/>
      <c r="AL1063" s="1090"/>
      <c r="AM1063" s="1297"/>
      <c r="AN1063" s="1297"/>
      <c r="AO1063" s="1298"/>
      <c r="AP1063" s="1301"/>
      <c r="AQ1063" s="1298"/>
      <c r="AR1063" s="1301"/>
      <c r="AS1063" s="1301"/>
      <c r="AT1063" s="1297"/>
      <c r="AU1063" s="1299"/>
      <c r="AV1063" s="1067"/>
    </row>
    <row r="1064" spans="1:48" ht="49.5" customHeight="1">
      <c r="A1064" s="1082"/>
      <c r="B1064" s="1038" t="s">
        <v>12</v>
      </c>
      <c r="C1064" s="1083" t="s">
        <v>98</v>
      </c>
      <c r="D1064" s="1038"/>
      <c r="E1064" s="1083"/>
      <c r="F1064" s="1560"/>
      <c r="G1064" s="1038"/>
      <c r="H1064" s="1077"/>
      <c r="I1064" s="1127"/>
      <c r="J1064" s="1128"/>
      <c r="K1064" s="1067"/>
      <c r="L1064" s="1139"/>
      <c r="M1064" s="1128"/>
      <c r="N1064" s="1038"/>
      <c r="O1064" s="1293"/>
      <c r="P1064" s="1081"/>
      <c r="Q1064" s="1075"/>
      <c r="R1064" s="1074"/>
      <c r="S1064" s="1074"/>
      <c r="T1064" s="1080"/>
      <c r="U1064" s="1184"/>
      <c r="V1064" s="1185"/>
      <c r="W1064" s="1079"/>
      <c r="X1064" s="1078"/>
      <c r="Y1064" s="1039"/>
      <c r="Z1064" s="1134"/>
      <c r="AA1064" s="1074"/>
      <c r="AB1064" s="1063"/>
      <c r="AC1064" s="1075"/>
      <c r="AD1064" s="1084"/>
      <c r="AE1064" s="1062"/>
      <c r="AF1064" s="1296"/>
      <c r="AG1064" s="1297"/>
      <c r="AH1064" s="1298"/>
      <c r="AI1064" s="1087">
        <f t="shared" si="98"/>
        <v>0</v>
      </c>
      <c r="AJ1064" s="1299"/>
      <c r="AK1064" s="1300"/>
      <c r="AL1064" s="1090"/>
      <c r="AM1064" s="1297"/>
      <c r="AN1064" s="1297"/>
      <c r="AO1064" s="1298"/>
      <c r="AP1064" s="1301"/>
      <c r="AQ1064" s="1298"/>
      <c r="AR1064" s="1301"/>
      <c r="AS1064" s="1301"/>
      <c r="AT1064" s="1297"/>
      <c r="AU1064" s="1299"/>
      <c r="AV1064" s="1067"/>
    </row>
    <row r="1065" spans="1:48" ht="16.5" customHeight="1">
      <c r="A1065" s="1082"/>
      <c r="B1065" s="1038" t="s">
        <v>8</v>
      </c>
      <c r="C1065" s="1083" t="s">
        <v>1582</v>
      </c>
      <c r="D1065" s="1038"/>
      <c r="E1065" s="1083"/>
      <c r="F1065" s="1560"/>
      <c r="G1065" s="1038"/>
      <c r="H1065" s="1077"/>
      <c r="I1065" s="1127"/>
      <c r="J1065" s="1128"/>
      <c r="K1065" s="1067"/>
      <c r="L1065" s="1139"/>
      <c r="M1065" s="1128"/>
      <c r="N1065" s="1547" t="s">
        <v>1546</v>
      </c>
      <c r="O1065" s="1293"/>
      <c r="P1065" s="1081"/>
      <c r="Q1065" s="1075"/>
      <c r="R1065" s="1074"/>
      <c r="S1065" s="1074"/>
      <c r="T1065" s="1080"/>
      <c r="U1065" s="1184"/>
      <c r="V1065" s="1185"/>
      <c r="W1065" s="1079"/>
      <c r="X1065" s="1078"/>
      <c r="Y1065" s="1039"/>
      <c r="Z1065" s="1134"/>
      <c r="AA1065" s="1074"/>
      <c r="AB1065" s="1063"/>
      <c r="AC1065" s="1075"/>
      <c r="AD1065" s="1084"/>
      <c r="AE1065" s="1062"/>
      <c r="AF1065" s="1296"/>
      <c r="AG1065" s="1297"/>
      <c r="AH1065" s="1298"/>
      <c r="AI1065" s="1087">
        <f t="shared" si="98"/>
        <v>0</v>
      </c>
      <c r="AJ1065" s="1299"/>
      <c r="AK1065" s="1300"/>
      <c r="AL1065" s="1090"/>
      <c r="AM1065" s="1297"/>
      <c r="AN1065" s="1297"/>
      <c r="AO1065" s="1298"/>
      <c r="AP1065" s="1301"/>
      <c r="AQ1065" s="1298"/>
      <c r="AR1065" s="1301"/>
      <c r="AS1065" s="1301"/>
      <c r="AT1065" s="1297"/>
      <c r="AU1065" s="1299"/>
      <c r="AV1065" s="1067"/>
    </row>
    <row r="1066" spans="1:48" ht="33" customHeight="1">
      <c r="A1066" s="1082"/>
      <c r="B1066" s="1038"/>
      <c r="C1066" s="1083"/>
      <c r="D1066" s="1038"/>
      <c r="E1066" s="1083"/>
      <c r="F1066" s="1560"/>
      <c r="G1066" s="1038"/>
      <c r="H1066" s="1077"/>
      <c r="I1066" s="1127"/>
      <c r="J1066" s="1128"/>
      <c r="K1066" s="1067"/>
      <c r="L1066" s="1139"/>
      <c r="M1066" s="1128"/>
      <c r="N1066" s="1038" t="s">
        <v>150</v>
      </c>
      <c r="O1066" s="1293" t="s">
        <v>62</v>
      </c>
      <c r="P1066" s="1081"/>
      <c r="Q1066" s="1075">
        <v>49</v>
      </c>
      <c r="R1066" s="1074"/>
      <c r="S1066" s="1074"/>
      <c r="T1066" s="1080"/>
      <c r="U1066" s="1184"/>
      <c r="V1066" s="1185"/>
      <c r="W1066" s="1079"/>
      <c r="X1066" s="1078"/>
      <c r="Y1066" s="1039"/>
      <c r="Z1066" s="1134"/>
      <c r="AA1066" s="1074"/>
      <c r="AB1066" s="1063"/>
      <c r="AC1066" s="1075"/>
      <c r="AD1066" s="1084"/>
      <c r="AE1066" s="1062"/>
      <c r="AF1066" s="1296"/>
      <c r="AG1066" s="1297"/>
      <c r="AH1066" s="1298">
        <v>1800000</v>
      </c>
      <c r="AI1066" s="1087">
        <f>AH1066*Q1066*0.6</f>
        <v>52920000</v>
      </c>
      <c r="AJ1066" s="1299"/>
      <c r="AK1066" s="1300"/>
      <c r="AL1066" s="1090"/>
      <c r="AM1066" s="1297"/>
      <c r="AN1066" s="1297"/>
      <c r="AO1066" s="1298"/>
      <c r="AP1066" s="1301"/>
      <c r="AQ1066" s="1298"/>
      <c r="AR1066" s="1301"/>
      <c r="AS1066" s="1301"/>
      <c r="AT1066" s="1297"/>
      <c r="AU1066" s="1299"/>
      <c r="AV1066" s="1067"/>
    </row>
    <row r="1067" spans="1:48" ht="16.5" customHeight="1">
      <c r="A1067" s="1082"/>
      <c r="B1067" s="1038"/>
      <c r="C1067" s="1083"/>
      <c r="D1067" s="1038"/>
      <c r="E1067" s="1083"/>
      <c r="F1067" s="1560"/>
      <c r="G1067" s="1038"/>
      <c r="H1067" s="1077"/>
      <c r="I1067" s="1127"/>
      <c r="J1067" s="1128"/>
      <c r="K1067" s="1067"/>
      <c r="L1067" s="1139"/>
      <c r="M1067" s="1128"/>
      <c r="N1067" s="1038"/>
      <c r="O1067" s="1293"/>
      <c r="P1067" s="1081"/>
      <c r="Q1067" s="1075"/>
      <c r="R1067" s="1074"/>
      <c r="S1067" s="1074"/>
      <c r="T1067" s="1080"/>
      <c r="U1067" s="1184"/>
      <c r="V1067" s="1185"/>
      <c r="W1067" s="1079"/>
      <c r="X1067" s="1078"/>
      <c r="Y1067" s="1039"/>
      <c r="Z1067" s="1134"/>
      <c r="AA1067" s="1074"/>
      <c r="AB1067" s="1063"/>
      <c r="AC1067" s="1075"/>
      <c r="AD1067" s="1084"/>
      <c r="AE1067" s="1062"/>
      <c r="AF1067" s="1296"/>
      <c r="AG1067" s="1297"/>
      <c r="AH1067" s="1298"/>
      <c r="AI1067" s="1087">
        <f t="shared" si="98"/>
        <v>0</v>
      </c>
      <c r="AJ1067" s="1299"/>
      <c r="AK1067" s="1300"/>
      <c r="AL1067" s="1090"/>
      <c r="AM1067" s="1297"/>
      <c r="AN1067" s="1297"/>
      <c r="AO1067" s="1298"/>
      <c r="AP1067" s="1301"/>
      <c r="AQ1067" s="1298"/>
      <c r="AR1067" s="1301"/>
      <c r="AS1067" s="1301"/>
      <c r="AT1067" s="1297"/>
      <c r="AU1067" s="1299"/>
      <c r="AV1067" s="1067"/>
    </row>
    <row r="1068" spans="1:48" ht="16.5" customHeight="1">
      <c r="A1068" s="1082"/>
      <c r="B1068" s="1038"/>
      <c r="C1068" s="1083"/>
      <c r="D1068" s="1038"/>
      <c r="E1068" s="1083"/>
      <c r="F1068" s="1560"/>
      <c r="G1068" s="1038"/>
      <c r="H1068" s="1077"/>
      <c r="I1068" s="1127"/>
      <c r="J1068" s="1128"/>
      <c r="K1068" s="1067"/>
      <c r="L1068" s="1139"/>
      <c r="M1068" s="1128"/>
      <c r="N1068" s="1038"/>
      <c r="O1068" s="1293"/>
      <c r="P1068" s="1081"/>
      <c r="Q1068" s="1075"/>
      <c r="R1068" s="1074"/>
      <c r="S1068" s="1074"/>
      <c r="T1068" s="1080"/>
      <c r="U1068" s="1184"/>
      <c r="V1068" s="1185"/>
      <c r="W1068" s="1079"/>
      <c r="X1068" s="1078"/>
      <c r="Y1068" s="1039"/>
      <c r="Z1068" s="1134"/>
      <c r="AA1068" s="1074"/>
      <c r="AB1068" s="1063"/>
      <c r="AC1068" s="1075"/>
      <c r="AD1068" s="1084"/>
      <c r="AE1068" s="1062"/>
      <c r="AF1068" s="1296"/>
      <c r="AG1068" s="1297"/>
      <c r="AH1068" s="1298"/>
      <c r="AI1068" s="1087">
        <f t="shared" si="98"/>
        <v>0</v>
      </c>
      <c r="AJ1068" s="1299" t="s">
        <v>1832</v>
      </c>
      <c r="AK1068" s="1300"/>
      <c r="AL1068" s="1090"/>
      <c r="AM1068" s="1297"/>
      <c r="AN1068" s="1297"/>
      <c r="AO1068" s="1298"/>
      <c r="AP1068" s="1301"/>
      <c r="AQ1068" s="1298"/>
      <c r="AR1068" s="1301"/>
      <c r="AS1068" s="1301"/>
      <c r="AT1068" s="1297"/>
      <c r="AU1068" s="1299"/>
      <c r="AV1068" s="1067"/>
    </row>
    <row r="1069" spans="1:48" ht="16.5" customHeight="1">
      <c r="A1069" s="1082"/>
      <c r="B1069" s="1038"/>
      <c r="C1069" s="1083"/>
      <c r="D1069" s="1038"/>
      <c r="E1069" s="1083"/>
      <c r="F1069" s="1560"/>
      <c r="G1069" s="1038"/>
      <c r="H1069" s="1077"/>
      <c r="I1069" s="1127"/>
      <c r="J1069" s="1128"/>
      <c r="K1069" s="1067"/>
      <c r="L1069" s="1139"/>
      <c r="M1069" s="1128"/>
      <c r="N1069" s="1547" t="s">
        <v>1581</v>
      </c>
      <c r="O1069" s="1293"/>
      <c r="P1069" s="1081"/>
      <c r="Q1069" s="1075"/>
      <c r="R1069" s="1074"/>
      <c r="S1069" s="1074"/>
      <c r="T1069" s="1080"/>
      <c r="U1069" s="1184"/>
      <c r="V1069" s="1185"/>
      <c r="W1069" s="1079"/>
      <c r="X1069" s="1078"/>
      <c r="Y1069" s="1039"/>
      <c r="Z1069" s="1134"/>
      <c r="AA1069" s="1074"/>
      <c r="AB1069" s="1063"/>
      <c r="AC1069" s="1075"/>
      <c r="AD1069" s="1084"/>
      <c r="AE1069" s="1062"/>
      <c r="AF1069" s="1296"/>
      <c r="AG1069" s="1297"/>
      <c r="AH1069" s="1298"/>
      <c r="AI1069" s="1087">
        <f t="shared" si="98"/>
        <v>0</v>
      </c>
      <c r="AJ1069" s="1299"/>
      <c r="AK1069" s="1300"/>
      <c r="AL1069" s="1090"/>
      <c r="AM1069" s="1297"/>
      <c r="AN1069" s="1297"/>
      <c r="AO1069" s="1298"/>
      <c r="AP1069" s="1301"/>
      <c r="AQ1069" s="1298"/>
      <c r="AR1069" s="1301"/>
      <c r="AS1069" s="1301"/>
      <c r="AT1069" s="1297"/>
      <c r="AU1069" s="1299"/>
      <c r="AV1069" s="1067"/>
    </row>
    <row r="1070" spans="1:48" ht="16.5" customHeight="1">
      <c r="A1070" s="1082"/>
      <c r="B1070" s="1038"/>
      <c r="C1070" s="1083"/>
      <c r="D1070" s="1038"/>
      <c r="E1070" s="1083"/>
      <c r="F1070" s="1560"/>
      <c r="G1070" s="1038"/>
      <c r="H1070" s="1077"/>
      <c r="I1070" s="1127"/>
      <c r="J1070" s="1128"/>
      <c r="K1070" s="1067"/>
      <c r="L1070" s="1139"/>
      <c r="M1070" s="1128"/>
      <c r="N1070" s="1038" t="s">
        <v>25</v>
      </c>
      <c r="O1070" s="1293" t="s">
        <v>26</v>
      </c>
      <c r="P1070" s="1081"/>
      <c r="Q1070" s="1075">
        <v>77</v>
      </c>
      <c r="R1070" s="1074"/>
      <c r="S1070" s="1074"/>
      <c r="T1070" s="1080"/>
      <c r="U1070" s="1184"/>
      <c r="V1070" s="1185"/>
      <c r="W1070" s="1079"/>
      <c r="X1070" s="1078"/>
      <c r="Y1070" s="1039"/>
      <c r="Z1070" s="1134"/>
      <c r="AA1070" s="1074"/>
      <c r="AB1070" s="1063"/>
      <c r="AC1070" s="1075"/>
      <c r="AD1070" s="1084"/>
      <c r="AE1070" s="1062"/>
      <c r="AF1070" s="1296"/>
      <c r="AG1070" s="1297"/>
      <c r="AH1070" s="1298">
        <v>1500000</v>
      </c>
      <c r="AI1070" s="1087">
        <f t="shared" si="98"/>
        <v>57750000</v>
      </c>
      <c r="AJ1070" s="1299"/>
      <c r="AK1070" s="1300"/>
      <c r="AL1070" s="1090"/>
      <c r="AM1070" s="1297"/>
      <c r="AN1070" s="1297"/>
      <c r="AO1070" s="1298"/>
      <c r="AP1070" s="1301"/>
      <c r="AQ1070" s="1298"/>
      <c r="AR1070" s="1301"/>
      <c r="AS1070" s="1301"/>
      <c r="AT1070" s="1297"/>
      <c r="AU1070" s="1299"/>
      <c r="AV1070" s="1067"/>
    </row>
    <row r="1071" spans="1:48" ht="16.5" customHeight="1">
      <c r="A1071" s="1082"/>
      <c r="B1071" s="1038"/>
      <c r="C1071" s="1083"/>
      <c r="D1071" s="1038"/>
      <c r="E1071" s="1083"/>
      <c r="F1071" s="1560"/>
      <c r="G1071" s="1038"/>
      <c r="H1071" s="1077"/>
      <c r="I1071" s="1127"/>
      <c r="J1071" s="1128"/>
      <c r="K1071" s="1067"/>
      <c r="L1071" s="1139"/>
      <c r="M1071" s="1128"/>
      <c r="N1071" s="1038" t="s">
        <v>16</v>
      </c>
      <c r="O1071" s="1293" t="s">
        <v>21</v>
      </c>
      <c r="P1071" s="1081"/>
      <c r="Q1071" s="1075">
        <v>17.5</v>
      </c>
      <c r="R1071" s="1074"/>
      <c r="S1071" s="1074"/>
      <c r="T1071" s="1080"/>
      <c r="U1071" s="1184"/>
      <c r="V1071" s="1185"/>
      <c r="W1071" s="1079"/>
      <c r="X1071" s="1078"/>
      <c r="Y1071" s="1039"/>
      <c r="Z1071" s="1134"/>
      <c r="AA1071" s="1074"/>
      <c r="AB1071" s="1063"/>
      <c r="AC1071" s="1075"/>
      <c r="AD1071" s="1084"/>
      <c r="AE1071" s="1062"/>
      <c r="AF1071" s="1296"/>
      <c r="AG1071" s="1297"/>
      <c r="AH1071" s="1298">
        <v>100000</v>
      </c>
      <c r="AI1071" s="1087">
        <f t="shared" si="98"/>
        <v>875000</v>
      </c>
      <c r="AJ1071" s="1299"/>
      <c r="AK1071" s="1300"/>
      <c r="AL1071" s="1090"/>
      <c r="AM1071" s="1297"/>
      <c r="AN1071" s="1297"/>
      <c r="AO1071" s="1298"/>
      <c r="AP1071" s="1301"/>
      <c r="AQ1071" s="1298"/>
      <c r="AR1071" s="1301"/>
      <c r="AS1071" s="1301"/>
      <c r="AT1071" s="1297"/>
      <c r="AU1071" s="1299"/>
      <c r="AV1071" s="1067"/>
    </row>
    <row r="1072" spans="1:48" ht="16.5" customHeight="1">
      <c r="A1072" s="1082"/>
      <c r="B1072" s="1038"/>
      <c r="C1072" s="1083"/>
      <c r="D1072" s="1038"/>
      <c r="E1072" s="1083"/>
      <c r="F1072" s="1560"/>
      <c r="G1072" s="1038"/>
      <c r="H1072" s="1077"/>
      <c r="I1072" s="1127"/>
      <c r="J1072" s="1128"/>
      <c r="K1072" s="1067"/>
      <c r="L1072" s="1139"/>
      <c r="M1072" s="1128"/>
      <c r="N1072" s="1038" t="s">
        <v>18</v>
      </c>
      <c r="O1072" s="1293" t="s">
        <v>52</v>
      </c>
      <c r="P1072" s="1081"/>
      <c r="Q1072" s="1075">
        <v>21</v>
      </c>
      <c r="R1072" s="1074"/>
      <c r="S1072" s="1074"/>
      <c r="T1072" s="1080"/>
      <c r="U1072" s="1184"/>
      <c r="V1072" s="1185"/>
      <c r="W1072" s="1079"/>
      <c r="X1072" s="1078"/>
      <c r="Y1072" s="1039"/>
      <c r="Z1072" s="1134"/>
      <c r="AA1072" s="1074"/>
      <c r="AB1072" s="1063"/>
      <c r="AC1072" s="1075"/>
      <c r="AD1072" s="1084"/>
      <c r="AE1072" s="1062"/>
      <c r="AF1072" s="1296"/>
      <c r="AG1072" s="1297"/>
      <c r="AH1072" s="1087">
        <v>210000</v>
      </c>
      <c r="AI1072" s="1087">
        <f t="shared" si="98"/>
        <v>2205000</v>
      </c>
      <c r="AJ1072" s="1299"/>
      <c r="AK1072" s="1300"/>
      <c r="AL1072" s="1090"/>
      <c r="AM1072" s="1297"/>
      <c r="AN1072" s="1297"/>
      <c r="AO1072" s="1298"/>
      <c r="AP1072" s="1301"/>
      <c r="AQ1072" s="1298"/>
      <c r="AR1072" s="1301"/>
      <c r="AS1072" s="1301"/>
      <c r="AT1072" s="1297"/>
      <c r="AU1072" s="1299"/>
      <c r="AV1072" s="1067"/>
    </row>
    <row r="1073" spans="1:48" ht="16.5" customHeight="1">
      <c r="A1073" s="1082"/>
      <c r="B1073" s="1038"/>
      <c r="C1073" s="1083"/>
      <c r="D1073" s="1038"/>
      <c r="E1073" s="1083"/>
      <c r="F1073" s="1560"/>
      <c r="G1073" s="1038"/>
      <c r="H1073" s="1077"/>
      <c r="I1073" s="1127"/>
      <c r="J1073" s="1128"/>
      <c r="K1073" s="1067"/>
      <c r="L1073" s="1139"/>
      <c r="M1073" s="1128"/>
      <c r="N1073" s="1038" t="s">
        <v>12</v>
      </c>
      <c r="O1073" s="1293" t="s">
        <v>17</v>
      </c>
      <c r="P1073" s="1081">
        <v>1</v>
      </c>
      <c r="Q1073" s="1075"/>
      <c r="R1073" s="1074"/>
      <c r="S1073" s="1074"/>
      <c r="T1073" s="1080"/>
      <c r="U1073" s="1184"/>
      <c r="V1073" s="1185"/>
      <c r="W1073" s="1079"/>
      <c r="X1073" s="1078"/>
      <c r="Y1073" s="1039"/>
      <c r="Z1073" s="1134"/>
      <c r="AA1073" s="1074"/>
      <c r="AB1073" s="1063"/>
      <c r="AC1073" s="1075"/>
      <c r="AD1073" s="1084"/>
      <c r="AE1073" s="1062"/>
      <c r="AF1073" s="1296"/>
      <c r="AG1073" s="1297"/>
      <c r="AH1073" s="1298">
        <v>2500000</v>
      </c>
      <c r="AI1073" s="1087">
        <f>AH1073*P1073*0.5</f>
        <v>1250000</v>
      </c>
      <c r="AJ1073" s="1299"/>
      <c r="AK1073" s="1300"/>
      <c r="AL1073" s="1090"/>
      <c r="AM1073" s="1297"/>
      <c r="AN1073" s="1297"/>
      <c r="AO1073" s="1298"/>
      <c r="AP1073" s="1301"/>
      <c r="AQ1073" s="1298"/>
      <c r="AR1073" s="1301"/>
      <c r="AS1073" s="1301"/>
      <c r="AT1073" s="1297"/>
      <c r="AU1073" s="1299"/>
      <c r="AV1073" s="1067"/>
    </row>
    <row r="1074" spans="1:48" ht="16.5" customHeight="1">
      <c r="A1074" s="1082"/>
      <c r="B1074" s="1038"/>
      <c r="C1074" s="1083"/>
      <c r="D1074" s="1038"/>
      <c r="E1074" s="1083"/>
      <c r="F1074" s="1560"/>
      <c r="G1074" s="1038"/>
      <c r="H1074" s="1077"/>
      <c r="I1074" s="1127"/>
      <c r="J1074" s="1128"/>
      <c r="K1074" s="1067"/>
      <c r="L1074" s="1139"/>
      <c r="M1074" s="1128"/>
      <c r="N1074" s="1038" t="s">
        <v>8</v>
      </c>
      <c r="O1074" s="1293" t="s">
        <v>11</v>
      </c>
      <c r="P1074" s="1081">
        <v>1</v>
      </c>
      <c r="Q1074" s="1075"/>
      <c r="R1074" s="1074"/>
      <c r="S1074" s="1074"/>
      <c r="T1074" s="1080"/>
      <c r="U1074" s="1184"/>
      <c r="V1074" s="1185"/>
      <c r="W1074" s="1079"/>
      <c r="X1074" s="1078"/>
      <c r="Y1074" s="1039"/>
      <c r="Z1074" s="1134"/>
      <c r="AA1074" s="1074"/>
      <c r="AB1074" s="1063"/>
      <c r="AC1074" s="1075"/>
      <c r="AD1074" s="1084"/>
      <c r="AE1074" s="1062"/>
      <c r="AF1074" s="1296"/>
      <c r="AG1074" s="1297"/>
      <c r="AH1074" s="1298">
        <v>2500000</v>
      </c>
      <c r="AI1074" s="1087">
        <f>AH1074*P1074*0.75</f>
        <v>1875000</v>
      </c>
      <c r="AJ1074" s="1299"/>
      <c r="AK1074" s="1300"/>
      <c r="AL1074" s="1090"/>
      <c r="AM1074" s="1297"/>
      <c r="AN1074" s="1297"/>
      <c r="AO1074" s="1298"/>
      <c r="AP1074" s="1301"/>
      <c r="AQ1074" s="1298"/>
      <c r="AR1074" s="1301"/>
      <c r="AS1074" s="1301"/>
      <c r="AT1074" s="1297"/>
      <c r="AU1074" s="1299"/>
      <c r="AV1074" s="1067"/>
    </row>
    <row r="1075" spans="1:48" ht="16.5" customHeight="1">
      <c r="A1075" s="1082"/>
      <c r="B1075" s="1038"/>
      <c r="C1075" s="1083"/>
      <c r="D1075" s="1038"/>
      <c r="E1075" s="1083"/>
      <c r="F1075" s="1560"/>
      <c r="G1075" s="1038"/>
      <c r="H1075" s="1077"/>
      <c r="I1075" s="1127"/>
      <c r="J1075" s="1128"/>
      <c r="K1075" s="1067"/>
      <c r="L1075" s="1139"/>
      <c r="M1075" s="1128"/>
      <c r="N1075" s="1038" t="s">
        <v>54</v>
      </c>
      <c r="O1075" s="1293" t="s">
        <v>175</v>
      </c>
      <c r="P1075" s="1081"/>
      <c r="Q1075" s="1075">
        <v>7.3</v>
      </c>
      <c r="R1075" s="1074"/>
      <c r="S1075" s="1074"/>
      <c r="T1075" s="1080"/>
      <c r="U1075" s="1184"/>
      <c r="V1075" s="1185"/>
      <c r="W1075" s="1079"/>
      <c r="X1075" s="1078"/>
      <c r="Y1075" s="1039"/>
      <c r="Z1075" s="1134"/>
      <c r="AA1075" s="1074"/>
      <c r="AB1075" s="1063"/>
      <c r="AC1075" s="1075"/>
      <c r="AD1075" s="1084"/>
      <c r="AE1075" s="1062"/>
      <c r="AF1075" s="1296"/>
      <c r="AG1075" s="1297"/>
      <c r="AH1075" s="1298">
        <v>300000</v>
      </c>
      <c r="AI1075" s="1087">
        <f t="shared" si="98"/>
        <v>1095000</v>
      </c>
      <c r="AJ1075" s="1299"/>
      <c r="AK1075" s="1300"/>
      <c r="AL1075" s="1090"/>
      <c r="AM1075" s="1297"/>
      <c r="AN1075" s="1297"/>
      <c r="AO1075" s="1298"/>
      <c r="AP1075" s="1301"/>
      <c r="AQ1075" s="1298"/>
      <c r="AR1075" s="1301"/>
      <c r="AS1075" s="1301"/>
      <c r="AT1075" s="1297"/>
      <c r="AU1075" s="1299"/>
      <c r="AV1075" s="1067"/>
    </row>
    <row r="1076" spans="1:48" ht="16.5" customHeight="1">
      <c r="A1076" s="1082"/>
      <c r="B1076" s="1082"/>
      <c r="C1076" s="1147"/>
      <c r="D1076" s="1038"/>
      <c r="E1076" s="1083"/>
      <c r="F1076" s="1560"/>
      <c r="G1076" s="1038"/>
      <c r="H1076" s="1077"/>
      <c r="I1076" s="1152"/>
      <c r="J1076" s="1153"/>
      <c r="K1076" s="1101"/>
      <c r="L1076" s="1154"/>
      <c r="M1076" s="1128"/>
      <c r="N1076" s="1038"/>
      <c r="O1076" s="1071"/>
      <c r="P1076" s="1081"/>
      <c r="Q1076" s="1075"/>
      <c r="R1076" s="1074"/>
      <c r="S1076" s="1074"/>
      <c r="T1076" s="1080"/>
      <c r="U1076" s="1184"/>
      <c r="V1076" s="1185"/>
      <c r="W1076" s="1079"/>
      <c r="X1076" s="1078"/>
      <c r="Y1076" s="1039"/>
      <c r="Z1076" s="1134"/>
      <c r="AA1076" s="1074"/>
      <c r="AB1076" s="1063"/>
      <c r="AC1076" s="1075"/>
      <c r="AD1076" s="1084"/>
      <c r="AE1076" s="1062"/>
      <c r="AF1076" s="1296"/>
      <c r="AG1076" s="1116"/>
      <c r="AH1076" s="1298"/>
      <c r="AI1076" s="1117"/>
      <c r="AJ1076" s="1299"/>
      <c r="AK1076" s="1119"/>
      <c r="AL1076" s="1120"/>
      <c r="AM1076" s="1297"/>
      <c r="AN1076" s="1116"/>
      <c r="AO1076" s="1298"/>
      <c r="AP1076" s="1108"/>
      <c r="AQ1076" s="1307"/>
      <c r="AR1076" s="1310"/>
      <c r="AS1076" s="1310"/>
      <c r="AT1076" s="1116"/>
      <c r="AU1076" s="1308"/>
      <c r="AV1076" s="1101"/>
    </row>
    <row r="1077" spans="1:48" ht="16.5" customHeight="1">
      <c r="A1077" s="1269">
        <v>80</v>
      </c>
      <c r="B1077" s="1033" t="s">
        <v>25</v>
      </c>
      <c r="C1077" s="1036" t="s">
        <v>1176</v>
      </c>
      <c r="D1077" s="1035"/>
      <c r="E1077" s="1366"/>
      <c r="F1077" s="1559" t="s">
        <v>1580</v>
      </c>
      <c r="G1077" s="1272" t="s">
        <v>25</v>
      </c>
      <c r="H1077" s="1273" t="s">
        <v>1540</v>
      </c>
      <c r="I1077" s="1174">
        <v>106</v>
      </c>
      <c r="J1077" s="1043" t="s">
        <v>41</v>
      </c>
      <c r="K1077" s="1041" t="s">
        <v>1579</v>
      </c>
      <c r="L1077" s="1129"/>
      <c r="M1077" s="1331"/>
      <c r="N1077" s="1035" t="s">
        <v>25</v>
      </c>
      <c r="O1077" s="1190" t="s">
        <v>26</v>
      </c>
      <c r="P1077" s="1054"/>
      <c r="Q1077" s="1048">
        <v>234</v>
      </c>
      <c r="R1077" s="1034"/>
      <c r="S1077" s="1034" t="s">
        <v>15</v>
      </c>
      <c r="T1077" s="1376"/>
      <c r="U1077" s="1608">
        <v>1</v>
      </c>
      <c r="V1077" s="1047" t="s">
        <v>14</v>
      </c>
      <c r="W1077" s="1052">
        <v>2</v>
      </c>
      <c r="X1077" s="1051"/>
      <c r="Y1077" s="1036"/>
      <c r="Z1077" s="1203">
        <f>SUM(W1077:Y1077)</f>
        <v>2</v>
      </c>
      <c r="AA1077" s="1170"/>
      <c r="AB1077" s="1173"/>
      <c r="AC1077" s="1047"/>
      <c r="AD1077" s="1055"/>
      <c r="AE1077" s="1032"/>
      <c r="AF1077" s="1333">
        <f>Resum!F1</f>
        <v>356000</v>
      </c>
      <c r="AG1077" s="1086">
        <f>AF1077*I1077</f>
        <v>37736000</v>
      </c>
      <c r="AH1077" s="1334">
        <v>2200000</v>
      </c>
      <c r="AI1077" s="1087">
        <f>AH1077*Q1077*0.85</f>
        <v>437580000</v>
      </c>
      <c r="AJ1077" s="1335">
        <f>SUM(AI1077:AI1084)</f>
        <v>460980000</v>
      </c>
      <c r="AK1077" s="1089">
        <v>350000</v>
      </c>
      <c r="AL1077" s="1087">
        <f t="shared" ref="AL1077:AL1140" si="99">AK1077*W1077</f>
        <v>700000</v>
      </c>
      <c r="AM1077" s="1337">
        <f>SUM(AL1077:AL1086)</f>
        <v>1148500</v>
      </c>
      <c r="AN1077" s="1086">
        <f>AM1077+AJ1077+AG1077</f>
        <v>499864500</v>
      </c>
      <c r="AO1077" s="1334"/>
      <c r="AP1077" s="1136">
        <f>(AG1077+AI1077)*15%</f>
        <v>71297400</v>
      </c>
      <c r="AQ1077" s="1087">
        <f>(AG1077+AI1077)*1%</f>
        <v>4753160</v>
      </c>
      <c r="AR1077" s="1136">
        <f>(AG1077+AI1077)*5%</f>
        <v>23765800</v>
      </c>
      <c r="AS1077" s="1087">
        <f>0.5%*(AG1077+AI1077)*(3)</f>
        <v>7129740</v>
      </c>
      <c r="AT1077" s="1086">
        <f>+AS1077+AR1077+AQ1077+AP1077+AO1077</f>
        <v>106946100</v>
      </c>
      <c r="AU1077" s="1137">
        <f>ROUND(AT1077+AN1077,-3)</f>
        <v>606811000</v>
      </c>
      <c r="AV1077" s="1041"/>
    </row>
    <row r="1078" spans="1:48" ht="16.5" customHeight="1">
      <c r="A1078" s="1082"/>
      <c r="B1078" s="1038" t="s">
        <v>16</v>
      </c>
      <c r="C1078" s="1071" t="s">
        <v>1578</v>
      </c>
      <c r="D1078" s="1038"/>
      <c r="E1078" s="1244"/>
      <c r="F1078" s="1560"/>
      <c r="G1078" s="1038" t="s">
        <v>16</v>
      </c>
      <c r="H1078" s="1039" t="s">
        <v>22</v>
      </c>
      <c r="I1078" s="1127"/>
      <c r="J1078" s="1069"/>
      <c r="K1078" s="1067"/>
      <c r="L1078" s="1139"/>
      <c r="M1078" s="1128"/>
      <c r="N1078" s="1038" t="s">
        <v>16</v>
      </c>
      <c r="O1078" s="1293" t="s">
        <v>21</v>
      </c>
      <c r="P1078" s="1081"/>
      <c r="Q1078" s="1075">
        <v>6</v>
      </c>
      <c r="R1078" s="1074"/>
      <c r="S1078" s="1074"/>
      <c r="T1078" s="1566"/>
      <c r="U1078" s="1609">
        <v>2</v>
      </c>
      <c r="V1078" s="1313" t="s">
        <v>344</v>
      </c>
      <c r="W1078" s="1314">
        <v>2</v>
      </c>
      <c r="X1078" s="1315"/>
      <c r="Y1078" s="1316"/>
      <c r="Z1078" s="1134">
        <f>SUM(W1078:Y1078)</f>
        <v>2</v>
      </c>
      <c r="AA1078" s="1074"/>
      <c r="AB1078" s="1126"/>
      <c r="AC1078" s="1073"/>
      <c r="AD1078" s="1084"/>
      <c r="AE1078" s="1062"/>
      <c r="AF1078" s="1296"/>
      <c r="AG1078" s="1297"/>
      <c r="AH1078" s="1298">
        <v>350000</v>
      </c>
      <c r="AI1078" s="1087">
        <f t="shared" si="98"/>
        <v>1050000</v>
      </c>
      <c r="AJ1078" s="1299"/>
      <c r="AK1078" s="1300">
        <v>150000</v>
      </c>
      <c r="AL1078" s="1090">
        <f t="shared" si="99"/>
        <v>300000</v>
      </c>
      <c r="AM1078" s="1297"/>
      <c r="AN1078" s="1297"/>
      <c r="AO1078" s="1298"/>
      <c r="AP1078" s="1301"/>
      <c r="AQ1078" s="1298"/>
      <c r="AR1078" s="1301"/>
      <c r="AS1078" s="1301"/>
      <c r="AT1078" s="1297"/>
      <c r="AU1078" s="1299"/>
      <c r="AV1078" s="1067"/>
    </row>
    <row r="1079" spans="1:48" ht="16.5" customHeight="1">
      <c r="A1079" s="1082"/>
      <c r="B1079" s="1038" t="s">
        <v>18</v>
      </c>
      <c r="C1079" s="1039" t="s">
        <v>38</v>
      </c>
      <c r="D1079" s="1038"/>
      <c r="E1079" s="1244"/>
      <c r="F1079" s="1560"/>
      <c r="G1079" s="1038" t="s">
        <v>18</v>
      </c>
      <c r="H1079" s="1039" t="s">
        <v>19</v>
      </c>
      <c r="I1079" s="1127"/>
      <c r="J1079" s="1069"/>
      <c r="K1079" s="1067"/>
      <c r="L1079" s="1139"/>
      <c r="M1079" s="1128"/>
      <c r="N1079" s="1038" t="s">
        <v>18</v>
      </c>
      <c r="O1079" s="1293" t="s">
        <v>21</v>
      </c>
      <c r="P1079" s="1081"/>
      <c r="Q1079" s="1075">
        <v>22</v>
      </c>
      <c r="R1079" s="1074"/>
      <c r="S1079" s="1074"/>
      <c r="T1079" s="1080"/>
      <c r="U1079" s="1610">
        <v>3</v>
      </c>
      <c r="V1079" s="1073" t="s">
        <v>265</v>
      </c>
      <c r="W1079" s="1079"/>
      <c r="X1079" s="1078">
        <v>1</v>
      </c>
      <c r="Y1079" s="1039"/>
      <c r="Z1079" s="1134">
        <f>SUM(W1079:Y1079)</f>
        <v>1</v>
      </c>
      <c r="AA1079" s="1074"/>
      <c r="AB1079" s="1126"/>
      <c r="AC1079" s="1073"/>
      <c r="AD1079" s="1084"/>
      <c r="AE1079" s="1062"/>
      <c r="AF1079" s="1296"/>
      <c r="AG1079" s="1297"/>
      <c r="AH1079" s="1298">
        <v>350000</v>
      </c>
      <c r="AI1079" s="1087">
        <f t="shared" si="98"/>
        <v>3850000</v>
      </c>
      <c r="AJ1079" s="1299"/>
      <c r="AK1079" s="1089">
        <v>66000</v>
      </c>
      <c r="AL1079" s="1090">
        <f>AK1079*X1079</f>
        <v>66000</v>
      </c>
      <c r="AM1079" s="1297"/>
      <c r="AN1079" s="1297"/>
      <c r="AO1079" s="1298"/>
      <c r="AP1079" s="1301"/>
      <c r="AQ1079" s="1298"/>
      <c r="AR1079" s="1301"/>
      <c r="AS1079" s="1301"/>
      <c r="AT1079" s="1297"/>
      <c r="AU1079" s="1299"/>
      <c r="AV1079" s="1067"/>
    </row>
    <row r="1080" spans="1:48" ht="49.5" customHeight="1">
      <c r="A1080" s="1082"/>
      <c r="B1080" s="1082" t="s">
        <v>12</v>
      </c>
      <c r="C1080" s="1083" t="s">
        <v>98</v>
      </c>
      <c r="D1080" s="1038"/>
      <c r="E1080" s="1244"/>
      <c r="F1080" s="1560"/>
      <c r="G1080" s="1038"/>
      <c r="H1080" s="1092"/>
      <c r="I1080" s="1127"/>
      <c r="J1080" s="1069"/>
      <c r="K1080" s="1067"/>
      <c r="L1080" s="1139"/>
      <c r="M1080" s="1128"/>
      <c r="N1080" s="1038" t="s">
        <v>12</v>
      </c>
      <c r="O1080" s="1293" t="s">
        <v>17</v>
      </c>
      <c r="P1080" s="1081">
        <v>1</v>
      </c>
      <c r="Q1080" s="1075"/>
      <c r="R1080" s="1074"/>
      <c r="S1080" s="1074"/>
      <c r="T1080" s="1144"/>
      <c r="U1080" s="1609">
        <v>4</v>
      </c>
      <c r="V1080" s="1073" t="s">
        <v>1577</v>
      </c>
      <c r="W1080" s="1079"/>
      <c r="X1080" s="1078">
        <v>1</v>
      </c>
      <c r="Y1080" s="1039"/>
      <c r="Z1080" s="1134">
        <f>SUM(W1080:Y1080)</f>
        <v>1</v>
      </c>
      <c r="AA1080" s="1074"/>
      <c r="AB1080" s="1063"/>
      <c r="AC1080" s="1075"/>
      <c r="AD1080" s="1084"/>
      <c r="AE1080" s="1062"/>
      <c r="AF1080" s="1296"/>
      <c r="AG1080" s="1297"/>
      <c r="AH1080" s="1298">
        <v>2500000</v>
      </c>
      <c r="AI1080" s="1087">
        <f>AH1080*P1080*0.5</f>
        <v>1250000</v>
      </c>
      <c r="AJ1080" s="1299"/>
      <c r="AK1080" s="1089">
        <v>82500</v>
      </c>
      <c r="AL1080" s="1090">
        <f>AK1080*X1080</f>
        <v>82500</v>
      </c>
      <c r="AM1080" s="1297"/>
      <c r="AN1080" s="1297"/>
      <c r="AO1080" s="1298"/>
      <c r="AP1080" s="1301"/>
      <c r="AQ1080" s="1298"/>
      <c r="AR1080" s="1301"/>
      <c r="AS1080" s="1301"/>
      <c r="AT1080" s="1297"/>
      <c r="AU1080" s="1299"/>
      <c r="AV1080" s="1067"/>
    </row>
    <row r="1081" spans="1:48" ht="16.5" customHeight="1">
      <c r="A1081" s="1082"/>
      <c r="B1081" s="1082" t="s">
        <v>8</v>
      </c>
      <c r="C1081" s="1083" t="s">
        <v>1576</v>
      </c>
      <c r="D1081" s="1038"/>
      <c r="E1081" s="1244"/>
      <c r="F1081" s="1560"/>
      <c r="G1081" s="1038"/>
      <c r="H1081" s="1092"/>
      <c r="I1081" s="1127"/>
      <c r="J1081" s="1069"/>
      <c r="K1081" s="1067"/>
      <c r="L1081" s="1139"/>
      <c r="M1081" s="1128"/>
      <c r="N1081" s="1038" t="s">
        <v>8</v>
      </c>
      <c r="O1081" s="1293" t="s">
        <v>11</v>
      </c>
      <c r="P1081" s="1081">
        <v>2</v>
      </c>
      <c r="Q1081" s="1075"/>
      <c r="R1081" s="1074"/>
      <c r="S1081" s="1074"/>
      <c r="T1081" s="1144"/>
      <c r="U1081" s="1611"/>
      <c r="V1081" s="1073"/>
      <c r="W1081" s="1079"/>
      <c r="X1081" s="1078"/>
      <c r="Y1081" s="1039"/>
      <c r="Z1081" s="1183"/>
      <c r="AA1081" s="1074"/>
      <c r="AB1081" s="1063"/>
      <c r="AC1081" s="1075"/>
      <c r="AD1081" s="1084"/>
      <c r="AE1081" s="1062"/>
      <c r="AF1081" s="1296"/>
      <c r="AG1081" s="1297"/>
      <c r="AH1081" s="1298">
        <v>2500000</v>
      </c>
      <c r="AI1081" s="1087">
        <f>AH1081*P1081*0.75</f>
        <v>3750000</v>
      </c>
      <c r="AJ1081" s="1299"/>
      <c r="AK1081" s="1300"/>
      <c r="AL1081" s="1090"/>
      <c r="AM1081" s="1297"/>
      <c r="AN1081" s="1297"/>
      <c r="AO1081" s="1298"/>
      <c r="AP1081" s="1301"/>
      <c r="AQ1081" s="1298"/>
      <c r="AR1081" s="1301"/>
      <c r="AS1081" s="1301"/>
      <c r="AT1081" s="1297"/>
      <c r="AU1081" s="1299"/>
      <c r="AV1081" s="1067"/>
    </row>
    <row r="1082" spans="1:48" ht="16.5" customHeight="1">
      <c r="A1082" s="1082"/>
      <c r="B1082" s="1082"/>
      <c r="C1082" s="1083"/>
      <c r="D1082" s="1038"/>
      <c r="E1082" s="1244"/>
      <c r="F1082" s="1560"/>
      <c r="G1082" s="1038"/>
      <c r="H1082" s="1092"/>
      <c r="I1082" s="1127"/>
      <c r="J1082" s="1069"/>
      <c r="K1082" s="1067"/>
      <c r="L1082" s="1139"/>
      <c r="M1082" s="1128"/>
      <c r="N1082" s="1038" t="s">
        <v>54</v>
      </c>
      <c r="O1082" s="1293" t="s">
        <v>7</v>
      </c>
      <c r="P1082" s="1081"/>
      <c r="Q1082" s="1075">
        <v>76</v>
      </c>
      <c r="R1082" s="1074"/>
      <c r="S1082" s="1074"/>
      <c r="T1082" s="1144"/>
      <c r="U1082" s="1328"/>
      <c r="V1082" s="1073"/>
      <c r="W1082" s="1079"/>
      <c r="X1082" s="1078"/>
      <c r="Y1082" s="1039"/>
      <c r="Z1082" s="1183"/>
      <c r="AA1082" s="1074"/>
      <c r="AB1082" s="1063"/>
      <c r="AC1082" s="1075"/>
      <c r="AD1082" s="1084"/>
      <c r="AE1082" s="1062"/>
      <c r="AF1082" s="1296"/>
      <c r="AG1082" s="1297"/>
      <c r="AH1082" s="1298">
        <v>300000</v>
      </c>
      <c r="AI1082" s="1087">
        <f>AH1082*Q1082*0.5</f>
        <v>11400000</v>
      </c>
      <c r="AJ1082" s="1299"/>
      <c r="AK1082" s="1300"/>
      <c r="AL1082" s="1090"/>
      <c r="AM1082" s="1297"/>
      <c r="AN1082" s="1297"/>
      <c r="AO1082" s="1298"/>
      <c r="AP1082" s="1301"/>
      <c r="AQ1082" s="1298"/>
      <c r="AR1082" s="1301"/>
      <c r="AS1082" s="1301"/>
      <c r="AT1082" s="1297"/>
      <c r="AU1082" s="1299"/>
      <c r="AV1082" s="1067"/>
    </row>
    <row r="1083" spans="1:48" ht="16.5" customHeight="1">
      <c r="A1083" s="1082"/>
      <c r="B1083" s="1082"/>
      <c r="C1083" s="1083"/>
      <c r="D1083" s="1038"/>
      <c r="E1083" s="1244"/>
      <c r="F1083" s="1560"/>
      <c r="G1083" s="1038"/>
      <c r="H1083" s="1092"/>
      <c r="I1083" s="1127"/>
      <c r="J1083" s="1069"/>
      <c r="K1083" s="1067"/>
      <c r="L1083" s="1139"/>
      <c r="M1083" s="1128"/>
      <c r="N1083" s="1038" t="s">
        <v>53</v>
      </c>
      <c r="O1083" s="1293" t="s">
        <v>121</v>
      </c>
      <c r="P1083" s="1081"/>
      <c r="Q1083" s="1075">
        <v>14</v>
      </c>
      <c r="R1083" s="1074"/>
      <c r="S1083" s="1074"/>
      <c r="T1083" s="1144"/>
      <c r="U1083" s="1328"/>
      <c r="V1083" s="1073"/>
      <c r="W1083" s="1079"/>
      <c r="X1083" s="1078"/>
      <c r="Y1083" s="1039"/>
      <c r="Z1083" s="1183"/>
      <c r="AA1083" s="1074"/>
      <c r="AB1083" s="1063"/>
      <c r="AC1083" s="1075"/>
      <c r="AD1083" s="1084"/>
      <c r="AE1083" s="1062"/>
      <c r="AF1083" s="1296"/>
      <c r="AG1083" s="1297"/>
      <c r="AH1083" s="1298">
        <v>300000</v>
      </c>
      <c r="AI1083" s="1087">
        <f t="shared" si="98"/>
        <v>2100000</v>
      </c>
      <c r="AJ1083" s="1299"/>
      <c r="AK1083" s="1300"/>
      <c r="AL1083" s="1090"/>
      <c r="AM1083" s="1297"/>
      <c r="AN1083" s="1297"/>
      <c r="AO1083" s="1298"/>
      <c r="AP1083" s="1301"/>
      <c r="AQ1083" s="1298"/>
      <c r="AR1083" s="1301"/>
      <c r="AS1083" s="1301"/>
      <c r="AT1083" s="1297"/>
      <c r="AU1083" s="1299"/>
      <c r="AV1083" s="1067"/>
    </row>
    <row r="1084" spans="1:48" ht="16.5" customHeight="1">
      <c r="A1084" s="1082"/>
      <c r="B1084" s="1082"/>
      <c r="C1084" s="1083"/>
      <c r="D1084" s="1038"/>
      <c r="E1084" s="1244"/>
      <c r="F1084" s="1560"/>
      <c r="G1084" s="1038"/>
      <c r="H1084" s="1092"/>
      <c r="I1084" s="1127"/>
      <c r="J1084" s="1069"/>
      <c r="K1084" s="1067"/>
      <c r="L1084" s="1139"/>
      <c r="M1084" s="1128"/>
      <c r="N1084" s="1038"/>
      <c r="O1084" s="1083"/>
      <c r="P1084" s="1077"/>
      <c r="Q1084" s="1073"/>
      <c r="R1084" s="1074"/>
      <c r="S1084" s="1074"/>
      <c r="T1084" s="1144"/>
      <c r="U1084" s="1328"/>
      <c r="V1084" s="1073"/>
      <c r="W1084" s="1079"/>
      <c r="X1084" s="1078"/>
      <c r="Y1084" s="1039"/>
      <c r="Z1084" s="1183"/>
      <c r="AA1084" s="1074"/>
      <c r="AB1084" s="1063"/>
      <c r="AC1084" s="1075"/>
      <c r="AD1084" s="1084"/>
      <c r="AE1084" s="1062"/>
      <c r="AF1084" s="1296"/>
      <c r="AG1084" s="1297"/>
      <c r="AH1084" s="1298"/>
      <c r="AI1084" s="1298"/>
      <c r="AJ1084" s="1299"/>
      <c r="AK1084" s="1300"/>
      <c r="AL1084" s="1090"/>
      <c r="AM1084" s="1297"/>
      <c r="AN1084" s="1297"/>
      <c r="AO1084" s="1298"/>
      <c r="AP1084" s="1301"/>
      <c r="AQ1084" s="1298"/>
      <c r="AR1084" s="1301"/>
      <c r="AS1084" s="1301"/>
      <c r="AT1084" s="1297"/>
      <c r="AU1084" s="1299"/>
      <c r="AV1084" s="1067"/>
    </row>
    <row r="1085" spans="1:48" ht="16.5" customHeight="1">
      <c r="A1085" s="1082"/>
      <c r="B1085" s="1082"/>
      <c r="C1085" s="1083"/>
      <c r="D1085" s="1038"/>
      <c r="E1085" s="1244"/>
      <c r="F1085" s="1560"/>
      <c r="G1085" s="1038"/>
      <c r="H1085" s="1092"/>
      <c r="I1085" s="1127"/>
      <c r="J1085" s="1069"/>
      <c r="K1085" s="1067"/>
      <c r="L1085" s="1139"/>
      <c r="M1085" s="1128"/>
      <c r="N1085" s="1038"/>
      <c r="O1085" s="1083"/>
      <c r="P1085" s="1077"/>
      <c r="Q1085" s="1073"/>
      <c r="R1085" s="1074"/>
      <c r="S1085" s="1074"/>
      <c r="T1085" s="1144"/>
      <c r="U1085" s="1328"/>
      <c r="V1085" s="1073"/>
      <c r="W1085" s="1079"/>
      <c r="X1085" s="1078"/>
      <c r="Y1085" s="1039"/>
      <c r="Z1085" s="1183"/>
      <c r="AA1085" s="1074"/>
      <c r="AB1085" s="1063"/>
      <c r="AC1085" s="1075"/>
      <c r="AD1085" s="1084"/>
      <c r="AE1085" s="1062"/>
      <c r="AF1085" s="1296"/>
      <c r="AG1085" s="1297"/>
      <c r="AH1085" s="1298"/>
      <c r="AI1085" s="1298"/>
      <c r="AJ1085" s="1299"/>
      <c r="AK1085" s="1300"/>
      <c r="AL1085" s="1090"/>
      <c r="AM1085" s="1297"/>
      <c r="AN1085" s="1297"/>
      <c r="AO1085" s="1298"/>
      <c r="AP1085" s="1301"/>
      <c r="AQ1085" s="1298"/>
      <c r="AR1085" s="1301"/>
      <c r="AS1085" s="1301"/>
      <c r="AT1085" s="1297"/>
      <c r="AU1085" s="1299"/>
      <c r="AV1085" s="1067"/>
    </row>
    <row r="1086" spans="1:48" ht="16.5" customHeight="1">
      <c r="A1086" s="1098"/>
      <c r="B1086" s="1095"/>
      <c r="C1086" s="1186"/>
      <c r="D1086" s="1095"/>
      <c r="E1086" s="1186"/>
      <c r="F1086" s="1563"/>
      <c r="G1086" s="1095"/>
      <c r="H1086" s="1099"/>
      <c r="I1086" s="1152"/>
      <c r="J1086" s="1103"/>
      <c r="K1086" s="1101"/>
      <c r="L1086" s="1154"/>
      <c r="M1086" s="1153"/>
      <c r="N1086" s="1095"/>
      <c r="O1086" s="1105"/>
      <c r="P1086" s="1151"/>
      <c r="Q1086" s="1107"/>
      <c r="R1086" s="1094"/>
      <c r="S1086" s="1094"/>
      <c r="T1086" s="1112"/>
      <c r="U1086" s="1151"/>
      <c r="V1086" s="1107"/>
      <c r="W1086" s="1111"/>
      <c r="X1086" s="1110"/>
      <c r="Y1086" s="1096"/>
      <c r="Z1086" s="1166"/>
      <c r="AA1086" s="1094"/>
      <c r="AB1086" s="1151"/>
      <c r="AC1086" s="1107"/>
      <c r="AD1086" s="1114"/>
      <c r="AE1086" s="1093"/>
      <c r="AF1086" s="1305"/>
      <c r="AG1086" s="1306"/>
      <c r="AH1086" s="1307"/>
      <c r="AI1086" s="1307"/>
      <c r="AJ1086" s="1308"/>
      <c r="AK1086" s="1309"/>
      <c r="AL1086" s="1120"/>
      <c r="AM1086" s="1306"/>
      <c r="AN1086" s="1306"/>
      <c r="AO1086" s="1307"/>
      <c r="AP1086" s="1310"/>
      <c r="AQ1086" s="1307"/>
      <c r="AR1086" s="1310"/>
      <c r="AS1086" s="1310"/>
      <c r="AT1086" s="1306"/>
      <c r="AU1086" s="1308"/>
      <c r="AV1086" s="1101"/>
    </row>
    <row r="1087" spans="1:48" ht="16.5" customHeight="1">
      <c r="A1087" s="1269">
        <v>81</v>
      </c>
      <c r="B1087" s="1033" t="s">
        <v>25</v>
      </c>
      <c r="C1087" s="1045" t="s">
        <v>1575</v>
      </c>
      <c r="D1087" s="1033"/>
      <c r="E1087" s="1036"/>
      <c r="F1087" s="1559" t="s">
        <v>1574</v>
      </c>
      <c r="G1087" s="1272" t="s">
        <v>25</v>
      </c>
      <c r="H1087" s="1273" t="s">
        <v>1568</v>
      </c>
      <c r="I1087" s="1174">
        <v>95</v>
      </c>
      <c r="J1087" s="1043" t="s">
        <v>41</v>
      </c>
      <c r="K1087" s="1041" t="s">
        <v>1573</v>
      </c>
      <c r="L1087" s="1279"/>
      <c r="M1087" s="1054"/>
      <c r="N1087" s="1035" t="s">
        <v>25</v>
      </c>
      <c r="O1087" s="1190" t="s">
        <v>26</v>
      </c>
      <c r="P1087" s="1050"/>
      <c r="Q1087" s="1047">
        <v>52.5</v>
      </c>
      <c r="R1087" s="1074"/>
      <c r="S1087" s="1034"/>
      <c r="T1087" s="1048"/>
      <c r="U1087" s="1180"/>
      <c r="V1087" s="1049"/>
      <c r="W1087" s="1052"/>
      <c r="X1087" s="1051"/>
      <c r="Y1087" s="1036"/>
      <c r="Z1087" s="1203"/>
      <c r="AA1087" s="1034"/>
      <c r="AB1087" s="1050"/>
      <c r="AC1087" s="1047"/>
      <c r="AD1087" s="1180"/>
      <c r="AE1087" s="1049"/>
      <c r="AF1087" s="1333">
        <f>+Resum!F4</f>
        <v>204000</v>
      </c>
      <c r="AG1087" s="1086">
        <f>AF1087*I1087</f>
        <v>19380000</v>
      </c>
      <c r="AH1087" s="1334">
        <v>2200000</v>
      </c>
      <c r="AI1087" s="1087">
        <f>AH1087*Q1087*0.65</f>
        <v>75075000</v>
      </c>
      <c r="AJ1087" s="1335">
        <f>SUM(AI1087:AI1091)</f>
        <v>81763400</v>
      </c>
      <c r="AK1087" s="1336"/>
      <c r="AL1087" s="1061"/>
      <c r="AM1087" s="1337"/>
      <c r="AN1087" s="1086">
        <f>AM1087+AJ1087+AG1087</f>
        <v>101143400</v>
      </c>
      <c r="AO1087" s="1334"/>
      <c r="AP1087" s="1136">
        <f>(AG1087+AI1087)*15%</f>
        <v>14168250</v>
      </c>
      <c r="AQ1087" s="1087">
        <f>(AG1087+AI1087)*1%</f>
        <v>944550</v>
      </c>
      <c r="AR1087" s="1136">
        <f>(AG1087+AI1087)*5%</f>
        <v>4722750</v>
      </c>
      <c r="AS1087" s="1087">
        <f>0.5%*(AG1087+AI1087)*(3)</f>
        <v>1416825</v>
      </c>
      <c r="AT1087" s="1086">
        <f>+AS1087+AR1087+AQ1087+AP1087+AO1087</f>
        <v>21252375</v>
      </c>
      <c r="AU1087" s="1137">
        <f>ROUND(AT1087+AN1087,-3)</f>
        <v>122396000</v>
      </c>
      <c r="AV1087" s="1365"/>
    </row>
    <row r="1088" spans="1:48" ht="16.5" customHeight="1">
      <c r="A1088" s="1082"/>
      <c r="B1088" s="1038" t="s">
        <v>16</v>
      </c>
      <c r="C1088" s="1071" t="s">
        <v>1572</v>
      </c>
      <c r="D1088" s="1038"/>
      <c r="E1088" s="1071"/>
      <c r="F1088" s="1560"/>
      <c r="G1088" s="1038" t="s">
        <v>16</v>
      </c>
      <c r="H1088" s="1039" t="s">
        <v>22</v>
      </c>
      <c r="I1088" s="1127"/>
      <c r="J1088" s="1069"/>
      <c r="K1088" s="1067"/>
      <c r="L1088" s="1235"/>
      <c r="M1088" s="1081"/>
      <c r="N1088" s="1038" t="s">
        <v>16</v>
      </c>
      <c r="O1088" s="1293" t="s">
        <v>21</v>
      </c>
      <c r="P1088" s="1077"/>
      <c r="Q1088" s="1073">
        <v>8.64</v>
      </c>
      <c r="R1088" s="1074"/>
      <c r="S1088" s="1074"/>
      <c r="T1088" s="1075"/>
      <c r="U1088" s="1091"/>
      <c r="V1088" s="1076"/>
      <c r="W1088" s="1079"/>
      <c r="X1088" s="1078"/>
      <c r="Y1088" s="1039"/>
      <c r="Z1088" s="1134"/>
      <c r="AA1088" s="1074"/>
      <c r="AB1088" s="1077"/>
      <c r="AC1088" s="1073"/>
      <c r="AD1088" s="1091"/>
      <c r="AE1088" s="1076"/>
      <c r="AF1088" s="1296"/>
      <c r="AG1088" s="1297"/>
      <c r="AH1088" s="1298">
        <v>100000</v>
      </c>
      <c r="AI1088" s="1087">
        <f>AH1088*Q1088*0.6</f>
        <v>518400</v>
      </c>
      <c r="AJ1088" s="1299"/>
      <c r="AK1088" s="1300"/>
      <c r="AL1088" s="1090"/>
      <c r="AM1088" s="1297"/>
      <c r="AN1088" s="1297"/>
      <c r="AO1088" s="1298"/>
      <c r="AP1088" s="1301"/>
      <c r="AQ1088" s="1298"/>
      <c r="AR1088" s="1301"/>
      <c r="AS1088" s="1301"/>
      <c r="AT1088" s="1297"/>
      <c r="AU1088" s="1299"/>
      <c r="AV1088" s="1302"/>
    </row>
    <row r="1089" spans="1:48" ht="16.5" customHeight="1">
      <c r="A1089" s="1082"/>
      <c r="B1089" s="1038" t="s">
        <v>18</v>
      </c>
      <c r="C1089" s="1039" t="s">
        <v>124</v>
      </c>
      <c r="D1089" s="1038"/>
      <c r="E1089" s="1039"/>
      <c r="F1089" s="1560"/>
      <c r="G1089" s="1038" t="s">
        <v>18</v>
      </c>
      <c r="H1089" s="1039" t="s">
        <v>19</v>
      </c>
      <c r="I1089" s="1127"/>
      <c r="J1089" s="1069"/>
      <c r="K1089" s="1067"/>
      <c r="L1089" s="1235"/>
      <c r="M1089" s="1081"/>
      <c r="N1089" s="1038" t="s">
        <v>18</v>
      </c>
      <c r="O1089" s="1293" t="s">
        <v>175</v>
      </c>
      <c r="P1089" s="1077"/>
      <c r="Q1089" s="1073">
        <v>20.3</v>
      </c>
      <c r="R1089" s="1074"/>
      <c r="S1089" s="1074"/>
      <c r="T1089" s="1075"/>
      <c r="U1089" s="1091"/>
      <c r="V1089" s="1076"/>
      <c r="W1089" s="1079"/>
      <c r="X1089" s="1078"/>
      <c r="Y1089" s="1039"/>
      <c r="Z1089" s="1134"/>
      <c r="AA1089" s="1074"/>
      <c r="AB1089" s="1077"/>
      <c r="AC1089" s="1073"/>
      <c r="AD1089" s="1091"/>
      <c r="AE1089" s="1076"/>
      <c r="AF1089" s="1296"/>
      <c r="AG1089" s="1297"/>
      <c r="AH1089" s="1298">
        <v>300000</v>
      </c>
      <c r="AI1089" s="1087">
        <f>AH1089*Q1089*0.5</f>
        <v>3045000</v>
      </c>
      <c r="AJ1089" s="1299"/>
      <c r="AK1089" s="1300"/>
      <c r="AL1089" s="1090"/>
      <c r="AM1089" s="1297"/>
      <c r="AN1089" s="1297"/>
      <c r="AO1089" s="1298"/>
      <c r="AP1089" s="1301"/>
      <c r="AQ1089" s="1298"/>
      <c r="AR1089" s="1301"/>
      <c r="AS1089" s="1301"/>
      <c r="AT1089" s="1297"/>
      <c r="AU1089" s="1299"/>
      <c r="AV1089" s="1302"/>
    </row>
    <row r="1090" spans="1:48" ht="49.5" customHeight="1">
      <c r="A1090" s="1082"/>
      <c r="B1090" s="1082" t="s">
        <v>12</v>
      </c>
      <c r="C1090" s="1083" t="s">
        <v>210</v>
      </c>
      <c r="D1090" s="1038"/>
      <c r="E1090" s="1083"/>
      <c r="F1090" s="1560"/>
      <c r="G1090" s="1038"/>
      <c r="H1090" s="1092"/>
      <c r="I1090" s="1127"/>
      <c r="J1090" s="1069"/>
      <c r="K1090" s="1067"/>
      <c r="L1090" s="1235"/>
      <c r="M1090" s="1081"/>
      <c r="N1090" s="1038" t="s">
        <v>12</v>
      </c>
      <c r="O1090" s="1293" t="s">
        <v>11</v>
      </c>
      <c r="P1090" s="1077">
        <v>1</v>
      </c>
      <c r="Q1090" s="1073"/>
      <c r="R1090" s="1074"/>
      <c r="S1090" s="1074"/>
      <c r="T1090" s="1075"/>
      <c r="U1090" s="1091"/>
      <c r="V1090" s="1076"/>
      <c r="W1090" s="1079"/>
      <c r="X1090" s="1078"/>
      <c r="Y1090" s="1039"/>
      <c r="Z1090" s="1134"/>
      <c r="AA1090" s="1074"/>
      <c r="AB1090" s="1077"/>
      <c r="AC1090" s="1073"/>
      <c r="AD1090" s="1091"/>
      <c r="AE1090" s="1076"/>
      <c r="AF1090" s="1296"/>
      <c r="AG1090" s="1297"/>
      <c r="AH1090" s="1298">
        <v>2500000</v>
      </c>
      <c r="AI1090" s="1087">
        <f>AH1090*P1090*0.75</f>
        <v>1875000</v>
      </c>
      <c r="AJ1090" s="1299"/>
      <c r="AK1090" s="1300"/>
      <c r="AL1090" s="1090"/>
      <c r="AM1090" s="1297"/>
      <c r="AN1090" s="1297"/>
      <c r="AO1090" s="1298"/>
      <c r="AP1090" s="1301"/>
      <c r="AQ1090" s="1298"/>
      <c r="AR1090" s="1301"/>
      <c r="AS1090" s="1301"/>
      <c r="AT1090" s="1297"/>
      <c r="AU1090" s="1299"/>
      <c r="AV1090" s="1302"/>
    </row>
    <row r="1091" spans="1:48" ht="16.5" customHeight="1">
      <c r="A1091" s="1082"/>
      <c r="B1091" s="1082" t="s">
        <v>8</v>
      </c>
      <c r="C1091" s="1083" t="s">
        <v>1571</v>
      </c>
      <c r="D1091" s="1038"/>
      <c r="E1091" s="1083"/>
      <c r="F1091" s="1560"/>
      <c r="G1091" s="1038"/>
      <c r="H1091" s="1092"/>
      <c r="I1091" s="1127"/>
      <c r="J1091" s="1069"/>
      <c r="K1091" s="1067"/>
      <c r="L1091" s="1235"/>
      <c r="M1091" s="1081"/>
      <c r="N1091" s="1038" t="s">
        <v>8</v>
      </c>
      <c r="O1091" s="1293" t="s">
        <v>17</v>
      </c>
      <c r="P1091" s="1077">
        <v>1</v>
      </c>
      <c r="Q1091" s="1073"/>
      <c r="R1091" s="1074"/>
      <c r="S1091" s="1074"/>
      <c r="T1091" s="1075"/>
      <c r="U1091" s="1091"/>
      <c r="V1091" s="1076"/>
      <c r="W1091" s="1079"/>
      <c r="X1091" s="1078"/>
      <c r="Y1091" s="1039"/>
      <c r="Z1091" s="1134"/>
      <c r="AA1091" s="1074"/>
      <c r="AB1091" s="1077"/>
      <c r="AC1091" s="1073"/>
      <c r="AD1091" s="1091"/>
      <c r="AE1091" s="1076"/>
      <c r="AF1091" s="1296"/>
      <c r="AG1091" s="1297"/>
      <c r="AH1091" s="1298">
        <v>2500000</v>
      </c>
      <c r="AI1091" s="1089">
        <f>AH1091*P1091*0.5</f>
        <v>1250000</v>
      </c>
      <c r="AJ1091" s="1299"/>
      <c r="AK1091" s="1300"/>
      <c r="AL1091" s="1090"/>
      <c r="AM1091" s="1297"/>
      <c r="AN1091" s="1297"/>
      <c r="AO1091" s="1298"/>
      <c r="AP1091" s="1301"/>
      <c r="AQ1091" s="1298"/>
      <c r="AR1091" s="1301"/>
      <c r="AS1091" s="1301"/>
      <c r="AT1091" s="1297"/>
      <c r="AU1091" s="1299"/>
      <c r="AV1091" s="1302"/>
    </row>
    <row r="1092" spans="1:48" ht="16.5" customHeight="1">
      <c r="A1092" s="1098"/>
      <c r="B1092" s="1095"/>
      <c r="C1092" s="1186"/>
      <c r="D1092" s="1095"/>
      <c r="E1092" s="1186"/>
      <c r="F1092" s="1563"/>
      <c r="G1092" s="1095"/>
      <c r="H1092" s="1099"/>
      <c r="I1092" s="1152"/>
      <c r="J1092" s="1103"/>
      <c r="K1092" s="1101"/>
      <c r="L1092" s="1287"/>
      <c r="M1092" s="1113"/>
      <c r="N1092" s="1095"/>
      <c r="O1092" s="1105"/>
      <c r="P1092" s="1151"/>
      <c r="Q1092" s="1107"/>
      <c r="R1092" s="1094"/>
      <c r="S1092" s="1094"/>
      <c r="T1092" s="1168"/>
      <c r="U1092" s="1109"/>
      <c r="V1092" s="1108"/>
      <c r="W1092" s="1111"/>
      <c r="X1092" s="1110"/>
      <c r="Y1092" s="1096"/>
      <c r="Z1092" s="1286"/>
      <c r="AA1092" s="1094"/>
      <c r="AB1092" s="1151"/>
      <c r="AC1092" s="1107"/>
      <c r="AD1092" s="1109"/>
      <c r="AE1092" s="1108"/>
      <c r="AF1092" s="1305"/>
      <c r="AG1092" s="1306"/>
      <c r="AH1092" s="1307"/>
      <c r="AI1092" s="1307"/>
      <c r="AJ1092" s="1308"/>
      <c r="AK1092" s="1309"/>
      <c r="AL1092" s="1120"/>
      <c r="AM1092" s="1306"/>
      <c r="AN1092" s="1306"/>
      <c r="AO1092" s="1307"/>
      <c r="AP1092" s="1310"/>
      <c r="AQ1092" s="1307"/>
      <c r="AR1092" s="1310"/>
      <c r="AS1092" s="1310"/>
      <c r="AT1092" s="1306"/>
      <c r="AU1092" s="1308"/>
      <c r="AV1092" s="1311"/>
    </row>
    <row r="1093" spans="1:48" ht="16.5" customHeight="1">
      <c r="A1093" s="1269">
        <v>82</v>
      </c>
      <c r="B1093" s="1033" t="s">
        <v>25</v>
      </c>
      <c r="C1093" s="1036" t="s">
        <v>1570</v>
      </c>
      <c r="D1093" s="1033"/>
      <c r="E1093" s="1036"/>
      <c r="F1093" s="1559" t="s">
        <v>1569</v>
      </c>
      <c r="G1093" s="1272" t="s">
        <v>25</v>
      </c>
      <c r="H1093" s="1273" t="s">
        <v>1568</v>
      </c>
      <c r="I1093" s="1174">
        <v>163.404</v>
      </c>
      <c r="J1093" s="1043" t="s">
        <v>41</v>
      </c>
      <c r="K1093" s="1041" t="s">
        <v>1567</v>
      </c>
      <c r="L1093" s="1317"/>
      <c r="M1093" s="1318"/>
      <c r="N1093" s="1044" t="s">
        <v>25</v>
      </c>
      <c r="O1093" s="1190" t="s">
        <v>26</v>
      </c>
      <c r="P1093" s="1054"/>
      <c r="Q1093" s="1048">
        <v>52.5</v>
      </c>
      <c r="R1093" s="1034"/>
      <c r="S1093" s="1034"/>
      <c r="T1093" s="1053"/>
      <c r="U1093" s="1180">
        <v>1</v>
      </c>
      <c r="V1093" s="1319" t="s">
        <v>221</v>
      </c>
      <c r="W1093" s="1052">
        <v>7</v>
      </c>
      <c r="X1093" s="1051"/>
      <c r="Y1093" s="1036"/>
      <c r="Z1093" s="1203">
        <f>SUM(W1093:Y1093)</f>
        <v>7</v>
      </c>
      <c r="AA1093" s="1318"/>
      <c r="AB1093" s="1318"/>
      <c r="AC1093" s="1317"/>
      <c r="AD1093" s="1318"/>
      <c r="AE1093" s="1317"/>
      <c r="AF1093" s="1333">
        <f>+Resum!F4</f>
        <v>204000</v>
      </c>
      <c r="AG1093" s="1057">
        <f>AF1093*I1093</f>
        <v>33334416</v>
      </c>
      <c r="AH1093" s="1590">
        <v>1800000</v>
      </c>
      <c r="AI1093" s="1060">
        <f>AH1093*Q1093*0.8</f>
        <v>75600000</v>
      </c>
      <c r="AJ1093" s="1591">
        <f>SUM(AI1093:AI1096)</f>
        <v>80021000</v>
      </c>
      <c r="AK1093" s="1060">
        <v>4810</v>
      </c>
      <c r="AL1093" s="1061">
        <f t="shared" si="99"/>
        <v>33670</v>
      </c>
      <c r="AM1093" s="1593">
        <f>SUM(AL1093:AL1098)</f>
        <v>136320</v>
      </c>
      <c r="AN1093" s="1057">
        <f>AM1093+AJ1093+AG1093</f>
        <v>113491736</v>
      </c>
      <c r="AO1093" s="1590"/>
      <c r="AP1093" s="1548">
        <f>(AG1093+AI1093)*15%</f>
        <v>16340162.399999999</v>
      </c>
      <c r="AQ1093" s="1058">
        <f>(AG1093+AI1093)*1%</f>
        <v>1089344.1599999999</v>
      </c>
      <c r="AR1093" s="1548">
        <f>(AG1093+AI1093)*5%</f>
        <v>5446720.8000000007</v>
      </c>
      <c r="AS1093" s="1058">
        <f>0.5%*(AG1093+AI1093)*(3)</f>
        <v>1634016.2399999998</v>
      </c>
      <c r="AT1093" s="1057">
        <f>+AS1093+AR1093+AQ1093+AP1093+AO1093</f>
        <v>24510243.600000001</v>
      </c>
      <c r="AU1093" s="2015">
        <f>ROUND(AT1093+AN1093,-3)</f>
        <v>138002000</v>
      </c>
      <c r="AV1093" s="1374"/>
    </row>
    <row r="1094" spans="1:48" ht="16.5" customHeight="1">
      <c r="A1094" s="1082"/>
      <c r="B1094" s="1038" t="s">
        <v>16</v>
      </c>
      <c r="C1094" s="1071" t="s">
        <v>1566</v>
      </c>
      <c r="D1094" s="1038"/>
      <c r="E1094" s="1071"/>
      <c r="F1094" s="1560"/>
      <c r="G1094" s="1038" t="s">
        <v>16</v>
      </c>
      <c r="H1094" s="1039" t="s">
        <v>22</v>
      </c>
      <c r="I1094" s="1127"/>
      <c r="J1094" s="1069"/>
      <c r="K1094" s="1067"/>
      <c r="L1094" s="1320"/>
      <c r="M1094" s="1321"/>
      <c r="N1094" s="1070" t="s">
        <v>16</v>
      </c>
      <c r="O1094" s="1191" t="s">
        <v>21</v>
      </c>
      <c r="P1094" s="1081"/>
      <c r="Q1094" s="1075">
        <v>8.64</v>
      </c>
      <c r="R1094" s="1074"/>
      <c r="S1094" s="1074"/>
      <c r="T1094" s="1080"/>
      <c r="U1094" s="1091">
        <v>2</v>
      </c>
      <c r="V1094" s="1185" t="s">
        <v>1565</v>
      </c>
      <c r="W1094" s="1079">
        <v>9</v>
      </c>
      <c r="X1094" s="1078"/>
      <c r="Y1094" s="1039"/>
      <c r="Z1094" s="1134">
        <f>SUM(W1094:Y1094)</f>
        <v>9</v>
      </c>
      <c r="AA1094" s="1321"/>
      <c r="AB1094" s="1321"/>
      <c r="AC1094" s="1320"/>
      <c r="AD1094" s="1321"/>
      <c r="AE1094" s="1320"/>
      <c r="AF1094" s="1296"/>
      <c r="AG1094" s="1594"/>
      <c r="AH1094" s="1595">
        <v>250000</v>
      </c>
      <c r="AI1094" s="1089">
        <f>AH1094*Q1094*0.6</f>
        <v>1296000</v>
      </c>
      <c r="AJ1094" s="1596"/>
      <c r="AK1094" s="1597">
        <v>5250</v>
      </c>
      <c r="AL1094" s="1090">
        <f t="shared" si="99"/>
        <v>47250</v>
      </c>
      <c r="AM1094" s="1594"/>
      <c r="AN1094" s="1594"/>
      <c r="AO1094" s="1595"/>
      <c r="AP1094" s="1247"/>
      <c r="AQ1094" s="1595"/>
      <c r="AR1094" s="1247"/>
      <c r="AS1094" s="1247"/>
      <c r="AT1094" s="1594"/>
      <c r="AU1094" s="1596"/>
      <c r="AV1094" s="1247"/>
    </row>
    <row r="1095" spans="1:48" ht="16.5" customHeight="1">
      <c r="A1095" s="1082"/>
      <c r="B1095" s="1038" t="s">
        <v>18</v>
      </c>
      <c r="C1095" s="1039" t="s">
        <v>449</v>
      </c>
      <c r="D1095" s="1038"/>
      <c r="E1095" s="1039"/>
      <c r="F1095" s="1560"/>
      <c r="G1095" s="1038" t="s">
        <v>18</v>
      </c>
      <c r="H1095" s="1039" t="s">
        <v>19</v>
      </c>
      <c r="I1095" s="1127"/>
      <c r="J1095" s="1069"/>
      <c r="K1095" s="1067"/>
      <c r="L1095" s="1320"/>
      <c r="M1095" s="1321"/>
      <c r="N1095" s="1070" t="s">
        <v>18</v>
      </c>
      <c r="O1095" s="1191" t="s">
        <v>17</v>
      </c>
      <c r="P1095" s="1081">
        <v>1</v>
      </c>
      <c r="Q1095" s="1075"/>
      <c r="R1095" s="1074"/>
      <c r="S1095" s="1074"/>
      <c r="T1095" s="1080"/>
      <c r="U1095" s="1091">
        <v>3</v>
      </c>
      <c r="V1095" s="1185" t="s">
        <v>144</v>
      </c>
      <c r="W1095" s="1079"/>
      <c r="X1095" s="1078">
        <v>1</v>
      </c>
      <c r="Y1095" s="1039"/>
      <c r="Z1095" s="1134">
        <f>SUM(W1095:Y1095)</f>
        <v>1</v>
      </c>
      <c r="AA1095" s="1321"/>
      <c r="AB1095" s="1321"/>
      <c r="AC1095" s="1320"/>
      <c r="AD1095" s="1321"/>
      <c r="AE1095" s="1320"/>
      <c r="AF1095" s="1296"/>
      <c r="AG1095" s="1594"/>
      <c r="AH1095" s="1595">
        <v>2500000</v>
      </c>
      <c r="AI1095" s="1089">
        <f>AH1095*P1095*0.5</f>
        <v>1250000</v>
      </c>
      <c r="AJ1095" s="1596"/>
      <c r="AK1095" s="1597">
        <v>13250</v>
      </c>
      <c r="AL1095" s="1090">
        <f>AK1095*X1095</f>
        <v>13250</v>
      </c>
      <c r="AM1095" s="1594"/>
      <c r="AN1095" s="1594"/>
      <c r="AO1095" s="1595"/>
      <c r="AP1095" s="1247"/>
      <c r="AQ1095" s="1595"/>
      <c r="AR1095" s="1247"/>
      <c r="AS1095" s="1247"/>
      <c r="AT1095" s="1594"/>
      <c r="AU1095" s="1596"/>
      <c r="AV1095" s="1247"/>
    </row>
    <row r="1096" spans="1:48" ht="49.5" customHeight="1">
      <c r="A1096" s="1082"/>
      <c r="B1096" s="1082" t="s">
        <v>12</v>
      </c>
      <c r="C1096" s="1083" t="s">
        <v>1564</v>
      </c>
      <c r="D1096" s="1082"/>
      <c r="E1096" s="1083"/>
      <c r="F1096" s="1560"/>
      <c r="G1096" s="1038"/>
      <c r="H1096" s="1092"/>
      <c r="I1096" s="1127"/>
      <c r="J1096" s="1069"/>
      <c r="K1096" s="1067"/>
      <c r="L1096" s="1320"/>
      <c r="M1096" s="1321"/>
      <c r="N1096" s="1070" t="s">
        <v>12</v>
      </c>
      <c r="O1096" s="1191" t="s">
        <v>11</v>
      </c>
      <c r="P1096" s="1081">
        <v>1</v>
      </c>
      <c r="Q1096" s="1075"/>
      <c r="R1096" s="1074"/>
      <c r="S1096" s="1074"/>
      <c r="T1096" s="1080"/>
      <c r="U1096" s="1091">
        <v>4</v>
      </c>
      <c r="V1096" s="1185" t="s">
        <v>217</v>
      </c>
      <c r="W1096" s="1079">
        <v>1</v>
      </c>
      <c r="X1096" s="1078"/>
      <c r="Y1096" s="1039"/>
      <c r="Z1096" s="1134">
        <f>SUM(W1096:Y1096)</f>
        <v>1</v>
      </c>
      <c r="AA1096" s="1321"/>
      <c r="AB1096" s="1321"/>
      <c r="AC1096" s="1320"/>
      <c r="AD1096" s="1321"/>
      <c r="AE1096" s="1320"/>
      <c r="AF1096" s="1296"/>
      <c r="AG1096" s="1594"/>
      <c r="AH1096" s="1595">
        <v>2500000</v>
      </c>
      <c r="AI1096" s="1089">
        <f>AH1096*P1096*0.75</f>
        <v>1875000</v>
      </c>
      <c r="AJ1096" s="1596"/>
      <c r="AK1096" s="1597">
        <v>900</v>
      </c>
      <c r="AL1096" s="1090">
        <f t="shared" si="99"/>
        <v>900</v>
      </c>
      <c r="AM1096" s="1594"/>
      <c r="AN1096" s="1594"/>
      <c r="AO1096" s="1595"/>
      <c r="AP1096" s="1247"/>
      <c r="AQ1096" s="1595"/>
      <c r="AR1096" s="1247"/>
      <c r="AS1096" s="1247"/>
      <c r="AT1096" s="1594"/>
      <c r="AU1096" s="1596"/>
      <c r="AV1096" s="1247"/>
    </row>
    <row r="1097" spans="1:48" ht="16.5" customHeight="1">
      <c r="A1097" s="1082"/>
      <c r="B1097" s="1082" t="s">
        <v>8</v>
      </c>
      <c r="C1097" s="1083" t="s">
        <v>1563</v>
      </c>
      <c r="D1097" s="1082"/>
      <c r="E1097" s="1083"/>
      <c r="F1097" s="1560"/>
      <c r="G1097" s="1038"/>
      <c r="H1097" s="1092"/>
      <c r="I1097" s="1127"/>
      <c r="J1097" s="1069"/>
      <c r="K1097" s="1067"/>
      <c r="L1097" s="1320"/>
      <c r="M1097" s="1321"/>
      <c r="N1097" s="1038"/>
      <c r="O1097" s="1293"/>
      <c r="P1097" s="1081">
        <v>1</v>
      </c>
      <c r="Q1097" s="1075"/>
      <c r="R1097" s="1074"/>
      <c r="S1097" s="1074"/>
      <c r="T1097" s="1080"/>
      <c r="U1097" s="1091">
        <v>5</v>
      </c>
      <c r="V1097" s="1185" t="s">
        <v>137</v>
      </c>
      <c r="W1097" s="1079"/>
      <c r="X1097" s="1078"/>
      <c r="Y1097" s="1039">
        <v>1</v>
      </c>
      <c r="Z1097" s="1134">
        <f>SUM(W1097:Y1097)</f>
        <v>1</v>
      </c>
      <c r="AA1097" s="1321"/>
      <c r="AB1097" s="1321"/>
      <c r="AC1097" s="1320"/>
      <c r="AD1097" s="1321"/>
      <c r="AE1097" s="1320"/>
      <c r="AF1097" s="1296"/>
      <c r="AG1097" s="1594"/>
      <c r="AH1097" s="1595"/>
      <c r="AI1097" s="1595"/>
      <c r="AJ1097" s="1596"/>
      <c r="AK1097" s="1597">
        <v>41250</v>
      </c>
      <c r="AL1097" s="1090">
        <f>AK1097*Y1097</f>
        <v>41250</v>
      </c>
      <c r="AM1097" s="1594"/>
      <c r="AN1097" s="1594"/>
      <c r="AO1097" s="1595"/>
      <c r="AP1097" s="1247"/>
      <c r="AQ1097" s="1595"/>
      <c r="AR1097" s="1247"/>
      <c r="AS1097" s="1247"/>
      <c r="AT1097" s="1594"/>
      <c r="AU1097" s="1596"/>
      <c r="AV1097" s="1247"/>
    </row>
    <row r="1098" spans="1:48" ht="16.5" customHeight="1">
      <c r="A1098" s="1098"/>
      <c r="B1098" s="1098"/>
      <c r="C1098" s="1283"/>
      <c r="D1098" s="1098"/>
      <c r="E1098" s="1105"/>
      <c r="F1098" s="1563"/>
      <c r="G1098" s="1095"/>
      <c r="H1098" s="1099"/>
      <c r="I1098" s="1152"/>
      <c r="J1098" s="1103"/>
      <c r="K1098" s="1101"/>
      <c r="L1098" s="1549"/>
      <c r="M1098" s="1263"/>
      <c r="N1098" s="1270"/>
      <c r="O1098" s="1612"/>
      <c r="P1098" s="1263"/>
      <c r="Q1098" s="1549"/>
      <c r="R1098" s="1094"/>
      <c r="S1098" s="1094"/>
      <c r="T1098" s="1112"/>
      <c r="U1098" s="1109"/>
      <c r="V1098" s="1107"/>
      <c r="W1098" s="1111"/>
      <c r="X1098" s="1110"/>
      <c r="Y1098" s="1096"/>
      <c r="Z1098" s="1286"/>
      <c r="AA1098" s="1263"/>
      <c r="AB1098" s="1263"/>
      <c r="AC1098" s="1549"/>
      <c r="AD1098" s="1263"/>
      <c r="AE1098" s="1549"/>
      <c r="AF1098" s="1305"/>
      <c r="AG1098" s="1602"/>
      <c r="AH1098" s="1210"/>
      <c r="AI1098" s="1603"/>
      <c r="AJ1098" s="1605"/>
      <c r="AK1098" s="1620" t="s">
        <v>1832</v>
      </c>
      <c r="AL1098" s="1120"/>
      <c r="AM1098" s="1616"/>
      <c r="AN1098" s="1602"/>
      <c r="AO1098" s="1210"/>
      <c r="AP1098" s="1549"/>
      <c r="AQ1098" s="1210"/>
      <c r="AR1098" s="1264"/>
      <c r="AS1098" s="1264"/>
      <c r="AT1098" s="1602"/>
      <c r="AU1098" s="1605"/>
      <c r="AV1098" s="1247"/>
    </row>
    <row r="1099" spans="1:48" ht="16.5" customHeight="1">
      <c r="A1099" s="1269">
        <v>83</v>
      </c>
      <c r="B1099" s="1033" t="s">
        <v>25</v>
      </c>
      <c r="C1099" s="1036" t="s">
        <v>1562</v>
      </c>
      <c r="D1099" s="1033"/>
      <c r="E1099" s="1036"/>
      <c r="F1099" s="1559" t="s">
        <v>1561</v>
      </c>
      <c r="G1099" s="1272" t="s">
        <v>25</v>
      </c>
      <c r="H1099" s="1273" t="s">
        <v>42</v>
      </c>
      <c r="I1099" s="1174">
        <v>312</v>
      </c>
      <c r="J1099" s="1043" t="s">
        <v>41</v>
      </c>
      <c r="K1099" s="1041" t="s">
        <v>1560</v>
      </c>
      <c r="L1099" s="1317"/>
      <c r="M1099" s="1318"/>
      <c r="N1099" s="1613" t="s">
        <v>1559</v>
      </c>
      <c r="O1099" s="1293"/>
      <c r="P1099" s="1081"/>
      <c r="Q1099" s="1075"/>
      <c r="R1099" s="1034"/>
      <c r="S1099" s="1034" t="s">
        <v>15</v>
      </c>
      <c r="T1099" s="1053"/>
      <c r="U1099" s="1180">
        <v>1</v>
      </c>
      <c r="V1099" s="1319" t="s">
        <v>139</v>
      </c>
      <c r="W1099" s="1052"/>
      <c r="X1099" s="1051"/>
      <c r="Y1099" s="1036">
        <v>4</v>
      </c>
      <c r="Z1099" s="1614">
        <f t="shared" ref="Z1099:Z1107" si="100">SUM(W1099:Y1099)</f>
        <v>4</v>
      </c>
      <c r="AA1099" s="1318"/>
      <c r="AB1099" s="1318"/>
      <c r="AC1099" s="1317"/>
      <c r="AD1099" s="1318"/>
      <c r="AE1099" s="1317"/>
      <c r="AF1099" s="1333">
        <f>+Resum!F4</f>
        <v>204000</v>
      </c>
      <c r="AG1099" s="1086">
        <f>AF1099*I1099</f>
        <v>63648000</v>
      </c>
      <c r="AH1099" s="1590"/>
      <c r="AI1099" s="1089"/>
      <c r="AJ1099" s="1591">
        <f>SUM(AI1099:AI1102)</f>
        <v>113047000</v>
      </c>
      <c r="AK1099" s="1592">
        <v>24750</v>
      </c>
      <c r="AL1099" s="1090">
        <f>AK1099*Y1099</f>
        <v>99000</v>
      </c>
      <c r="AM1099" s="1593">
        <f>SUM(AL1099:AL1109)</f>
        <v>1516355</v>
      </c>
      <c r="AN1099" s="1086">
        <f>AM1099+AJ1099+AG1099</f>
        <v>178211355</v>
      </c>
      <c r="AO1099" s="1590"/>
      <c r="AP1099" s="1136">
        <f>(AG1099+AI1100)*15%</f>
        <v>26017500</v>
      </c>
      <c r="AQ1099" s="1087">
        <f>(AG1099+AI1100)*1%</f>
        <v>1734500</v>
      </c>
      <c r="AR1099" s="1136">
        <f>(AG1099+AI1100)*5%</f>
        <v>8672500</v>
      </c>
      <c r="AS1099" s="1087">
        <f>0.5%*(AG1099+AI1100)*(3)</f>
        <v>2601750</v>
      </c>
      <c r="AT1099" s="1086">
        <f>+AS1099+AR1099+AQ1099+AP1099+AO1099</f>
        <v>39026250</v>
      </c>
      <c r="AU1099" s="1137">
        <f>ROUND(AT1099+AN1099,-3)</f>
        <v>217238000</v>
      </c>
      <c r="AV1099" s="1374"/>
    </row>
    <row r="1100" spans="1:48" ht="16.5" customHeight="1">
      <c r="A1100" s="1082"/>
      <c r="B1100" s="1038" t="s">
        <v>16</v>
      </c>
      <c r="C1100" s="1071" t="s">
        <v>1558</v>
      </c>
      <c r="D1100" s="1038"/>
      <c r="E1100" s="1071"/>
      <c r="F1100" s="1560"/>
      <c r="G1100" s="1038" t="s">
        <v>16</v>
      </c>
      <c r="H1100" s="1039" t="s">
        <v>22</v>
      </c>
      <c r="I1100" s="1127"/>
      <c r="J1100" s="1069"/>
      <c r="K1100" s="1067"/>
      <c r="L1100" s="1320"/>
      <c r="M1100" s="1321"/>
      <c r="N1100" s="1070" t="s">
        <v>25</v>
      </c>
      <c r="O1100" s="1293" t="s">
        <v>26</v>
      </c>
      <c r="P1100" s="1081"/>
      <c r="Q1100" s="1075">
        <v>71.3</v>
      </c>
      <c r="R1100" s="1074"/>
      <c r="S1100" s="1074"/>
      <c r="T1100" s="1080"/>
      <c r="U1100" s="1091">
        <v>2</v>
      </c>
      <c r="V1100" s="1185" t="s">
        <v>826</v>
      </c>
      <c r="W1100" s="1079">
        <v>3</v>
      </c>
      <c r="X1100" s="1078"/>
      <c r="Y1100" s="1039"/>
      <c r="Z1100" s="1615">
        <f t="shared" si="100"/>
        <v>3</v>
      </c>
      <c r="AA1100" s="1321"/>
      <c r="AB1100" s="1321"/>
      <c r="AC1100" s="1320"/>
      <c r="AD1100" s="1321"/>
      <c r="AE1100" s="1320"/>
      <c r="AF1100" s="1296"/>
      <c r="AG1100" s="1594"/>
      <c r="AH1100" s="1595">
        <v>2200000</v>
      </c>
      <c r="AI1100" s="1089">
        <f>AH1100*Q1100*0.7</f>
        <v>109802000</v>
      </c>
      <c r="AJ1100" s="1596"/>
      <c r="AK1100" s="1089">
        <v>2645</v>
      </c>
      <c r="AL1100" s="1090">
        <f t="shared" si="99"/>
        <v>7935</v>
      </c>
      <c r="AM1100" s="1594"/>
      <c r="AN1100" s="1594"/>
      <c r="AO1100" s="1595"/>
      <c r="AP1100" s="1247"/>
      <c r="AQ1100" s="1595"/>
      <c r="AR1100" s="1247"/>
      <c r="AS1100" s="1247"/>
      <c r="AT1100" s="1594"/>
      <c r="AU1100" s="1596"/>
      <c r="AV1100" s="1247"/>
    </row>
    <row r="1101" spans="1:48" ht="16.5" customHeight="1">
      <c r="A1101" s="1082"/>
      <c r="B1101" s="1038" t="s">
        <v>18</v>
      </c>
      <c r="C1101" s="1039" t="s">
        <v>1557</v>
      </c>
      <c r="D1101" s="1038"/>
      <c r="E1101" s="1039"/>
      <c r="F1101" s="1560"/>
      <c r="G1101" s="1038" t="s">
        <v>18</v>
      </c>
      <c r="H1101" s="1039" t="s">
        <v>19</v>
      </c>
      <c r="I1101" s="1127"/>
      <c r="J1101" s="1069"/>
      <c r="K1101" s="1067"/>
      <c r="L1101" s="1320"/>
      <c r="M1101" s="1321"/>
      <c r="N1101" s="1070" t="s">
        <v>16</v>
      </c>
      <c r="O1101" s="1191" t="s">
        <v>21</v>
      </c>
      <c r="P1101" s="1081"/>
      <c r="Q1101" s="1075">
        <v>9.5</v>
      </c>
      <c r="R1101" s="1074"/>
      <c r="S1101" s="1074"/>
      <c r="T1101" s="1080"/>
      <c r="U1101" s="1091">
        <v>3</v>
      </c>
      <c r="V1101" s="1185" t="s">
        <v>808</v>
      </c>
      <c r="W1101" s="1079"/>
      <c r="X1101" s="1078"/>
      <c r="Y1101" s="1039">
        <v>4</v>
      </c>
      <c r="Z1101" s="1615">
        <f t="shared" si="100"/>
        <v>4</v>
      </c>
      <c r="AA1101" s="1321"/>
      <c r="AB1101" s="1321"/>
      <c r="AC1101" s="1320"/>
      <c r="AD1101" s="1321"/>
      <c r="AE1101" s="1320"/>
      <c r="AF1101" s="1296"/>
      <c r="AG1101" s="1594"/>
      <c r="AH1101" s="1595">
        <v>350000</v>
      </c>
      <c r="AI1101" s="1089">
        <f>AH1101*Q1101*0.6</f>
        <v>1995000</v>
      </c>
      <c r="AJ1101" s="1596"/>
      <c r="AK1101" s="1089">
        <v>41200</v>
      </c>
      <c r="AL1101" s="1090">
        <f>AK1101*Y1101</f>
        <v>164800</v>
      </c>
      <c r="AM1101" s="1594"/>
      <c r="AN1101" s="1594"/>
      <c r="AO1101" s="1595"/>
      <c r="AP1101" s="1247"/>
      <c r="AQ1101" s="1595"/>
      <c r="AR1101" s="1247"/>
      <c r="AS1101" s="1247"/>
      <c r="AT1101" s="1594"/>
      <c r="AU1101" s="1596"/>
      <c r="AV1101" s="1247"/>
    </row>
    <row r="1102" spans="1:48" ht="49.5" customHeight="1">
      <c r="A1102" s="1082"/>
      <c r="B1102" s="1082" t="s">
        <v>12</v>
      </c>
      <c r="C1102" s="1083" t="s">
        <v>98</v>
      </c>
      <c r="D1102" s="1082"/>
      <c r="E1102" s="1083"/>
      <c r="F1102" s="1560"/>
      <c r="G1102" s="1038"/>
      <c r="H1102" s="1092"/>
      <c r="I1102" s="1127"/>
      <c r="J1102" s="1069"/>
      <c r="K1102" s="1067"/>
      <c r="L1102" s="1320"/>
      <c r="M1102" s="1321"/>
      <c r="N1102" s="1070" t="s">
        <v>18</v>
      </c>
      <c r="O1102" s="1191" t="s">
        <v>17</v>
      </c>
      <c r="P1102" s="1081">
        <v>1</v>
      </c>
      <c r="Q1102" s="1075"/>
      <c r="R1102" s="1074"/>
      <c r="S1102" s="1074"/>
      <c r="T1102" s="1080"/>
      <c r="U1102" s="1091">
        <v>4</v>
      </c>
      <c r="V1102" s="1185" t="s">
        <v>1556</v>
      </c>
      <c r="W1102" s="1079">
        <v>2</v>
      </c>
      <c r="X1102" s="1078"/>
      <c r="Y1102" s="1039"/>
      <c r="Z1102" s="1615">
        <f t="shared" si="100"/>
        <v>2</v>
      </c>
      <c r="AA1102" s="1321"/>
      <c r="AB1102" s="1321"/>
      <c r="AC1102" s="1320"/>
      <c r="AD1102" s="1321"/>
      <c r="AE1102" s="1320"/>
      <c r="AF1102" s="1296"/>
      <c r="AG1102" s="1594"/>
      <c r="AH1102" s="1595">
        <v>2500000</v>
      </c>
      <c r="AI1102" s="1089">
        <f>AH1102*P1102*0.5</f>
        <v>1250000</v>
      </c>
      <c r="AJ1102" s="1596"/>
      <c r="AK1102" s="1597">
        <v>10000</v>
      </c>
      <c r="AL1102" s="1090">
        <f t="shared" si="99"/>
        <v>20000</v>
      </c>
      <c r="AM1102" s="1594"/>
      <c r="AN1102" s="1594"/>
      <c r="AO1102" s="1595"/>
      <c r="AP1102" s="1247"/>
      <c r="AQ1102" s="1595"/>
      <c r="AR1102" s="1247"/>
      <c r="AS1102" s="1247"/>
      <c r="AT1102" s="1594"/>
      <c r="AU1102" s="1596"/>
      <c r="AV1102" s="1247"/>
    </row>
    <row r="1103" spans="1:48" ht="16.5" customHeight="1">
      <c r="A1103" s="1082"/>
      <c r="B1103" s="1082" t="s">
        <v>8</v>
      </c>
      <c r="C1103" s="1083" t="s">
        <v>1555</v>
      </c>
      <c r="D1103" s="1082"/>
      <c r="E1103" s="1083"/>
      <c r="F1103" s="1560"/>
      <c r="G1103" s="1038"/>
      <c r="H1103" s="1092"/>
      <c r="I1103" s="1127"/>
      <c r="J1103" s="1069"/>
      <c r="K1103" s="1067"/>
      <c r="L1103" s="1320"/>
      <c r="M1103" s="1321"/>
      <c r="N1103" s="1082"/>
      <c r="O1103" s="1246"/>
      <c r="P1103" s="1321"/>
      <c r="Q1103" s="1320"/>
      <c r="R1103" s="1074"/>
      <c r="S1103" s="1074"/>
      <c r="T1103" s="1080"/>
      <c r="U1103" s="1091">
        <v>5</v>
      </c>
      <c r="V1103" s="1185" t="s">
        <v>14</v>
      </c>
      <c r="W1103" s="1079"/>
      <c r="X1103" s="1078">
        <v>3</v>
      </c>
      <c r="Y1103" s="1039"/>
      <c r="Z1103" s="1615">
        <f t="shared" si="100"/>
        <v>3</v>
      </c>
      <c r="AA1103" s="1321"/>
      <c r="AB1103" s="1321"/>
      <c r="AC1103" s="1320"/>
      <c r="AD1103" s="1321"/>
      <c r="AE1103" s="1320"/>
      <c r="AF1103" s="1296"/>
      <c r="AG1103" s="1594"/>
      <c r="AH1103" s="1595"/>
      <c r="AI1103" s="1595"/>
      <c r="AJ1103" s="1596"/>
      <c r="AK1103" s="1089">
        <v>231000</v>
      </c>
      <c r="AL1103" s="1087">
        <f>AK1103*X1103</f>
        <v>693000</v>
      </c>
      <c r="AM1103" s="1594"/>
      <c r="AN1103" s="1594"/>
      <c r="AO1103" s="1595"/>
      <c r="AP1103" s="1247"/>
      <c r="AQ1103" s="1595"/>
      <c r="AR1103" s="1247"/>
      <c r="AS1103" s="1247"/>
      <c r="AT1103" s="1594"/>
      <c r="AU1103" s="1596"/>
      <c r="AV1103" s="1247"/>
    </row>
    <row r="1104" spans="1:48" ht="16.5" customHeight="1">
      <c r="A1104" s="1082"/>
      <c r="B1104" s="1082"/>
      <c r="C1104" s="1083"/>
      <c r="D1104" s="1082"/>
      <c r="E1104" s="1083"/>
      <c r="F1104" s="1560"/>
      <c r="G1104" s="1038"/>
      <c r="H1104" s="1092"/>
      <c r="I1104" s="1127"/>
      <c r="J1104" s="1069"/>
      <c r="K1104" s="1067"/>
      <c r="L1104" s="1320"/>
      <c r="M1104" s="1321"/>
      <c r="N1104" s="1245"/>
      <c r="O1104" s="1246"/>
      <c r="P1104" s="1321"/>
      <c r="Q1104" s="1320"/>
      <c r="R1104" s="1074"/>
      <c r="S1104" s="1074"/>
      <c r="T1104" s="1080"/>
      <c r="U1104" s="1091">
        <v>6</v>
      </c>
      <c r="V1104" s="1185" t="s">
        <v>221</v>
      </c>
      <c r="W1104" s="1079">
        <v>2</v>
      </c>
      <c r="X1104" s="1078"/>
      <c r="Y1104" s="1039"/>
      <c r="Z1104" s="1615">
        <f t="shared" si="100"/>
        <v>2</v>
      </c>
      <c r="AA1104" s="1321"/>
      <c r="AB1104" s="1321"/>
      <c r="AC1104" s="1320"/>
      <c r="AD1104" s="1321"/>
      <c r="AE1104" s="1320"/>
      <c r="AF1104" s="1296"/>
      <c r="AG1104" s="1594"/>
      <c r="AH1104" s="1595"/>
      <c r="AI1104" s="1595"/>
      <c r="AJ1104" s="1596"/>
      <c r="AK1104" s="1089">
        <v>4810</v>
      </c>
      <c r="AL1104" s="1090">
        <f t="shared" si="99"/>
        <v>9620</v>
      </c>
      <c r="AM1104" s="1594"/>
      <c r="AN1104" s="1594"/>
      <c r="AO1104" s="1595"/>
      <c r="AP1104" s="1247"/>
      <c r="AQ1104" s="1595"/>
      <c r="AR1104" s="1247"/>
      <c r="AS1104" s="1247"/>
      <c r="AT1104" s="1594"/>
      <c r="AU1104" s="1596"/>
      <c r="AV1104" s="1247"/>
    </row>
    <row r="1105" spans="1:48" ht="16.5" customHeight="1">
      <c r="A1105" s="1082"/>
      <c r="B1105" s="1082"/>
      <c r="C1105" s="1083"/>
      <c r="D1105" s="1082"/>
      <c r="E1105" s="1083"/>
      <c r="F1105" s="1560"/>
      <c r="G1105" s="1038"/>
      <c r="H1105" s="1092"/>
      <c r="I1105" s="1127"/>
      <c r="J1105" s="1069"/>
      <c r="K1105" s="1067"/>
      <c r="L1105" s="1320"/>
      <c r="M1105" s="1321"/>
      <c r="N1105" s="1245"/>
      <c r="O1105" s="1246"/>
      <c r="P1105" s="1321"/>
      <c r="Q1105" s="1320"/>
      <c r="R1105" s="1074"/>
      <c r="S1105" s="1074"/>
      <c r="T1105" s="1080"/>
      <c r="U1105" s="1091">
        <v>7</v>
      </c>
      <c r="V1105" s="1185" t="s">
        <v>1134</v>
      </c>
      <c r="W1105" s="1079">
        <v>20</v>
      </c>
      <c r="X1105" s="1078"/>
      <c r="Y1105" s="1039"/>
      <c r="Z1105" s="1615">
        <f t="shared" si="100"/>
        <v>20</v>
      </c>
      <c r="AA1105" s="1321"/>
      <c r="AB1105" s="1321"/>
      <c r="AC1105" s="1320"/>
      <c r="AD1105" s="1321"/>
      <c r="AE1105" s="1320"/>
      <c r="AF1105" s="1296"/>
      <c r="AG1105" s="1594"/>
      <c r="AH1105" s="1595"/>
      <c r="AI1105" s="1595"/>
      <c r="AJ1105" s="1596"/>
      <c r="AK1105" s="1597">
        <v>25000</v>
      </c>
      <c r="AL1105" s="1090">
        <f t="shared" si="99"/>
        <v>500000</v>
      </c>
      <c r="AM1105" s="1594"/>
      <c r="AN1105" s="1594"/>
      <c r="AO1105" s="1595"/>
      <c r="AP1105" s="1247"/>
      <c r="AQ1105" s="1595"/>
      <c r="AR1105" s="1247"/>
      <c r="AS1105" s="1247"/>
      <c r="AT1105" s="1594"/>
      <c r="AU1105" s="1596"/>
      <c r="AV1105" s="1247"/>
    </row>
    <row r="1106" spans="1:48" ht="16.5" customHeight="1">
      <c r="A1106" s="1082"/>
      <c r="B1106" s="1082"/>
      <c r="C1106" s="1083"/>
      <c r="D1106" s="1082"/>
      <c r="E1106" s="1083"/>
      <c r="F1106" s="1560"/>
      <c r="G1106" s="1038"/>
      <c r="H1106" s="1092"/>
      <c r="I1106" s="1127"/>
      <c r="J1106" s="1069"/>
      <c r="K1106" s="1067"/>
      <c r="L1106" s="1320"/>
      <c r="M1106" s="1321"/>
      <c r="N1106" s="1245"/>
      <c r="O1106" s="1246"/>
      <c r="P1106" s="1321"/>
      <c r="Q1106" s="1320"/>
      <c r="R1106" s="1074"/>
      <c r="S1106" s="1074"/>
      <c r="T1106" s="1080"/>
      <c r="U1106" s="1091">
        <v>8</v>
      </c>
      <c r="V1106" s="1185" t="s">
        <v>1467</v>
      </c>
      <c r="W1106" s="1079">
        <v>4</v>
      </c>
      <c r="X1106" s="1078"/>
      <c r="Y1106" s="1039"/>
      <c r="Z1106" s="1615">
        <f t="shared" si="100"/>
        <v>4</v>
      </c>
      <c r="AA1106" s="1321"/>
      <c r="AB1106" s="1321"/>
      <c r="AC1106" s="1320"/>
      <c r="AD1106" s="1321"/>
      <c r="AE1106" s="1320"/>
      <c r="AF1106" s="1296"/>
      <c r="AG1106" s="1594"/>
      <c r="AH1106" s="1595"/>
      <c r="AI1106" s="1595"/>
      <c r="AJ1106" s="1596"/>
      <c r="AK1106" s="1597">
        <v>2500</v>
      </c>
      <c r="AL1106" s="1090">
        <f t="shared" si="99"/>
        <v>10000</v>
      </c>
      <c r="AM1106" s="1594"/>
      <c r="AN1106" s="1594"/>
      <c r="AO1106" s="1595"/>
      <c r="AP1106" s="1247"/>
      <c r="AQ1106" s="1595"/>
      <c r="AR1106" s="1247"/>
      <c r="AS1106" s="1247"/>
      <c r="AT1106" s="1594"/>
      <c r="AU1106" s="1596"/>
      <c r="AV1106" s="1247"/>
    </row>
    <row r="1107" spans="1:48" ht="16.5" customHeight="1">
      <c r="A1107" s="1082"/>
      <c r="B1107" s="1082"/>
      <c r="C1107" s="1083"/>
      <c r="D1107" s="1082"/>
      <c r="E1107" s="1083"/>
      <c r="F1107" s="1560"/>
      <c r="G1107" s="1038"/>
      <c r="H1107" s="1092"/>
      <c r="I1107" s="1127"/>
      <c r="J1107" s="1069"/>
      <c r="K1107" s="1067"/>
      <c r="L1107" s="1320"/>
      <c r="M1107" s="1321"/>
      <c r="N1107" s="1245"/>
      <c r="O1107" s="1246"/>
      <c r="P1107" s="1321"/>
      <c r="Q1107" s="1320"/>
      <c r="R1107" s="1074"/>
      <c r="S1107" s="1074"/>
      <c r="T1107" s="1080"/>
      <c r="U1107" s="1091">
        <v>9</v>
      </c>
      <c r="V1107" s="1185" t="s">
        <v>1554</v>
      </c>
      <c r="W1107" s="1079">
        <v>5</v>
      </c>
      <c r="X1107" s="1078"/>
      <c r="Y1107" s="1039"/>
      <c r="Z1107" s="1615">
        <f t="shared" si="100"/>
        <v>5</v>
      </c>
      <c r="AA1107" s="1321"/>
      <c r="AB1107" s="1321"/>
      <c r="AC1107" s="1320"/>
      <c r="AD1107" s="1321"/>
      <c r="AE1107" s="1320"/>
      <c r="AF1107" s="1296"/>
      <c r="AG1107" s="1594"/>
      <c r="AH1107" s="1595"/>
      <c r="AI1107" s="1595"/>
      <c r="AJ1107" s="1596"/>
      <c r="AK1107" s="1597">
        <v>2400</v>
      </c>
      <c r="AL1107" s="1090">
        <f t="shared" si="99"/>
        <v>12000</v>
      </c>
      <c r="AM1107" s="1594"/>
      <c r="AN1107" s="1594"/>
      <c r="AO1107" s="1595"/>
      <c r="AP1107" s="1247"/>
      <c r="AQ1107" s="1595"/>
      <c r="AR1107" s="1247"/>
      <c r="AS1107" s="1247"/>
      <c r="AT1107" s="1594"/>
      <c r="AU1107" s="1596"/>
      <c r="AV1107" s="1247"/>
    </row>
    <row r="1108" spans="1:48" ht="16.5" customHeight="1">
      <c r="A1108" s="1082"/>
      <c r="B1108" s="1082"/>
      <c r="C1108" s="1083"/>
      <c r="D1108" s="1082"/>
      <c r="E1108" s="1083"/>
      <c r="F1108" s="1560"/>
      <c r="G1108" s="1038"/>
      <c r="H1108" s="1092"/>
      <c r="I1108" s="1127"/>
      <c r="J1108" s="1069"/>
      <c r="K1108" s="1067"/>
      <c r="L1108" s="1320"/>
      <c r="M1108" s="1321"/>
      <c r="N1108" s="1245"/>
      <c r="O1108" s="1246"/>
      <c r="P1108" s="1321"/>
      <c r="Q1108" s="1320"/>
      <c r="R1108" s="1074"/>
      <c r="S1108" s="1074"/>
      <c r="T1108" s="1080"/>
      <c r="U1108" s="1091"/>
      <c r="V1108" s="1073"/>
      <c r="W1108" s="1079"/>
      <c r="X1108" s="1078"/>
      <c r="Y1108" s="1039"/>
      <c r="Z1108" s="1615"/>
      <c r="AA1108" s="1321"/>
      <c r="AB1108" s="1321"/>
      <c r="AC1108" s="1320"/>
      <c r="AD1108" s="1321"/>
      <c r="AE1108" s="1320"/>
      <c r="AF1108" s="1296"/>
      <c r="AG1108" s="1594"/>
      <c r="AH1108" s="1595"/>
      <c r="AI1108" s="1595"/>
      <c r="AJ1108" s="1596"/>
      <c r="AK1108" s="1597"/>
      <c r="AL1108" s="1090"/>
      <c r="AM1108" s="1594"/>
      <c r="AN1108" s="1594"/>
      <c r="AO1108" s="1595"/>
      <c r="AP1108" s="1247"/>
      <c r="AQ1108" s="1595"/>
      <c r="AR1108" s="1247"/>
      <c r="AS1108" s="1247"/>
      <c r="AT1108" s="1594"/>
      <c r="AU1108" s="1596"/>
      <c r="AV1108" s="1247"/>
    </row>
    <row r="1109" spans="1:48" ht="16.5" customHeight="1">
      <c r="A1109" s="1082"/>
      <c r="B1109" s="1082"/>
      <c r="C1109" s="1147"/>
      <c r="D1109" s="1082"/>
      <c r="E1109" s="1083"/>
      <c r="F1109" s="1560"/>
      <c r="G1109" s="1038"/>
      <c r="H1109" s="1092"/>
      <c r="I1109" s="1152"/>
      <c r="J1109" s="1103"/>
      <c r="K1109" s="1101"/>
      <c r="L1109" s="1320"/>
      <c r="M1109" s="1321"/>
      <c r="N1109" s="1245"/>
      <c r="O1109" s="1246"/>
      <c r="P1109" s="1321"/>
      <c r="Q1109" s="1320"/>
      <c r="R1109" s="1074"/>
      <c r="S1109" s="1074"/>
      <c r="T1109" s="1080"/>
      <c r="U1109" s="1091"/>
      <c r="V1109" s="1073"/>
      <c r="W1109" s="1079"/>
      <c r="X1109" s="1078"/>
      <c r="Y1109" s="1039"/>
      <c r="Z1109" s="1615"/>
      <c r="AA1109" s="1321"/>
      <c r="AB1109" s="1321"/>
      <c r="AC1109" s="1320"/>
      <c r="AD1109" s="1321"/>
      <c r="AE1109" s="1320"/>
      <c r="AF1109" s="1296"/>
      <c r="AG1109" s="1602"/>
      <c r="AH1109" s="1595"/>
      <c r="AI1109" s="1595"/>
      <c r="AJ1109" s="1596"/>
      <c r="AK1109" s="1597"/>
      <c r="AL1109" s="1090"/>
      <c r="AM1109" s="1594"/>
      <c r="AN1109" s="1602"/>
      <c r="AO1109" s="1210"/>
      <c r="AP1109" s="1264"/>
      <c r="AQ1109" s="1210"/>
      <c r="AR1109" s="1264"/>
      <c r="AS1109" s="1264"/>
      <c r="AT1109" s="1616"/>
      <c r="AU1109" s="1605"/>
      <c r="AV1109" s="1247"/>
    </row>
    <row r="1110" spans="1:48" ht="16.5" customHeight="1">
      <c r="A1110" s="1617">
        <v>84</v>
      </c>
      <c r="B1110" s="1033" t="s">
        <v>25</v>
      </c>
      <c r="C1110" s="1036" t="s">
        <v>1553</v>
      </c>
      <c r="D1110" s="1035"/>
      <c r="E1110" s="1366"/>
      <c r="F1110" s="1375" t="s">
        <v>1552</v>
      </c>
      <c r="G1110" s="1035" t="s">
        <v>25</v>
      </c>
      <c r="H1110" s="1367" t="s">
        <v>1540</v>
      </c>
      <c r="I1110" s="1174">
        <v>642.33699999999999</v>
      </c>
      <c r="J1110" s="1175" t="s">
        <v>41</v>
      </c>
      <c r="K1110" s="1041" t="s">
        <v>1551</v>
      </c>
      <c r="L1110" s="1279"/>
      <c r="M1110" s="1054"/>
      <c r="N1110" s="1555" t="s">
        <v>1550</v>
      </c>
      <c r="O1110" s="1190"/>
      <c r="P1110" s="1050"/>
      <c r="Q1110" s="1047"/>
      <c r="R1110" s="1034"/>
      <c r="S1110" s="1034" t="s">
        <v>15</v>
      </c>
      <c r="T1110" s="1053"/>
      <c r="U1110" s="1180">
        <v>1</v>
      </c>
      <c r="V1110" s="1319" t="s">
        <v>14</v>
      </c>
      <c r="W1110" s="1618">
        <v>3</v>
      </c>
      <c r="X1110" s="1051"/>
      <c r="Y1110" s="1036"/>
      <c r="Z1110" s="1614">
        <f t="shared" ref="Z1110" si="101">SUM(W1110:Y1110)</f>
        <v>3</v>
      </c>
      <c r="AA1110" s="1034"/>
      <c r="AB1110" s="1181"/>
      <c r="AC1110" s="1048"/>
      <c r="AD1110" s="1180"/>
      <c r="AE1110" s="1049"/>
      <c r="AF1110" s="1333">
        <f>Resum!F1</f>
        <v>356000</v>
      </c>
      <c r="AG1110" s="1086">
        <f>AF1110*I1110</f>
        <v>228671972</v>
      </c>
      <c r="AH1110" s="1334"/>
      <c r="AI1110" s="1334"/>
      <c r="AJ1110" s="1335">
        <f>SUM(AI1110:AI1124)</f>
        <v>172885000</v>
      </c>
      <c r="AK1110" s="1089">
        <v>350000</v>
      </c>
      <c r="AL1110" s="1087">
        <f t="shared" si="99"/>
        <v>1050000</v>
      </c>
      <c r="AM1110" s="1337">
        <f>SUM(AL1110:AL1118)</f>
        <v>2449830</v>
      </c>
      <c r="AN1110" s="1086">
        <f>AM1110+AJ1110+AG1110</f>
        <v>404006802</v>
      </c>
      <c r="AO1110" s="1298"/>
      <c r="AP1110" s="1136">
        <f>(42356000+AI1111+AI1119)*15%</f>
        <v>30177120</v>
      </c>
      <c r="AQ1110" s="1087">
        <f>(AG1110+AI1111)*1%</f>
        <v>2999519.72</v>
      </c>
      <c r="AR1110" s="1136">
        <f>(AG1110+AI1111)*5%</f>
        <v>14997598.600000001</v>
      </c>
      <c r="AS1110" s="1087">
        <f>0.5%*(AG1110+AI1111)*(3)</f>
        <v>4499279.58</v>
      </c>
      <c r="AT1110" s="1086">
        <f>+AS1110+AR1110+AQ1110+AP1110+AO1110</f>
        <v>52673517.899999999</v>
      </c>
      <c r="AU1110" s="1137">
        <f>ROUND(AT1110+AN1110,-3)</f>
        <v>456680000</v>
      </c>
      <c r="AV1110" s="1365"/>
    </row>
    <row r="1111" spans="1:48" ht="33" customHeight="1">
      <c r="A1111" s="1082"/>
      <c r="B1111" s="1038" t="s">
        <v>16</v>
      </c>
      <c r="C1111" s="1244" t="s">
        <v>1549</v>
      </c>
      <c r="D1111" s="1038"/>
      <c r="E1111" s="1244"/>
      <c r="F1111" s="1138"/>
      <c r="G1111" s="1038" t="s">
        <v>16</v>
      </c>
      <c r="H1111" s="1092" t="s">
        <v>22</v>
      </c>
      <c r="I1111" s="1127"/>
      <c r="J1111" s="1128"/>
      <c r="K1111" s="1067"/>
      <c r="L1111" s="1235"/>
      <c r="M1111" s="1081"/>
      <c r="N1111" s="1245" t="s">
        <v>25</v>
      </c>
      <c r="O1111" s="1293" t="s">
        <v>1543</v>
      </c>
      <c r="P1111" s="1077"/>
      <c r="Q1111" s="1073">
        <v>49.5</v>
      </c>
      <c r="R1111" s="1074"/>
      <c r="S1111" s="1074"/>
      <c r="T1111" s="1080"/>
      <c r="V1111" s="1619"/>
      <c r="W1111" s="1079"/>
      <c r="X1111" s="1078"/>
      <c r="Y1111" s="1039">
        <v>5</v>
      </c>
      <c r="Z1111" s="1615">
        <f t="shared" ref="Z1111:Z1117" si="102">SUM(W1112:Y1112)</f>
        <v>3</v>
      </c>
      <c r="AA1111" s="1074"/>
      <c r="AB1111" s="1063"/>
      <c r="AC1111" s="1075"/>
      <c r="AD1111" s="1091"/>
      <c r="AE1111" s="1076"/>
      <c r="AF1111" s="1296"/>
      <c r="AG1111" s="1297"/>
      <c r="AH1111" s="1298">
        <v>1800000</v>
      </c>
      <c r="AI1111" s="1089">
        <f>AH1111*Q1111*0.8</f>
        <v>71280000</v>
      </c>
      <c r="AJ1111" s="1299"/>
      <c r="AK1111" s="1089">
        <v>115000</v>
      </c>
      <c r="AL1111" s="1087">
        <f>AK1111*Y1111</f>
        <v>575000</v>
      </c>
      <c r="AM1111" s="1297"/>
      <c r="AN1111" s="1297"/>
      <c r="AO1111" s="1298"/>
      <c r="AP1111" s="1301"/>
      <c r="AQ1111" s="1298"/>
      <c r="AR1111" s="1301"/>
      <c r="AS1111" s="1301"/>
      <c r="AT1111" s="1297"/>
      <c r="AU1111" s="1299"/>
      <c r="AV1111" s="1302"/>
    </row>
    <row r="1112" spans="1:48" ht="16.5" customHeight="1">
      <c r="A1112" s="1082"/>
      <c r="B1112" s="1038" t="s">
        <v>18</v>
      </c>
      <c r="C1112" s="1244" t="s">
        <v>60</v>
      </c>
      <c r="D1112" s="1038"/>
      <c r="E1112" s="1244"/>
      <c r="F1112" s="1138"/>
      <c r="G1112" s="1038" t="s">
        <v>18</v>
      </c>
      <c r="H1112" s="1092" t="s">
        <v>19</v>
      </c>
      <c r="I1112" s="1127"/>
      <c r="J1112" s="1128"/>
      <c r="K1112" s="1067"/>
      <c r="L1112" s="1235"/>
      <c r="M1112" s="1081"/>
      <c r="N1112" s="1245" t="s">
        <v>16</v>
      </c>
      <c r="O1112" s="1191" t="s">
        <v>21</v>
      </c>
      <c r="P1112" s="1077"/>
      <c r="Q1112" s="1073">
        <v>7.7</v>
      </c>
      <c r="R1112" s="1074"/>
      <c r="S1112" s="1074"/>
      <c r="T1112" s="1080"/>
      <c r="U1112" s="1091">
        <v>2</v>
      </c>
      <c r="V1112" s="1185" t="s">
        <v>48</v>
      </c>
      <c r="W1112" s="1079">
        <v>3</v>
      </c>
      <c r="X1112" s="1078"/>
      <c r="Y1112" s="1039"/>
      <c r="Z1112" s="1615">
        <f t="shared" si="102"/>
        <v>3</v>
      </c>
      <c r="AA1112" s="1074"/>
      <c r="AB1112" s="1063"/>
      <c r="AC1112" s="1075"/>
      <c r="AD1112" s="1091"/>
      <c r="AE1112" s="1076"/>
      <c r="AF1112" s="1296"/>
      <c r="AG1112" s="1297"/>
      <c r="AH1112" s="1298">
        <v>100000</v>
      </c>
      <c r="AI1112" s="1089">
        <f>AH1112*Q1112*0.56</f>
        <v>431200.00000000006</v>
      </c>
      <c r="AJ1112" s="1299"/>
      <c r="AK1112" s="1300">
        <v>15000</v>
      </c>
      <c r="AL1112" s="1090">
        <f>AK1112*W1112</f>
        <v>45000</v>
      </c>
      <c r="AM1112" s="1297"/>
      <c r="AN1112" s="1297"/>
      <c r="AO1112" s="1298"/>
      <c r="AP1112" s="1301"/>
      <c r="AQ1112" s="1298"/>
      <c r="AR1112" s="1301"/>
      <c r="AS1112" s="1301"/>
      <c r="AT1112" s="1297"/>
      <c r="AU1112" s="1299"/>
      <c r="AV1112" s="1302"/>
    </row>
    <row r="1113" spans="1:48" ht="49.5" customHeight="1">
      <c r="A1113" s="1082"/>
      <c r="B1113" s="1082" t="s">
        <v>12</v>
      </c>
      <c r="C1113" s="1083" t="s">
        <v>210</v>
      </c>
      <c r="D1113" s="1038"/>
      <c r="E1113" s="1244"/>
      <c r="F1113" s="1138"/>
      <c r="G1113" s="1038"/>
      <c r="H1113" s="1092"/>
      <c r="I1113" s="1127"/>
      <c r="J1113" s="1128"/>
      <c r="K1113" s="1067"/>
      <c r="L1113" s="1235"/>
      <c r="M1113" s="1081"/>
      <c r="N1113" s="1082" t="s">
        <v>18</v>
      </c>
      <c r="O1113" s="1293" t="s">
        <v>17</v>
      </c>
      <c r="P1113" s="1077">
        <v>2</v>
      </c>
      <c r="Q1113" s="1073"/>
      <c r="R1113" s="1074"/>
      <c r="S1113" s="1074"/>
      <c r="T1113" s="1080"/>
      <c r="U1113" s="1091">
        <v>3</v>
      </c>
      <c r="V1113" s="1185" t="s">
        <v>268</v>
      </c>
      <c r="W1113" s="1079">
        <v>3</v>
      </c>
      <c r="X1113" s="1078"/>
      <c r="Y1113" s="1039"/>
      <c r="Z1113" s="1615">
        <f t="shared" si="102"/>
        <v>2</v>
      </c>
      <c r="AA1113" s="1074"/>
      <c r="AB1113" s="1063"/>
      <c r="AC1113" s="1075"/>
      <c r="AD1113" s="1091"/>
      <c r="AE1113" s="1076"/>
      <c r="AF1113" s="1296"/>
      <c r="AG1113" s="1297"/>
      <c r="AH1113" s="1298">
        <v>2500000</v>
      </c>
      <c r="AI1113" s="1089">
        <f t="shared" ref="AI1113:AI1118" si="103">AH1113*P1113*0.5</f>
        <v>2500000</v>
      </c>
      <c r="AJ1113" s="1299"/>
      <c r="AK1113" s="1300">
        <v>200000</v>
      </c>
      <c r="AL1113" s="1090">
        <f>AK1113*W1113</f>
        <v>600000</v>
      </c>
      <c r="AM1113" s="1297"/>
      <c r="AN1113" s="1297"/>
      <c r="AO1113" s="1298"/>
      <c r="AP1113" s="1301"/>
      <c r="AQ1113" s="1298"/>
      <c r="AR1113" s="1301"/>
      <c r="AS1113" s="1301"/>
      <c r="AT1113" s="1297"/>
      <c r="AU1113" s="1299"/>
      <c r="AV1113" s="1302"/>
    </row>
    <row r="1114" spans="1:48" ht="16.5" customHeight="1">
      <c r="A1114" s="1082"/>
      <c r="B1114" s="1082" t="s">
        <v>8</v>
      </c>
      <c r="C1114" s="1083" t="s">
        <v>1548</v>
      </c>
      <c r="D1114" s="1038"/>
      <c r="E1114" s="1244"/>
      <c r="F1114" s="1138"/>
      <c r="G1114" s="1038"/>
      <c r="H1114" s="1092"/>
      <c r="I1114" s="1127"/>
      <c r="J1114" s="1128"/>
      <c r="K1114" s="1067"/>
      <c r="L1114" s="1235"/>
      <c r="M1114" s="1081"/>
      <c r="N1114" s="1082" t="s">
        <v>12</v>
      </c>
      <c r="O1114" s="1293" t="s">
        <v>11</v>
      </c>
      <c r="P1114" s="1077">
        <v>1</v>
      </c>
      <c r="Q1114" s="1073"/>
      <c r="R1114" s="1074"/>
      <c r="S1114" s="1074"/>
      <c r="T1114" s="1080"/>
      <c r="U1114" s="1091">
        <v>4</v>
      </c>
      <c r="V1114" s="1185" t="s">
        <v>3</v>
      </c>
      <c r="W1114" s="1079">
        <v>2</v>
      </c>
      <c r="X1114" s="1078"/>
      <c r="Y1114" s="1039"/>
      <c r="Z1114" s="1615">
        <f t="shared" si="102"/>
        <v>2</v>
      </c>
      <c r="AA1114" s="1074"/>
      <c r="AB1114" s="1063"/>
      <c r="AC1114" s="1075"/>
      <c r="AD1114" s="1091"/>
      <c r="AE1114" s="1076"/>
      <c r="AF1114" s="1296"/>
      <c r="AG1114" s="1297"/>
      <c r="AH1114" s="1298">
        <v>2500000</v>
      </c>
      <c r="AI1114" s="1089">
        <f>AH1114*P1114*0.75</f>
        <v>1875000</v>
      </c>
      <c r="AJ1114" s="1299"/>
      <c r="AK1114" s="1089">
        <v>85000</v>
      </c>
      <c r="AL1114" s="1090">
        <f>AK1114*W1114</f>
        <v>170000</v>
      </c>
      <c r="AM1114" s="1297"/>
      <c r="AN1114" s="1297"/>
      <c r="AO1114" s="1298"/>
      <c r="AP1114" s="1301"/>
      <c r="AQ1114" s="1298"/>
      <c r="AR1114" s="1301"/>
      <c r="AS1114" s="1301"/>
      <c r="AT1114" s="1297"/>
      <c r="AU1114" s="1299"/>
      <c r="AV1114" s="1302"/>
    </row>
    <row r="1115" spans="1:48" ht="16.5" customHeight="1">
      <c r="A1115" s="1082"/>
      <c r="B1115" s="1082"/>
      <c r="C1115" s="1083"/>
      <c r="D1115" s="1038"/>
      <c r="E1115" s="1244"/>
      <c r="F1115" s="1138"/>
      <c r="G1115" s="1038"/>
      <c r="H1115" s="1092"/>
      <c r="I1115" s="1127"/>
      <c r="J1115" s="1128"/>
      <c r="K1115" s="1067"/>
      <c r="L1115" s="1235"/>
      <c r="M1115" s="1081"/>
      <c r="N1115" s="1245" t="s">
        <v>8</v>
      </c>
      <c r="O1115" s="1191" t="s">
        <v>1547</v>
      </c>
      <c r="P1115" s="1077"/>
      <c r="Q1115" s="1073">
        <v>22.6</v>
      </c>
      <c r="R1115" s="1074"/>
      <c r="S1115" s="1074"/>
      <c r="T1115" s="1080"/>
      <c r="U1115" s="1091">
        <v>5</v>
      </c>
      <c r="V1115" s="1185" t="s">
        <v>4</v>
      </c>
      <c r="W1115" s="1079"/>
      <c r="X1115" s="1078">
        <v>2</v>
      </c>
      <c r="Y1115" s="1039"/>
      <c r="Z1115" s="1615">
        <f t="shared" si="102"/>
        <v>2</v>
      </c>
      <c r="AA1115" s="1074"/>
      <c r="AB1115" s="1063"/>
      <c r="AC1115" s="1075"/>
      <c r="AD1115" s="1091"/>
      <c r="AE1115" s="1076"/>
      <c r="AF1115" s="1296"/>
      <c r="AG1115" s="1297"/>
      <c r="AH1115" s="1298">
        <v>350000</v>
      </c>
      <c r="AI1115" s="1089">
        <f>AH1115*Q1115*0.5</f>
        <v>3955000.0000000005</v>
      </c>
      <c r="AJ1115" s="1299"/>
      <c r="AK1115" s="1300">
        <v>150</v>
      </c>
      <c r="AL1115" s="1090">
        <f>AK1115*X1115</f>
        <v>300</v>
      </c>
      <c r="AM1115" s="1297"/>
      <c r="AN1115" s="1297"/>
      <c r="AO1115" s="1298"/>
      <c r="AP1115" s="1301"/>
      <c r="AQ1115" s="1298"/>
      <c r="AR1115" s="1301"/>
      <c r="AS1115" s="1301"/>
      <c r="AT1115" s="1297"/>
      <c r="AU1115" s="1299"/>
      <c r="AV1115" s="1302"/>
    </row>
    <row r="1116" spans="1:48" ht="16.5" customHeight="1">
      <c r="A1116" s="1082"/>
      <c r="B1116" s="1082"/>
      <c r="C1116" s="1083"/>
      <c r="D1116" s="1038"/>
      <c r="E1116" s="1244"/>
      <c r="F1116" s="1138"/>
      <c r="G1116" s="1038"/>
      <c r="H1116" s="1092"/>
      <c r="I1116" s="1127"/>
      <c r="J1116" s="1128"/>
      <c r="K1116" s="1067"/>
      <c r="L1116" s="1235"/>
      <c r="M1116" s="1081"/>
      <c r="N1116" s="1038"/>
      <c r="O1116" s="1293"/>
      <c r="P1116" s="1077"/>
      <c r="Q1116" s="1073"/>
      <c r="R1116" s="1074"/>
      <c r="S1116" s="1074"/>
      <c r="T1116" s="1080"/>
      <c r="U1116" s="1091">
        <v>6</v>
      </c>
      <c r="V1116" s="1185" t="s">
        <v>83</v>
      </c>
      <c r="W1116" s="1079">
        <v>2</v>
      </c>
      <c r="X1116" s="1078"/>
      <c r="Y1116" s="1039"/>
      <c r="Z1116" s="1615">
        <f t="shared" si="102"/>
        <v>2</v>
      </c>
      <c r="AA1116" s="1074"/>
      <c r="AB1116" s="1063"/>
      <c r="AC1116" s="1075"/>
      <c r="AD1116" s="1091"/>
      <c r="AE1116" s="1076"/>
      <c r="AF1116" s="1296"/>
      <c r="AG1116" s="1297"/>
      <c r="AH1116" s="1298"/>
      <c r="AI1116" s="1089">
        <f t="shared" si="103"/>
        <v>0</v>
      </c>
      <c r="AJ1116" s="1299"/>
      <c r="AK1116" s="1300">
        <v>3000</v>
      </c>
      <c r="AL1116" s="1090">
        <f>AK1116*W1116</f>
        <v>6000</v>
      </c>
      <c r="AM1116" s="1297"/>
      <c r="AN1116" s="1297"/>
      <c r="AO1116" s="1298"/>
      <c r="AP1116" s="1301"/>
      <c r="AQ1116" s="1298"/>
      <c r="AR1116" s="1301"/>
      <c r="AS1116" s="1301"/>
      <c r="AT1116" s="1297"/>
      <c r="AU1116" s="1299"/>
      <c r="AV1116" s="1302"/>
    </row>
    <row r="1117" spans="1:48" ht="16.5" customHeight="1">
      <c r="A1117" s="1082"/>
      <c r="B1117" s="1082"/>
      <c r="C1117" s="1083"/>
      <c r="D1117" s="1038"/>
      <c r="E1117" s="1244"/>
      <c r="F1117" s="1138"/>
      <c r="G1117" s="1038"/>
      <c r="H1117" s="1092"/>
      <c r="I1117" s="1127"/>
      <c r="J1117" s="1128"/>
      <c r="K1117" s="1067"/>
      <c r="L1117" s="1235"/>
      <c r="M1117" s="1081"/>
      <c r="N1117" s="1038"/>
      <c r="O1117" s="1293"/>
      <c r="P1117" s="1077"/>
      <c r="Q1117" s="1073"/>
      <c r="R1117" s="1074"/>
      <c r="S1117" s="1074"/>
      <c r="T1117" s="1080"/>
      <c r="U1117" s="1091">
        <v>7</v>
      </c>
      <c r="V1117" s="1185" t="s">
        <v>133</v>
      </c>
      <c r="W1117" s="1079"/>
      <c r="X1117" s="1078"/>
      <c r="Y1117" s="1039">
        <v>2</v>
      </c>
      <c r="Z1117" s="1615">
        <f t="shared" si="102"/>
        <v>2</v>
      </c>
      <c r="AA1117" s="1074"/>
      <c r="AB1117" s="1063"/>
      <c r="AC1117" s="1075"/>
      <c r="AD1117" s="1091"/>
      <c r="AE1117" s="1076"/>
      <c r="AF1117" s="1296"/>
      <c r="AG1117" s="1297"/>
      <c r="AH1117" s="1298"/>
      <c r="AI1117" s="1089">
        <f t="shared" si="103"/>
        <v>0</v>
      </c>
      <c r="AJ1117" s="1299"/>
      <c r="AK1117" s="1300">
        <v>865</v>
      </c>
      <c r="AL1117" s="1090">
        <f>AK1117*Y1117</f>
        <v>1730</v>
      </c>
      <c r="AM1117" s="1297"/>
      <c r="AN1117" s="1297"/>
      <c r="AO1117" s="1298"/>
      <c r="AP1117" s="1301"/>
      <c r="AQ1117" s="1298"/>
      <c r="AR1117" s="1301"/>
      <c r="AS1117" s="1301"/>
      <c r="AT1117" s="1297"/>
      <c r="AU1117" s="1299"/>
      <c r="AV1117" s="1302"/>
    </row>
    <row r="1118" spans="1:48" ht="16.5" customHeight="1">
      <c r="A1118" s="1082"/>
      <c r="B1118" s="1082"/>
      <c r="C1118" s="1083"/>
      <c r="D1118" s="1038"/>
      <c r="E1118" s="1244"/>
      <c r="F1118" s="1138"/>
      <c r="G1118" s="1038"/>
      <c r="H1118" s="1092"/>
      <c r="I1118" s="1127"/>
      <c r="J1118" s="1128"/>
      <c r="K1118" s="1067"/>
      <c r="L1118" s="1235"/>
      <c r="M1118" s="1081"/>
      <c r="N1118" s="1547" t="s">
        <v>1546</v>
      </c>
      <c r="O1118" s="1293"/>
      <c r="P1118" s="1077"/>
      <c r="Q1118" s="1073"/>
      <c r="R1118" s="1074"/>
      <c r="S1118" s="1074"/>
      <c r="T1118" s="1080"/>
      <c r="U1118" s="1091">
        <v>8</v>
      </c>
      <c r="V1118" s="1185" t="s">
        <v>217</v>
      </c>
      <c r="W1118" s="1079">
        <v>2</v>
      </c>
      <c r="X1118" s="1078"/>
      <c r="Y1118" s="1039"/>
      <c r="Z1118" s="1615"/>
      <c r="AA1118" s="1074"/>
      <c r="AB1118" s="1063"/>
      <c r="AC1118" s="1075"/>
      <c r="AD1118" s="1091"/>
      <c r="AE1118" s="1076"/>
      <c r="AF1118" s="1296"/>
      <c r="AG1118" s="1297"/>
      <c r="AH1118" s="1298"/>
      <c r="AI1118" s="1089">
        <f t="shared" si="103"/>
        <v>0</v>
      </c>
      <c r="AJ1118" s="1299"/>
      <c r="AK1118" s="1300">
        <v>900</v>
      </c>
      <c r="AL1118" s="1090">
        <f>AK1118*W1118</f>
        <v>1800</v>
      </c>
      <c r="AM1118" s="1297"/>
      <c r="AN1118" s="1297"/>
      <c r="AO1118" s="1298"/>
      <c r="AP1118" s="1301"/>
      <c r="AQ1118" s="1298"/>
      <c r="AR1118" s="1301"/>
      <c r="AS1118" s="1301"/>
      <c r="AT1118" s="1297"/>
      <c r="AU1118" s="1299"/>
      <c r="AV1118" s="1302"/>
    </row>
    <row r="1119" spans="1:48" ht="33" customHeight="1">
      <c r="A1119" s="1082"/>
      <c r="B1119" s="1082"/>
      <c r="C1119" s="1083"/>
      <c r="D1119" s="1038"/>
      <c r="E1119" s="1244"/>
      <c r="F1119" s="1138"/>
      <c r="G1119" s="1038"/>
      <c r="H1119" s="1092"/>
      <c r="I1119" s="1127"/>
      <c r="J1119" s="1128"/>
      <c r="K1119" s="1067"/>
      <c r="L1119" s="1235"/>
      <c r="M1119" s="1081"/>
      <c r="N1119" s="1082" t="s">
        <v>25</v>
      </c>
      <c r="O1119" s="1293" t="s">
        <v>1543</v>
      </c>
      <c r="P1119" s="1077"/>
      <c r="Q1119" s="1073">
        <v>69.48</v>
      </c>
      <c r="R1119" s="1074"/>
      <c r="S1119" s="1074"/>
      <c r="T1119" s="1080"/>
      <c r="U1119" s="1091"/>
      <c r="V1119" s="1185"/>
      <c r="W1119" s="1079"/>
      <c r="X1119" s="1078"/>
      <c r="Y1119" s="1039"/>
      <c r="Z1119" s="1615"/>
      <c r="AA1119" s="1074"/>
      <c r="AB1119" s="1063"/>
      <c r="AC1119" s="1075"/>
      <c r="AD1119" s="1091"/>
      <c r="AE1119" s="1076"/>
      <c r="AF1119" s="1296"/>
      <c r="AG1119" s="1297"/>
      <c r="AH1119" s="1298">
        <v>1800000</v>
      </c>
      <c r="AI1119" s="1089">
        <f>AH1119*Q1119*0.7</f>
        <v>87544800</v>
      </c>
      <c r="AJ1119" s="1299"/>
      <c r="AK1119" s="1300"/>
      <c r="AL1119" s="1090"/>
      <c r="AM1119" s="1297"/>
      <c r="AN1119" s="1297"/>
      <c r="AO1119" s="1298"/>
      <c r="AP1119" s="1301"/>
      <c r="AQ1119" s="1298"/>
      <c r="AR1119" s="1301"/>
      <c r="AS1119" s="1301"/>
      <c r="AT1119" s="1297"/>
      <c r="AU1119" s="1299"/>
      <c r="AV1119" s="1302"/>
    </row>
    <row r="1120" spans="1:48" ht="16.5" customHeight="1">
      <c r="A1120" s="1082"/>
      <c r="B1120" s="1082"/>
      <c r="C1120" s="1083"/>
      <c r="D1120" s="1038"/>
      <c r="E1120" s="1244"/>
      <c r="F1120" s="1138"/>
      <c r="G1120" s="1038"/>
      <c r="H1120" s="1092"/>
      <c r="I1120" s="1127"/>
      <c r="J1120" s="1128"/>
      <c r="K1120" s="1067"/>
      <c r="L1120" s="1235"/>
      <c r="M1120" s="1081"/>
      <c r="N1120" s="1245" t="s">
        <v>16</v>
      </c>
      <c r="O1120" s="1191" t="s">
        <v>21</v>
      </c>
      <c r="P1120" s="1077"/>
      <c r="Q1120" s="1073">
        <v>8</v>
      </c>
      <c r="R1120" s="1074"/>
      <c r="S1120" s="1074"/>
      <c r="T1120" s="1080"/>
      <c r="U1120" s="1091"/>
      <c r="V1120" s="1185"/>
      <c r="W1120" s="1079"/>
      <c r="X1120" s="1078"/>
      <c r="Y1120" s="1039"/>
      <c r="Z1120" s="1615"/>
      <c r="AA1120" s="1074"/>
      <c r="AB1120" s="1063"/>
      <c r="AC1120" s="1075"/>
      <c r="AD1120" s="1091"/>
      <c r="AE1120" s="1076"/>
      <c r="AF1120" s="1296"/>
      <c r="AG1120" s="1297"/>
      <c r="AH1120" s="1298">
        <v>100000</v>
      </c>
      <c r="AI1120" s="1089">
        <f>AH1120*Q1120*0.5</f>
        <v>400000</v>
      </c>
      <c r="AJ1120" s="1299"/>
      <c r="AK1120" s="1300"/>
      <c r="AL1120" s="1090"/>
      <c r="AM1120" s="1297"/>
      <c r="AN1120" s="1297"/>
      <c r="AO1120" s="1298"/>
      <c r="AP1120" s="1301"/>
      <c r="AQ1120" s="1298"/>
      <c r="AR1120" s="1301"/>
      <c r="AS1120" s="1301"/>
      <c r="AT1120" s="1297"/>
      <c r="AU1120" s="1299"/>
      <c r="AV1120" s="1302"/>
    </row>
    <row r="1121" spans="1:48" ht="16.5" customHeight="1">
      <c r="A1121" s="1082"/>
      <c r="B1121" s="1082"/>
      <c r="C1121" s="1083"/>
      <c r="D1121" s="1038"/>
      <c r="E1121" s="1244"/>
      <c r="F1121" s="1138"/>
      <c r="G1121" s="1038"/>
      <c r="H1121" s="1092"/>
      <c r="I1121" s="1127"/>
      <c r="J1121" s="1128"/>
      <c r="K1121" s="1067"/>
      <c r="L1121" s="1235"/>
      <c r="M1121" s="1081"/>
      <c r="N1121" s="1082" t="s">
        <v>18</v>
      </c>
      <c r="O1121" s="1293" t="s">
        <v>59</v>
      </c>
      <c r="P1121" s="1077"/>
      <c r="Q1121" s="1073">
        <v>37.200000000000003</v>
      </c>
      <c r="R1121" s="1074"/>
      <c r="S1121" s="1074"/>
      <c r="T1121" s="1080"/>
      <c r="U1121" s="1091"/>
      <c r="V1121" s="1185"/>
      <c r="W1121" s="1079"/>
      <c r="X1121" s="1078"/>
      <c r="Y1121" s="1039"/>
      <c r="Z1121" s="1615"/>
      <c r="AA1121" s="1074"/>
      <c r="AB1121" s="1063"/>
      <c r="AC1121" s="1075"/>
      <c r="AD1121" s="1091"/>
      <c r="AE1121" s="1076"/>
      <c r="AF1121" s="1296"/>
      <c r="AG1121" s="1297"/>
      <c r="AH1121" s="1087">
        <v>180000</v>
      </c>
      <c r="AI1121" s="1089">
        <f>AH1121*Q1121*0.5</f>
        <v>3348000.0000000005</v>
      </c>
      <c r="AJ1121" s="1299"/>
      <c r="AK1121" s="1300"/>
      <c r="AL1121" s="1090"/>
      <c r="AM1121" s="1297"/>
      <c r="AN1121" s="1297"/>
      <c r="AO1121" s="1298"/>
      <c r="AP1121" s="1301"/>
      <c r="AQ1121" s="1298"/>
      <c r="AR1121" s="1301"/>
      <c r="AS1121" s="1301"/>
      <c r="AT1121" s="1297"/>
      <c r="AU1121" s="1299"/>
      <c r="AV1121" s="1302"/>
    </row>
    <row r="1122" spans="1:48" ht="16.5" customHeight="1">
      <c r="A1122" s="1082"/>
      <c r="B1122" s="1082"/>
      <c r="C1122" s="1083"/>
      <c r="D1122" s="1038"/>
      <c r="E1122" s="1244"/>
      <c r="F1122" s="1138"/>
      <c r="G1122" s="1038"/>
      <c r="H1122" s="1092"/>
      <c r="I1122" s="1127"/>
      <c r="J1122" s="1128"/>
      <c r="K1122" s="1067"/>
      <c r="L1122" s="1235"/>
      <c r="M1122" s="1081"/>
      <c r="N1122" s="1082" t="s">
        <v>12</v>
      </c>
      <c r="O1122" s="1293" t="s">
        <v>1545</v>
      </c>
      <c r="P1122" s="1077"/>
      <c r="Q1122" s="1073">
        <v>19.600000000000001</v>
      </c>
      <c r="R1122" s="1074"/>
      <c r="S1122" s="1074"/>
      <c r="T1122" s="1080"/>
      <c r="U1122" s="1091"/>
      <c r="V1122" s="1185"/>
      <c r="W1122" s="1079"/>
      <c r="X1122" s="1078"/>
      <c r="Y1122" s="1039"/>
      <c r="Z1122" s="1615"/>
      <c r="AA1122" s="1074"/>
      <c r="AB1122" s="1063"/>
      <c r="AC1122" s="1075"/>
      <c r="AD1122" s="1091"/>
      <c r="AE1122" s="1076"/>
      <c r="AF1122" s="1296"/>
      <c r="AG1122" s="1297"/>
      <c r="AH1122" s="1298">
        <v>120000</v>
      </c>
      <c r="AI1122" s="1089">
        <f>AH1122*Q1122*0.5</f>
        <v>1176000</v>
      </c>
      <c r="AJ1122" s="1299"/>
      <c r="AK1122" s="1300"/>
      <c r="AL1122" s="1090"/>
      <c r="AM1122" s="1297"/>
      <c r="AN1122" s="1297"/>
      <c r="AO1122" s="1298"/>
      <c r="AP1122" s="1301"/>
      <c r="AQ1122" s="1298"/>
      <c r="AR1122" s="1301"/>
      <c r="AS1122" s="1301"/>
      <c r="AT1122" s="1297"/>
      <c r="AU1122" s="1299"/>
      <c r="AV1122" s="1302"/>
    </row>
    <row r="1123" spans="1:48" ht="16.5" customHeight="1">
      <c r="A1123" s="1082"/>
      <c r="B1123" s="1082"/>
      <c r="C1123" s="1083"/>
      <c r="D1123" s="1038"/>
      <c r="E1123" s="1244"/>
      <c r="F1123" s="1138"/>
      <c r="G1123" s="1038"/>
      <c r="H1123" s="1092"/>
      <c r="I1123" s="1127"/>
      <c r="J1123" s="1128"/>
      <c r="K1123" s="1067"/>
      <c r="L1123" s="1235"/>
      <c r="M1123" s="1081"/>
      <c r="N1123" s="1245" t="s">
        <v>8</v>
      </c>
      <c r="O1123" s="1191" t="s">
        <v>1544</v>
      </c>
      <c r="P1123" s="1077"/>
      <c r="Q1123" s="1073">
        <v>6</v>
      </c>
      <c r="R1123" s="1074"/>
      <c r="S1123" s="1074"/>
      <c r="T1123" s="1080"/>
      <c r="U1123" s="1091"/>
      <c r="V1123" s="1185"/>
      <c r="W1123" s="1079"/>
      <c r="X1123" s="1078"/>
      <c r="Y1123" s="1039"/>
      <c r="Z1123" s="1615"/>
      <c r="AA1123" s="1074"/>
      <c r="AB1123" s="1063"/>
      <c r="AC1123" s="1075"/>
      <c r="AD1123" s="1091"/>
      <c r="AE1123" s="1076"/>
      <c r="AF1123" s="1296"/>
      <c r="AG1123" s="1297"/>
      <c r="AH1123" s="1298">
        <v>125000</v>
      </c>
      <c r="AI1123" s="1089">
        <f>AH1123*Q1123*0.5</f>
        <v>375000</v>
      </c>
      <c r="AJ1123" s="1299"/>
      <c r="AK1123" s="1300"/>
      <c r="AL1123" s="1090"/>
      <c r="AM1123" s="1297"/>
      <c r="AN1123" s="1297"/>
      <c r="AO1123" s="1298"/>
      <c r="AP1123" s="1301"/>
      <c r="AQ1123" s="1298"/>
      <c r="AR1123" s="1301"/>
      <c r="AS1123" s="1301"/>
      <c r="AT1123" s="1297"/>
      <c r="AU1123" s="1299"/>
      <c r="AV1123" s="1302"/>
    </row>
    <row r="1124" spans="1:48" ht="16.5" customHeight="1">
      <c r="A1124" s="1082"/>
      <c r="B1124" s="1082"/>
      <c r="C1124" s="1244"/>
      <c r="D1124" s="1038"/>
      <c r="E1124" s="1244"/>
      <c r="F1124" s="1138"/>
      <c r="G1124" s="1038"/>
      <c r="H1124" s="1092"/>
      <c r="I1124" s="1127"/>
      <c r="J1124" s="1153"/>
      <c r="K1124" s="1101"/>
      <c r="L1124" s="1235"/>
      <c r="M1124" s="1081"/>
      <c r="N1124" s="1038"/>
      <c r="O1124" s="1293"/>
      <c r="P1124" s="1077"/>
      <c r="Q1124" s="1073"/>
      <c r="R1124" s="1074"/>
      <c r="S1124" s="1074"/>
      <c r="T1124" s="1080"/>
      <c r="U1124" s="1184"/>
      <c r="V1124" s="1185"/>
      <c r="W1124" s="1079"/>
      <c r="X1124" s="1078"/>
      <c r="Y1124" s="1039"/>
      <c r="Z1124" s="1183"/>
      <c r="AA1124" s="1074"/>
      <c r="AB1124" s="1063"/>
      <c r="AC1124" s="1075"/>
      <c r="AD1124" s="1091"/>
      <c r="AE1124" s="1076"/>
      <c r="AF1124" s="1296"/>
      <c r="AG1124" s="1116"/>
      <c r="AH1124" s="1298"/>
      <c r="AI1124" s="1117"/>
      <c r="AJ1124" s="1299"/>
      <c r="AK1124" s="1300"/>
      <c r="AL1124" s="1120"/>
      <c r="AM1124" s="1297"/>
      <c r="AN1124" s="1116"/>
      <c r="AO1124" s="1298"/>
      <c r="AP1124" s="1108"/>
      <c r="AQ1124" s="1307"/>
      <c r="AR1124" s="1310"/>
      <c r="AS1124" s="1310"/>
      <c r="AT1124" s="1116"/>
      <c r="AU1124" s="1118"/>
      <c r="AV1124" s="1302"/>
    </row>
    <row r="1125" spans="1:48" ht="16.5" customHeight="1">
      <c r="A1125" s="1269">
        <v>85</v>
      </c>
      <c r="B1125" s="1033" t="s">
        <v>25</v>
      </c>
      <c r="C1125" s="1036" t="s">
        <v>1542</v>
      </c>
      <c r="D1125" s="1033"/>
      <c r="E1125" s="1036"/>
      <c r="F1125" s="1375" t="s">
        <v>1541</v>
      </c>
      <c r="G1125" s="1272" t="s">
        <v>25</v>
      </c>
      <c r="H1125" s="1273" t="s">
        <v>1540</v>
      </c>
      <c r="I1125" s="1372">
        <v>321</v>
      </c>
      <c r="J1125" s="1043" t="s">
        <v>41</v>
      </c>
      <c r="K1125" s="1330" t="s">
        <v>1539</v>
      </c>
      <c r="L1125" s="1317"/>
      <c r="M1125" s="1318"/>
      <c r="N1125" s="1373" t="s">
        <v>25</v>
      </c>
      <c r="O1125" s="1556" t="s">
        <v>175</v>
      </c>
      <c r="P1125" s="1318"/>
      <c r="Q1125" s="1317">
        <v>63</v>
      </c>
      <c r="R1125" s="1034"/>
      <c r="S1125" s="1036"/>
      <c r="T1125" s="1053"/>
      <c r="U1125" s="1050"/>
      <c r="V1125" s="1047"/>
      <c r="W1125" s="1052"/>
      <c r="X1125" s="1051"/>
      <c r="Y1125" s="1036"/>
      <c r="Z1125" s="1614"/>
      <c r="AA1125" s="1318"/>
      <c r="AB1125" s="1318"/>
      <c r="AC1125" s="1317"/>
      <c r="AD1125" s="1318"/>
      <c r="AE1125" s="1317"/>
      <c r="AF1125" s="1333">
        <f>+Resum!F4</f>
        <v>204000</v>
      </c>
      <c r="AG1125" s="1086">
        <f>AF1125*I1125</f>
        <v>65484000</v>
      </c>
      <c r="AH1125" s="1590">
        <v>300000</v>
      </c>
      <c r="AI1125" s="1089">
        <f>AH1125*Q1125*0.5</f>
        <v>9450000</v>
      </c>
      <c r="AJ1125" s="1591">
        <f>SUM(AI1125:AI1130)</f>
        <v>170250000</v>
      </c>
      <c r="AK1125" s="1592"/>
      <c r="AL1125" s="1090"/>
      <c r="AM1125" s="1593"/>
      <c r="AN1125" s="1086">
        <f>AM1125+AJ1125+AG1125</f>
        <v>235734000</v>
      </c>
      <c r="AO1125" s="1590"/>
      <c r="AP1125" s="1136">
        <f>+(AG1125+AI1127)*15%</f>
        <v>33110100</v>
      </c>
      <c r="AQ1125" s="1087">
        <f>(AG1125+AI1127)*1%</f>
        <v>2207340</v>
      </c>
      <c r="AR1125" s="1136">
        <f>(AG1125+AI1127)*5%</f>
        <v>11036700</v>
      </c>
      <c r="AS1125" s="1087">
        <f>0.5%*(AG1125+AI1127)*(3)</f>
        <v>3311010</v>
      </c>
      <c r="AT1125" s="1086">
        <f>+AS1125+AR1125+AQ1125+AP1125+AO1125</f>
        <v>49665150</v>
      </c>
      <c r="AU1125" s="1137">
        <f>ROUND(AT1125+AN1125,-3)</f>
        <v>285399000</v>
      </c>
      <c r="AV1125" s="1374"/>
    </row>
    <row r="1126" spans="1:48" ht="16.5" customHeight="1">
      <c r="A1126" s="1082"/>
      <c r="B1126" s="1038" t="s">
        <v>16</v>
      </c>
      <c r="C1126" s="1071" t="s">
        <v>1538</v>
      </c>
      <c r="D1126" s="1038"/>
      <c r="E1126" s="1071"/>
      <c r="F1126" s="1138"/>
      <c r="G1126" s="1038" t="s">
        <v>16</v>
      </c>
      <c r="H1126" s="1039" t="s">
        <v>22</v>
      </c>
      <c r="I1126" s="1346"/>
      <c r="J1126" s="1069"/>
      <c r="K1126" s="1339"/>
      <c r="L1126" s="1320"/>
      <c r="M1126" s="1321"/>
      <c r="N1126" s="1245"/>
      <c r="O1126" s="1191"/>
      <c r="P1126" s="1321"/>
      <c r="Q1126" s="1320"/>
      <c r="R1126" s="1074"/>
      <c r="S1126" s="1039"/>
      <c r="T1126" s="1080"/>
      <c r="U1126" s="1077"/>
      <c r="V1126" s="1073"/>
      <c r="W1126" s="1079"/>
      <c r="X1126" s="1078"/>
      <c r="Y1126" s="1039"/>
      <c r="Z1126" s="1615"/>
      <c r="AA1126" s="1321"/>
      <c r="AB1126" s="1321"/>
      <c r="AC1126" s="1320"/>
      <c r="AD1126" s="1321"/>
      <c r="AE1126" s="1320"/>
      <c r="AF1126" s="1296"/>
      <c r="AG1126" s="1594"/>
      <c r="AH1126" s="1595"/>
      <c r="AI1126" s="1089">
        <f t="shared" ref="AI1126" si="104">AH1126*Q1126*0.5</f>
        <v>0</v>
      </c>
      <c r="AJ1126" s="1596"/>
      <c r="AK1126" s="1597"/>
      <c r="AL1126" s="1090"/>
      <c r="AM1126" s="1594"/>
      <c r="AN1126" s="1594"/>
      <c r="AO1126" s="1595"/>
      <c r="AP1126" s="1247"/>
      <c r="AQ1126" s="1595"/>
      <c r="AR1126" s="1247"/>
      <c r="AS1126" s="1247"/>
      <c r="AT1126" s="1594"/>
      <c r="AU1126" s="1596"/>
      <c r="AV1126" s="1247"/>
    </row>
    <row r="1127" spans="1:48" ht="33" customHeight="1">
      <c r="A1127" s="1082"/>
      <c r="B1127" s="1038" t="s">
        <v>18</v>
      </c>
      <c r="C1127" s="1039" t="s">
        <v>38</v>
      </c>
      <c r="D1127" s="1038"/>
      <c r="E1127" s="1039"/>
      <c r="F1127" s="1138"/>
      <c r="G1127" s="1038" t="s">
        <v>18</v>
      </c>
      <c r="H1127" s="1039" t="s">
        <v>19</v>
      </c>
      <c r="I1127" s="1346"/>
      <c r="J1127" s="1069"/>
      <c r="K1127" s="1339"/>
      <c r="L1127" s="1320"/>
      <c r="M1127" s="1321"/>
      <c r="N1127" s="1245" t="s">
        <v>25</v>
      </c>
      <c r="O1127" s="1293" t="s">
        <v>62</v>
      </c>
      <c r="P1127" s="1321"/>
      <c r="Q1127" s="1320">
        <v>115</v>
      </c>
      <c r="R1127" s="1074"/>
      <c r="S1127" s="1039"/>
      <c r="T1127" s="1080"/>
      <c r="U1127" s="1077"/>
      <c r="V1127" s="1073"/>
      <c r="W1127" s="1079"/>
      <c r="X1127" s="1078"/>
      <c r="Y1127" s="1039"/>
      <c r="Z1127" s="1615"/>
      <c r="AA1127" s="1321"/>
      <c r="AB1127" s="1321"/>
      <c r="AC1127" s="1320"/>
      <c r="AD1127" s="1321"/>
      <c r="AE1127" s="1320"/>
      <c r="AF1127" s="1296"/>
      <c r="AG1127" s="1594"/>
      <c r="AH1127" s="1595">
        <v>1800000</v>
      </c>
      <c r="AI1127" s="1089">
        <f>AH1127*Q1127*0.75</f>
        <v>155250000</v>
      </c>
      <c r="AJ1127" s="1596"/>
      <c r="AK1127" s="1597"/>
      <c r="AL1127" s="1090"/>
      <c r="AM1127" s="1594"/>
      <c r="AN1127" s="1594"/>
      <c r="AO1127" s="1595"/>
      <c r="AP1127" s="1247"/>
      <c r="AQ1127" s="1595"/>
      <c r="AR1127" s="1247"/>
      <c r="AS1127" s="1247"/>
      <c r="AT1127" s="1594"/>
      <c r="AU1127" s="1596"/>
      <c r="AV1127" s="1247"/>
    </row>
    <row r="1128" spans="1:48" ht="49.5" customHeight="1">
      <c r="A1128" s="1082"/>
      <c r="B1128" s="1082" t="s">
        <v>12</v>
      </c>
      <c r="C1128" s="1083" t="s">
        <v>210</v>
      </c>
      <c r="D1128" s="1038"/>
      <c r="E1128" s="1083"/>
      <c r="F1128" s="1138"/>
      <c r="G1128" s="1038"/>
      <c r="H1128" s="1092"/>
      <c r="I1128" s="1346"/>
      <c r="J1128" s="1069"/>
      <c r="K1128" s="1339"/>
      <c r="L1128" s="1320"/>
      <c r="M1128" s="1321"/>
      <c r="N1128" s="1245" t="s">
        <v>16</v>
      </c>
      <c r="O1128" s="1191" t="s">
        <v>21</v>
      </c>
      <c r="P1128" s="1321"/>
      <c r="Q1128" s="1320">
        <v>15</v>
      </c>
      <c r="R1128" s="1074"/>
      <c r="S1128" s="1074"/>
      <c r="T1128" s="1080"/>
      <c r="U1128" s="1077"/>
      <c r="V1128" s="1073"/>
      <c r="W1128" s="1079"/>
      <c r="X1128" s="1078"/>
      <c r="Y1128" s="1039"/>
      <c r="Z1128" s="1615"/>
      <c r="AA1128" s="1321"/>
      <c r="AB1128" s="1321"/>
      <c r="AC1128" s="1320"/>
      <c r="AD1128" s="1321"/>
      <c r="AE1128" s="1320"/>
      <c r="AF1128" s="1296"/>
      <c r="AG1128" s="1594"/>
      <c r="AH1128" s="1595">
        <v>350000</v>
      </c>
      <c r="AI1128" s="1089">
        <f>AH1128*Q1128*0.7</f>
        <v>3674999.9999999995</v>
      </c>
      <c r="AJ1128" s="1596"/>
      <c r="AK1128" s="1597"/>
      <c r="AL1128" s="1090"/>
      <c r="AM1128" s="1594"/>
      <c r="AN1128" s="1594"/>
      <c r="AO1128" s="1595"/>
      <c r="AP1128" s="1247"/>
      <c r="AQ1128" s="1595"/>
      <c r="AR1128" s="1247"/>
      <c r="AS1128" s="1247"/>
      <c r="AT1128" s="1594"/>
      <c r="AU1128" s="1596"/>
      <c r="AV1128" s="1247"/>
    </row>
    <row r="1129" spans="1:48" ht="16.5" customHeight="1">
      <c r="A1129" s="1082"/>
      <c r="B1129" s="1082" t="s">
        <v>8</v>
      </c>
      <c r="C1129" s="1147" t="s">
        <v>1537</v>
      </c>
      <c r="D1129" s="1038"/>
      <c r="E1129" s="1083"/>
      <c r="F1129" s="1138"/>
      <c r="G1129" s="1038"/>
      <c r="H1129" s="1092"/>
      <c r="I1129" s="1346"/>
      <c r="J1129" s="1069"/>
      <c r="K1129" s="1339"/>
      <c r="L1129" s="1320"/>
      <c r="M1129" s="1321"/>
      <c r="N1129" s="1245" t="s">
        <v>18</v>
      </c>
      <c r="O1129" s="1191" t="s">
        <v>11</v>
      </c>
      <c r="P1129" s="1321">
        <v>1</v>
      </c>
      <c r="Q1129" s="1320"/>
      <c r="R1129" s="1074"/>
      <c r="S1129" s="1074"/>
      <c r="T1129" s="1080"/>
      <c r="U1129" s="1077"/>
      <c r="V1129" s="1073"/>
      <c r="W1129" s="1079"/>
      <c r="X1129" s="1078"/>
      <c r="Y1129" s="1039"/>
      <c r="Z1129" s="1615"/>
      <c r="AA1129" s="1321"/>
      <c r="AB1129" s="1321"/>
      <c r="AC1129" s="1320"/>
      <c r="AD1129" s="1321"/>
      <c r="AE1129" s="1320"/>
      <c r="AF1129" s="1296"/>
      <c r="AG1129" s="1594"/>
      <c r="AH1129" s="1595">
        <v>2500000</v>
      </c>
      <c r="AI1129" s="1089">
        <f>AH1129*P1129*0.75</f>
        <v>1875000</v>
      </c>
      <c r="AJ1129" s="1596"/>
      <c r="AK1129" s="1597"/>
      <c r="AL1129" s="1090"/>
      <c r="AM1129" s="1594"/>
      <c r="AN1129" s="1594"/>
      <c r="AO1129" s="1595"/>
      <c r="AP1129" s="1247"/>
      <c r="AQ1129" s="1595"/>
      <c r="AR1129" s="1247"/>
      <c r="AS1129" s="1247"/>
      <c r="AT1129" s="1594"/>
      <c r="AU1129" s="1596"/>
      <c r="AV1129" s="1247"/>
    </row>
    <row r="1130" spans="1:48" ht="16.5" customHeight="1">
      <c r="A1130" s="1082"/>
      <c r="B1130" s="1082"/>
      <c r="C1130" s="1147"/>
      <c r="D1130" s="1038"/>
      <c r="E1130" s="1083"/>
      <c r="F1130" s="1138"/>
      <c r="G1130" s="1038"/>
      <c r="H1130" s="1092"/>
      <c r="I1130" s="1346"/>
      <c r="J1130" s="1069"/>
      <c r="K1130" s="1339"/>
      <c r="L1130" s="1320"/>
      <c r="M1130" s="1321"/>
      <c r="N1130" s="1245"/>
      <c r="O1130" s="1246"/>
      <c r="P1130" s="1321"/>
      <c r="Q1130" s="1320"/>
      <c r="R1130" s="1074"/>
      <c r="S1130" s="1074"/>
      <c r="T1130" s="1080"/>
      <c r="U1130" s="1077"/>
      <c r="V1130" s="1073"/>
      <c r="W1130" s="1079"/>
      <c r="X1130" s="1078"/>
      <c r="Y1130" s="1039"/>
      <c r="Z1130" s="1615"/>
      <c r="AA1130" s="1321"/>
      <c r="AB1130" s="1321"/>
      <c r="AC1130" s="1320"/>
      <c r="AD1130" s="1321"/>
      <c r="AE1130" s="1320"/>
      <c r="AF1130" s="1296"/>
      <c r="AG1130" s="1594"/>
      <c r="AH1130" s="1595"/>
      <c r="AI1130" s="1595"/>
      <c r="AJ1130" s="1596"/>
      <c r="AK1130" s="1597"/>
      <c r="AL1130" s="1090"/>
      <c r="AM1130" s="1594"/>
      <c r="AN1130" s="1594"/>
      <c r="AO1130" s="1595"/>
      <c r="AP1130" s="1247"/>
      <c r="AQ1130" s="1595"/>
      <c r="AR1130" s="1247"/>
      <c r="AS1130" s="1247"/>
      <c r="AT1130" s="1594"/>
      <c r="AU1130" s="1596"/>
      <c r="AV1130" s="1247"/>
    </row>
    <row r="1131" spans="1:48" ht="16.5" customHeight="1">
      <c r="A1131" s="1098"/>
      <c r="B1131" s="1095"/>
      <c r="C1131" s="1186"/>
      <c r="D1131" s="1095"/>
      <c r="E1131" s="1186"/>
      <c r="F1131" s="1150"/>
      <c r="G1131" s="1095"/>
      <c r="H1131" s="1099"/>
      <c r="I1131" s="1349"/>
      <c r="J1131" s="1103"/>
      <c r="K1131" s="1342"/>
      <c r="L1131" s="1549"/>
      <c r="M1131" s="1263"/>
      <c r="N1131" s="1270"/>
      <c r="O1131" s="1612"/>
      <c r="P1131" s="1263"/>
      <c r="Q1131" s="1549"/>
      <c r="R1131" s="1094"/>
      <c r="S1131" s="1094"/>
      <c r="T1131" s="1112"/>
      <c r="U1131" s="1151"/>
      <c r="V1131" s="1107"/>
      <c r="W1131" s="1111"/>
      <c r="X1131" s="1110"/>
      <c r="Y1131" s="1096"/>
      <c r="Z1131" s="1096"/>
      <c r="AA1131" s="1263"/>
      <c r="AB1131" s="1263"/>
      <c r="AC1131" s="1549"/>
      <c r="AD1131" s="1263"/>
      <c r="AE1131" s="1549"/>
      <c r="AF1131" s="1305"/>
      <c r="AG1131" s="1616"/>
      <c r="AH1131" s="1210"/>
      <c r="AI1131" s="1210"/>
      <c r="AJ1131" s="1605"/>
      <c r="AK1131" s="1620"/>
      <c r="AL1131" s="1120"/>
      <c r="AM1131" s="1616"/>
      <c r="AN1131" s="1616"/>
      <c r="AO1131" s="1210"/>
      <c r="AP1131" s="1264"/>
      <c r="AQ1131" s="1210"/>
      <c r="AR1131" s="1264"/>
      <c r="AS1131" s="1264"/>
      <c r="AT1131" s="1616"/>
      <c r="AU1131" s="1605"/>
      <c r="AV1131" s="1264"/>
    </row>
    <row r="1132" spans="1:48" ht="16.5" customHeight="1">
      <c r="A1132" s="1621">
        <v>86</v>
      </c>
      <c r="B1132" s="1622" t="s">
        <v>25</v>
      </c>
      <c r="C1132" s="1623" t="s">
        <v>1391</v>
      </c>
      <c r="D1132" s="1624"/>
      <c r="E1132" s="1625"/>
      <c r="F1132" s="1626" t="s">
        <v>1390</v>
      </c>
      <c r="G1132" s="1627" t="s">
        <v>25</v>
      </c>
      <c r="H1132" s="1628" t="s">
        <v>1340</v>
      </c>
      <c r="I1132" s="1629">
        <v>280</v>
      </c>
      <c r="J1132" s="1630" t="s">
        <v>41</v>
      </c>
      <c r="K1132" s="1631" t="s">
        <v>1389</v>
      </c>
      <c r="L1132" s="1373"/>
      <c r="M1132" s="1317"/>
      <c r="N1132" s="1632"/>
      <c r="O1132" s="1633"/>
      <c r="P1132" s="1634"/>
      <c r="Q1132" s="1632"/>
      <c r="R1132" s="1622" t="s">
        <v>25</v>
      </c>
      <c r="S1132" s="1625" t="s">
        <v>24</v>
      </c>
      <c r="T1132" s="1634">
        <v>1</v>
      </c>
      <c r="U1132" s="1635">
        <v>1</v>
      </c>
      <c r="V1132" s="1636" t="s">
        <v>58</v>
      </c>
      <c r="W1132" s="1637"/>
      <c r="X1132" s="1637">
        <v>2</v>
      </c>
      <c r="Y1132" s="1638"/>
      <c r="Z1132" s="1639">
        <f>SUM(W1132:Y1132)</f>
        <v>2</v>
      </c>
      <c r="AA1132" s="1624"/>
      <c r="AB1132" s="1628"/>
      <c r="AC1132" s="1640"/>
      <c r="AD1132" s="1641"/>
      <c r="AE1132" s="1641"/>
      <c r="AF1132" s="1056">
        <f>+Resum!F4</f>
        <v>204000</v>
      </c>
      <c r="AG1132" s="1086">
        <f>AF1132*I1132</f>
        <v>57120000</v>
      </c>
      <c r="AH1132" s="1642"/>
      <c r="AI1132" s="1642"/>
      <c r="AJ1132" s="1643"/>
      <c r="AK1132" s="1529">
        <v>150000</v>
      </c>
      <c r="AL1132" s="1090">
        <f>AK1132*X1132</f>
        <v>300000</v>
      </c>
      <c r="AM1132" s="1644">
        <f>SUM(AL1132:AL1147)</f>
        <v>1658750</v>
      </c>
      <c r="AN1132" s="1086">
        <f>AM1132+AJ1132+AG1132</f>
        <v>58778750</v>
      </c>
      <c r="AO1132" s="1642"/>
      <c r="AP1132" s="1136">
        <f>AI1133*15%</f>
        <v>0</v>
      </c>
      <c r="AQ1132" s="1087">
        <v>0</v>
      </c>
      <c r="AR1132" s="1136">
        <f>(AG1132+AI1132)*5%</f>
        <v>2856000</v>
      </c>
      <c r="AS1132" s="1087">
        <f>0.5%*(AG1132+AI1132)*(3)</f>
        <v>856800</v>
      </c>
      <c r="AT1132" s="1086">
        <f>+AS1132+AR1132+AQ1132+AP1132+AO1132</f>
        <v>3712800</v>
      </c>
      <c r="AU1132" s="1137">
        <f>ROUND(AT1132+AN1132,-3)</f>
        <v>62492000</v>
      </c>
      <c r="AV1132" s="1645"/>
    </row>
    <row r="1133" spans="1:48" ht="16.5" customHeight="1">
      <c r="A1133" s="1640"/>
      <c r="B1133" s="1646" t="s">
        <v>16</v>
      </c>
      <c r="C1133" s="1647" t="s">
        <v>1388</v>
      </c>
      <c r="D1133" s="1625"/>
      <c r="E1133" s="1633"/>
      <c r="F1133" s="1648"/>
      <c r="G1133" s="1625" t="s">
        <v>16</v>
      </c>
      <c r="H1133" s="1625" t="s">
        <v>22</v>
      </c>
      <c r="I1133" s="1629"/>
      <c r="J1133" s="1630"/>
      <c r="K1133" s="1631"/>
      <c r="L1133" s="1245"/>
      <c r="M1133" s="1320"/>
      <c r="N1133" s="1632"/>
      <c r="O1133" s="1633"/>
      <c r="P1133" s="1634"/>
      <c r="Q1133" s="1632"/>
      <c r="R1133" s="1646"/>
      <c r="S1133" s="1625"/>
      <c r="T1133" s="1634"/>
      <c r="U1133" s="1635"/>
      <c r="V1133" s="1636"/>
      <c r="W1133" s="1649"/>
      <c r="X1133" s="1650"/>
      <c r="Y1133" s="1623"/>
      <c r="Z1133" s="1651"/>
      <c r="AA1133" s="1625"/>
      <c r="AB1133" s="1628"/>
      <c r="AC1133" s="1640"/>
      <c r="AD1133" s="1640"/>
      <c r="AE1133" s="1640"/>
      <c r="AF1133" s="1085"/>
      <c r="AG1133" s="1652"/>
      <c r="AH1133" s="1653"/>
      <c r="AI1133" s="1653"/>
      <c r="AJ1133" s="1654"/>
      <c r="AK1133" s="1529"/>
      <c r="AL1133" s="1090"/>
      <c r="AM1133" s="1652"/>
      <c r="AN1133" s="1652"/>
      <c r="AO1133" s="1653"/>
      <c r="AP1133" s="1640"/>
      <c r="AQ1133" s="1653"/>
      <c r="AR1133" s="1640"/>
      <c r="AS1133" s="1640"/>
      <c r="AT1133" s="1652"/>
      <c r="AU1133" s="1654"/>
      <c r="AV1133" s="1655"/>
    </row>
    <row r="1134" spans="1:48" ht="16.5" customHeight="1">
      <c r="A1134" s="1640"/>
      <c r="B1134" s="1646" t="s">
        <v>18</v>
      </c>
      <c r="C1134" s="1623" t="s">
        <v>124</v>
      </c>
      <c r="D1134" s="1625"/>
      <c r="E1134" s="1625"/>
      <c r="F1134" s="1648"/>
      <c r="G1134" s="1625" t="s">
        <v>18</v>
      </c>
      <c r="H1134" s="1625" t="s">
        <v>19</v>
      </c>
      <c r="I1134" s="1629"/>
      <c r="J1134" s="1630"/>
      <c r="K1134" s="1631"/>
      <c r="L1134" s="1245"/>
      <c r="M1134" s="1320"/>
      <c r="N1134" s="1632"/>
      <c r="O1134" s="1633"/>
      <c r="P1134" s="1634"/>
      <c r="Q1134" s="1632"/>
      <c r="R1134" s="1646" t="s">
        <v>16</v>
      </c>
      <c r="S1134" s="1625" t="s">
        <v>15</v>
      </c>
      <c r="T1134" s="1634">
        <v>14</v>
      </c>
      <c r="U1134" s="1635">
        <v>1</v>
      </c>
      <c r="V1134" s="1636" t="s">
        <v>14</v>
      </c>
      <c r="W1134" s="1656">
        <v>2</v>
      </c>
      <c r="X1134" s="1656"/>
      <c r="Y1134" s="1657"/>
      <c r="Z1134" s="1639">
        <f>SUM(W1134:Y1134)</f>
        <v>2</v>
      </c>
      <c r="AA1134" s="1625"/>
      <c r="AB1134" s="1628"/>
      <c r="AC1134" s="1640"/>
      <c r="AD1134" s="1640"/>
      <c r="AE1134" s="1640"/>
      <c r="AF1134" s="1085"/>
      <c r="AG1134" s="1652"/>
      <c r="AH1134" s="1653"/>
      <c r="AI1134" s="1653"/>
      <c r="AJ1134" s="1654"/>
      <c r="AK1134" s="1089">
        <v>350000</v>
      </c>
      <c r="AL1134" s="1087">
        <f t="shared" si="99"/>
        <v>700000</v>
      </c>
      <c r="AM1134" s="1652"/>
      <c r="AN1134" s="1652"/>
      <c r="AO1134" s="1653"/>
      <c r="AP1134" s="1640"/>
      <c r="AQ1134" s="1653"/>
      <c r="AR1134" s="1640"/>
      <c r="AS1134" s="1640"/>
      <c r="AT1134" s="1652"/>
      <c r="AU1134" s="1654"/>
      <c r="AV1134" s="1655"/>
    </row>
    <row r="1135" spans="1:48" ht="66" customHeight="1">
      <c r="A1135" s="1640"/>
      <c r="B1135" s="1658" t="s">
        <v>12</v>
      </c>
      <c r="C1135" s="1659" t="s">
        <v>1387</v>
      </c>
      <c r="D1135" s="1625"/>
      <c r="E1135" s="1625"/>
      <c r="F1135" s="1648"/>
      <c r="G1135" s="1625"/>
      <c r="H1135" s="1625"/>
      <c r="I1135" s="1629"/>
      <c r="J1135" s="1630"/>
      <c r="K1135" s="1631"/>
      <c r="L1135" s="1245"/>
      <c r="M1135" s="1320"/>
      <c r="N1135" s="1632"/>
      <c r="O1135" s="1633"/>
      <c r="P1135" s="1634"/>
      <c r="Q1135" s="1632"/>
      <c r="R1135" s="1646"/>
      <c r="S1135" s="1625"/>
      <c r="T1135" s="1634"/>
      <c r="U1135" s="1635">
        <v>2</v>
      </c>
      <c r="V1135" s="1636" t="s">
        <v>48</v>
      </c>
      <c r="W1135" s="1660"/>
      <c r="X1135" s="1656">
        <v>15</v>
      </c>
      <c r="Y1135" s="1661"/>
      <c r="Z1135" s="1639">
        <f>SUM(W1135:Y1135)</f>
        <v>15</v>
      </c>
      <c r="AA1135" s="1625"/>
      <c r="AB1135" s="1628"/>
      <c r="AC1135" s="1640"/>
      <c r="AD1135" s="1640"/>
      <c r="AE1135" s="1640"/>
      <c r="AF1135" s="1085"/>
      <c r="AG1135" s="1652"/>
      <c r="AH1135" s="1653"/>
      <c r="AI1135" s="1653"/>
      <c r="AJ1135" s="1654"/>
      <c r="AK1135" s="1529">
        <v>10000</v>
      </c>
      <c r="AL1135" s="1090">
        <f>AK1135*X1135</f>
        <v>150000</v>
      </c>
      <c r="AM1135" s="1652"/>
      <c r="AN1135" s="1652"/>
      <c r="AO1135" s="1653"/>
      <c r="AP1135" s="1640"/>
      <c r="AQ1135" s="1653"/>
      <c r="AR1135" s="1640"/>
      <c r="AS1135" s="1640"/>
      <c r="AT1135" s="1652"/>
      <c r="AU1135" s="1654"/>
      <c r="AV1135" s="1655"/>
    </row>
    <row r="1136" spans="1:48" ht="16.5" customHeight="1">
      <c r="A1136" s="1640"/>
      <c r="B1136" s="1658" t="s">
        <v>8</v>
      </c>
      <c r="C1136" s="1662" t="s">
        <v>1386</v>
      </c>
      <c r="D1136" s="1625"/>
      <c r="E1136" s="1625"/>
      <c r="F1136" s="1648"/>
      <c r="G1136" s="1625"/>
      <c r="H1136" s="1625"/>
      <c r="I1136" s="1629"/>
      <c r="J1136" s="1630"/>
      <c r="K1136" s="1631"/>
      <c r="L1136" s="1245"/>
      <c r="M1136" s="1320"/>
      <c r="N1136" s="1632"/>
      <c r="O1136" s="1633"/>
      <c r="P1136" s="1634"/>
      <c r="Q1136" s="1632"/>
      <c r="R1136" s="1646"/>
      <c r="S1136" s="1625"/>
      <c r="T1136" s="1634"/>
      <c r="U1136" s="1635">
        <v>3</v>
      </c>
      <c r="V1136" s="1636" t="s">
        <v>1378</v>
      </c>
      <c r="W1136" s="1660"/>
      <c r="X1136" s="1656">
        <v>1</v>
      </c>
      <c r="Y1136" s="1661"/>
      <c r="Z1136" s="1639">
        <f>SUM(W1136:Y1136)</f>
        <v>1</v>
      </c>
      <c r="AA1136" s="1625"/>
      <c r="AB1136" s="1628"/>
      <c r="AC1136" s="1640"/>
      <c r="AD1136" s="1640"/>
      <c r="AE1136" s="1640"/>
      <c r="AF1136" s="1085"/>
      <c r="AG1136" s="1652"/>
      <c r="AH1136" s="1653"/>
      <c r="AI1136" s="1653"/>
      <c r="AJ1136" s="1654"/>
      <c r="AK1136" s="1529"/>
      <c r="AL1136" s="1090">
        <f t="shared" si="99"/>
        <v>0</v>
      </c>
      <c r="AM1136" s="1652"/>
      <c r="AN1136" s="1652"/>
      <c r="AO1136" s="1653"/>
      <c r="AP1136" s="1640"/>
      <c r="AQ1136" s="1653"/>
      <c r="AR1136" s="1640"/>
      <c r="AS1136" s="1640"/>
      <c r="AT1136" s="1652"/>
      <c r="AU1136" s="1654"/>
      <c r="AV1136" s="1655"/>
    </row>
    <row r="1137" spans="1:48" ht="16.5" customHeight="1">
      <c r="A1137" s="1640"/>
      <c r="B1137" s="1658"/>
      <c r="C1137" s="1662"/>
      <c r="D1137" s="1625"/>
      <c r="E1137" s="1625"/>
      <c r="F1137" s="1648"/>
      <c r="G1137" s="1625"/>
      <c r="H1137" s="1625"/>
      <c r="I1137" s="1629"/>
      <c r="J1137" s="1630"/>
      <c r="K1137" s="1631"/>
      <c r="L1137" s="1245"/>
      <c r="M1137" s="1320"/>
      <c r="N1137" s="1632"/>
      <c r="O1137" s="1633"/>
      <c r="P1137" s="1634"/>
      <c r="Q1137" s="1632"/>
      <c r="R1137" s="1646"/>
      <c r="S1137" s="1625"/>
      <c r="T1137" s="1634"/>
      <c r="U1137" s="1635">
        <v>4</v>
      </c>
      <c r="V1137" s="1636" t="s">
        <v>4</v>
      </c>
      <c r="W1137" s="1660"/>
      <c r="X1137" s="1656"/>
      <c r="Y1137" s="1663"/>
      <c r="Z1137" s="1664" t="s">
        <v>215</v>
      </c>
      <c r="AA1137" s="1625"/>
      <c r="AB1137" s="1628"/>
      <c r="AC1137" s="1640"/>
      <c r="AD1137" s="1640"/>
      <c r="AE1137" s="1640"/>
      <c r="AF1137" s="1085"/>
      <c r="AG1137" s="1652"/>
      <c r="AH1137" s="1653"/>
      <c r="AI1137" s="1653"/>
      <c r="AJ1137" s="1654"/>
      <c r="AK1137" s="1529">
        <v>150</v>
      </c>
      <c r="AL1137" s="1090">
        <f t="shared" si="99"/>
        <v>0</v>
      </c>
      <c r="AM1137" s="1652"/>
      <c r="AN1137" s="1652"/>
      <c r="AO1137" s="1653"/>
      <c r="AP1137" s="1640"/>
      <c r="AQ1137" s="1653"/>
      <c r="AR1137" s="1640"/>
      <c r="AS1137" s="1640"/>
      <c r="AT1137" s="1652"/>
      <c r="AU1137" s="1654"/>
      <c r="AV1137" s="1655"/>
    </row>
    <row r="1138" spans="1:48" ht="16.5" customHeight="1">
      <c r="A1138" s="1640"/>
      <c r="B1138" s="1658"/>
      <c r="C1138" s="1662"/>
      <c r="D1138" s="1625"/>
      <c r="E1138" s="1625"/>
      <c r="F1138" s="1648"/>
      <c r="G1138" s="1625"/>
      <c r="H1138" s="1625"/>
      <c r="I1138" s="1629"/>
      <c r="J1138" s="1630"/>
      <c r="K1138" s="1631"/>
      <c r="L1138" s="1245"/>
      <c r="M1138" s="1320"/>
      <c r="N1138" s="1632"/>
      <c r="O1138" s="1633"/>
      <c r="P1138" s="1634"/>
      <c r="Q1138" s="1632"/>
      <c r="R1138" s="1646"/>
      <c r="S1138" s="1625"/>
      <c r="T1138" s="1634"/>
      <c r="U1138" s="1635">
        <v>5</v>
      </c>
      <c r="V1138" s="1636" t="s">
        <v>265</v>
      </c>
      <c r="W1138" s="1660"/>
      <c r="X1138" s="1656">
        <v>1</v>
      </c>
      <c r="Y1138" s="1661"/>
      <c r="Z1138" s="1639">
        <f>SUM(W1138:Y1138)</f>
        <v>1</v>
      </c>
      <c r="AA1138" s="1625"/>
      <c r="AB1138" s="1628"/>
      <c r="AC1138" s="1640"/>
      <c r="AD1138" s="1640"/>
      <c r="AE1138" s="1640"/>
      <c r="AF1138" s="1085"/>
      <c r="AG1138" s="1652"/>
      <c r="AH1138" s="1653"/>
      <c r="AI1138" s="1653"/>
      <c r="AJ1138" s="1654"/>
      <c r="AK1138" s="1089">
        <v>66000</v>
      </c>
      <c r="AL1138" s="1090">
        <f>AK1138*X1138</f>
        <v>66000</v>
      </c>
      <c r="AM1138" s="1652"/>
      <c r="AN1138" s="1652"/>
      <c r="AO1138" s="1653"/>
      <c r="AP1138" s="1640"/>
      <c r="AQ1138" s="1653"/>
      <c r="AR1138" s="1640"/>
      <c r="AS1138" s="1640"/>
      <c r="AT1138" s="1652"/>
      <c r="AU1138" s="1654"/>
      <c r="AV1138" s="1655"/>
    </row>
    <row r="1139" spans="1:48" ht="16.5" customHeight="1">
      <c r="A1139" s="1640"/>
      <c r="B1139" s="1658"/>
      <c r="C1139" s="1662"/>
      <c r="D1139" s="1625"/>
      <c r="E1139" s="1625"/>
      <c r="F1139" s="1648"/>
      <c r="G1139" s="1625"/>
      <c r="H1139" s="1625"/>
      <c r="I1139" s="1629"/>
      <c r="J1139" s="1630"/>
      <c r="K1139" s="1631"/>
      <c r="L1139" s="1245"/>
      <c r="M1139" s="1320"/>
      <c r="N1139" s="1632"/>
      <c r="O1139" s="1633"/>
      <c r="P1139" s="1634"/>
      <c r="Q1139" s="1632"/>
      <c r="R1139" s="1646"/>
      <c r="S1139" s="1625"/>
      <c r="T1139" s="1634"/>
      <c r="U1139" s="1635">
        <v>6</v>
      </c>
      <c r="V1139" s="1636" t="s">
        <v>5</v>
      </c>
      <c r="W1139" s="1660">
        <v>3</v>
      </c>
      <c r="X1139" s="1656"/>
      <c r="Y1139" s="1661"/>
      <c r="Z1139" s="1639">
        <f>SUM(W1139:Y1139)</f>
        <v>3</v>
      </c>
      <c r="AA1139" s="1625"/>
      <c r="AB1139" s="1628"/>
      <c r="AC1139" s="1640"/>
      <c r="AD1139" s="1640"/>
      <c r="AE1139" s="1640"/>
      <c r="AF1139" s="1085"/>
      <c r="AG1139" s="1652"/>
      <c r="AH1139" s="1653"/>
      <c r="AI1139" s="1653"/>
      <c r="AJ1139" s="1654"/>
      <c r="AK1139" s="1529"/>
      <c r="AL1139" s="1090">
        <f t="shared" si="99"/>
        <v>0</v>
      </c>
      <c r="AM1139" s="1652"/>
      <c r="AN1139" s="1652"/>
      <c r="AO1139" s="1653"/>
      <c r="AP1139" s="1640"/>
      <c r="AQ1139" s="1653"/>
      <c r="AR1139" s="1640"/>
      <c r="AS1139" s="1640"/>
      <c r="AT1139" s="1652"/>
      <c r="AU1139" s="1654"/>
      <c r="AV1139" s="1655"/>
    </row>
    <row r="1140" spans="1:48" ht="16.5" customHeight="1">
      <c r="A1140" s="1640"/>
      <c r="B1140" s="1658"/>
      <c r="C1140" s="1662"/>
      <c r="D1140" s="1625"/>
      <c r="E1140" s="1625"/>
      <c r="F1140" s="1648"/>
      <c r="G1140" s="1625"/>
      <c r="H1140" s="1625"/>
      <c r="I1140" s="1629"/>
      <c r="J1140" s="1630"/>
      <c r="K1140" s="1631"/>
      <c r="L1140" s="1245"/>
      <c r="M1140" s="1320"/>
      <c r="N1140" s="1632"/>
      <c r="O1140" s="1633"/>
      <c r="P1140" s="1634"/>
      <c r="Q1140" s="1632"/>
      <c r="R1140" s="1646"/>
      <c r="S1140" s="1625"/>
      <c r="T1140" s="1634"/>
      <c r="U1140" s="1635">
        <v>7</v>
      </c>
      <c r="V1140" s="1636" t="s">
        <v>344</v>
      </c>
      <c r="W1140" s="1660">
        <v>1</v>
      </c>
      <c r="X1140" s="1656"/>
      <c r="Y1140" s="1661"/>
      <c r="Z1140" s="1639">
        <f>SUM(W1140:Y1140)</f>
        <v>1</v>
      </c>
      <c r="AA1140" s="1625"/>
      <c r="AB1140" s="1628"/>
      <c r="AC1140" s="1640"/>
      <c r="AD1140" s="1640"/>
      <c r="AE1140" s="1640"/>
      <c r="AF1140" s="1085"/>
      <c r="AG1140" s="1652"/>
      <c r="AH1140" s="1653"/>
      <c r="AI1140" s="1653"/>
      <c r="AJ1140" s="1654"/>
      <c r="AK1140" s="1529">
        <v>150000</v>
      </c>
      <c r="AL1140" s="1090">
        <f t="shared" si="99"/>
        <v>150000</v>
      </c>
      <c r="AM1140" s="1652"/>
      <c r="AN1140" s="1652"/>
      <c r="AO1140" s="1653"/>
      <c r="AP1140" s="1640"/>
      <c r="AQ1140" s="1653"/>
      <c r="AR1140" s="1640"/>
      <c r="AS1140" s="1640"/>
      <c r="AT1140" s="1652"/>
      <c r="AU1140" s="1654"/>
      <c r="AV1140" s="1655"/>
    </row>
    <row r="1141" spans="1:48" ht="16.5" customHeight="1">
      <c r="A1141" s="1640"/>
      <c r="B1141" s="1658"/>
      <c r="C1141" s="1662"/>
      <c r="D1141" s="1625"/>
      <c r="E1141" s="1625"/>
      <c r="F1141" s="1648"/>
      <c r="G1141" s="1625"/>
      <c r="H1141" s="1625"/>
      <c r="I1141" s="1629"/>
      <c r="J1141" s="1630"/>
      <c r="K1141" s="1631"/>
      <c r="L1141" s="1245"/>
      <c r="M1141" s="1320"/>
      <c r="N1141" s="1632"/>
      <c r="O1141" s="1633"/>
      <c r="P1141" s="1634"/>
      <c r="Q1141" s="1632"/>
      <c r="R1141" s="1646"/>
      <c r="S1141" s="1625"/>
      <c r="T1141" s="1634"/>
      <c r="U1141" s="1635">
        <v>8</v>
      </c>
      <c r="V1141" s="1636" t="s">
        <v>268</v>
      </c>
      <c r="W1141" s="1660"/>
      <c r="X1141" s="1656">
        <v>1</v>
      </c>
      <c r="Y1141" s="1661"/>
      <c r="Z1141" s="1639">
        <f>SUM(W1141:Y1141)</f>
        <v>1</v>
      </c>
      <c r="AA1141" s="1625"/>
      <c r="AB1141" s="1628"/>
      <c r="AC1141" s="1640"/>
      <c r="AD1141" s="1640"/>
      <c r="AE1141" s="1640"/>
      <c r="AF1141" s="1085"/>
      <c r="AG1141" s="1652"/>
      <c r="AH1141" s="1653"/>
      <c r="AI1141" s="1653"/>
      <c r="AJ1141" s="1654"/>
      <c r="AK1141" s="1529">
        <v>132000</v>
      </c>
      <c r="AL1141" s="1090">
        <f>AK1141*X1141</f>
        <v>132000</v>
      </c>
      <c r="AM1141" s="1652"/>
      <c r="AN1141" s="1652"/>
      <c r="AO1141" s="1653"/>
      <c r="AP1141" s="1640"/>
      <c r="AQ1141" s="1653"/>
      <c r="AR1141" s="1640"/>
      <c r="AS1141" s="1640"/>
      <c r="AT1141" s="1652"/>
      <c r="AU1141" s="1654"/>
      <c r="AV1141" s="1655"/>
    </row>
    <row r="1142" spans="1:48" ht="16.5" customHeight="1">
      <c r="A1142" s="1640"/>
      <c r="B1142" s="1658"/>
      <c r="C1142" s="1662"/>
      <c r="D1142" s="1625"/>
      <c r="E1142" s="1625"/>
      <c r="F1142" s="1648"/>
      <c r="G1142" s="1625"/>
      <c r="H1142" s="1625"/>
      <c r="I1142" s="1629"/>
      <c r="J1142" s="1630"/>
      <c r="K1142" s="1631"/>
      <c r="L1142" s="1245"/>
      <c r="M1142" s="1320"/>
      <c r="N1142" s="1632"/>
      <c r="O1142" s="1633"/>
      <c r="P1142" s="1634"/>
      <c r="Q1142" s="1632"/>
      <c r="R1142" s="1646"/>
      <c r="S1142" s="1625"/>
      <c r="T1142" s="1634"/>
      <c r="U1142" s="1635">
        <v>9</v>
      </c>
      <c r="V1142" s="1636" t="s">
        <v>0</v>
      </c>
      <c r="W1142" s="1660"/>
      <c r="X1142" s="1656"/>
      <c r="Y1142" s="1663"/>
      <c r="Z1142" s="1664" t="s">
        <v>215</v>
      </c>
      <c r="AA1142" s="1625"/>
      <c r="AB1142" s="1628"/>
      <c r="AC1142" s="1640"/>
      <c r="AD1142" s="1640"/>
      <c r="AE1142" s="1640"/>
      <c r="AF1142" s="1085"/>
      <c r="AG1142" s="1652"/>
      <c r="AH1142" s="1653"/>
      <c r="AI1142" s="1653"/>
      <c r="AJ1142" s="1654"/>
      <c r="AK1142" s="1529">
        <v>6000</v>
      </c>
      <c r="AL1142" s="1090">
        <f>AK1142*W1142</f>
        <v>0</v>
      </c>
      <c r="AM1142" s="1652"/>
      <c r="AN1142" s="1652"/>
      <c r="AO1142" s="1653"/>
      <c r="AP1142" s="1640"/>
      <c r="AQ1142" s="1653"/>
      <c r="AR1142" s="1640"/>
      <c r="AS1142" s="1640"/>
      <c r="AT1142" s="1652"/>
      <c r="AU1142" s="1654"/>
      <c r="AV1142" s="1655"/>
    </row>
    <row r="1143" spans="1:48" ht="16.5" customHeight="1">
      <c r="A1143" s="1640"/>
      <c r="B1143" s="1658"/>
      <c r="C1143" s="1662"/>
      <c r="D1143" s="1625"/>
      <c r="E1143" s="1625"/>
      <c r="F1143" s="1648"/>
      <c r="G1143" s="1625"/>
      <c r="H1143" s="1625"/>
      <c r="I1143" s="1629"/>
      <c r="J1143" s="1630"/>
      <c r="K1143" s="1631"/>
      <c r="L1143" s="1245"/>
      <c r="M1143" s="1320"/>
      <c r="N1143" s="1632"/>
      <c r="O1143" s="1633"/>
      <c r="P1143" s="1634"/>
      <c r="Q1143" s="1632"/>
      <c r="R1143" s="1646"/>
      <c r="S1143" s="1625"/>
      <c r="T1143" s="1634"/>
      <c r="U1143" s="1635">
        <v>10</v>
      </c>
      <c r="V1143" s="1636" t="s">
        <v>137</v>
      </c>
      <c r="W1143" s="1660"/>
      <c r="X1143" s="1656"/>
      <c r="Y1143" s="1661">
        <v>1</v>
      </c>
      <c r="Z1143" s="1639">
        <f>SUM(W1143:Y1143)</f>
        <v>1</v>
      </c>
      <c r="AA1143" s="1625"/>
      <c r="AB1143" s="1628"/>
      <c r="AC1143" s="1640"/>
      <c r="AD1143" s="1640"/>
      <c r="AE1143" s="1640"/>
      <c r="AF1143" s="1085"/>
      <c r="AG1143" s="1652"/>
      <c r="AH1143" s="1653"/>
      <c r="AI1143" s="1653"/>
      <c r="AJ1143" s="1654"/>
      <c r="AK1143" s="1529">
        <v>41250</v>
      </c>
      <c r="AL1143" s="1090">
        <f>AK1143*Y1143</f>
        <v>41250</v>
      </c>
      <c r="AM1143" s="1652"/>
      <c r="AN1143" s="1652"/>
      <c r="AO1143" s="1653"/>
      <c r="AP1143" s="1640"/>
      <c r="AQ1143" s="1653"/>
      <c r="AR1143" s="1640"/>
      <c r="AS1143" s="1640"/>
      <c r="AT1143" s="1652"/>
      <c r="AU1143" s="1654"/>
      <c r="AV1143" s="1655"/>
    </row>
    <row r="1144" spans="1:48" ht="16.5" customHeight="1">
      <c r="A1144" s="1640"/>
      <c r="B1144" s="1658"/>
      <c r="C1144" s="1662"/>
      <c r="D1144" s="1625"/>
      <c r="E1144" s="1625"/>
      <c r="F1144" s="1648"/>
      <c r="G1144" s="1625"/>
      <c r="H1144" s="1625"/>
      <c r="I1144" s="1629"/>
      <c r="J1144" s="1630"/>
      <c r="K1144" s="1631"/>
      <c r="L1144" s="1245"/>
      <c r="M1144" s="1320"/>
      <c r="N1144" s="1632"/>
      <c r="O1144" s="1633"/>
      <c r="P1144" s="1634"/>
      <c r="Q1144" s="1632"/>
      <c r="R1144" s="1646"/>
      <c r="S1144" s="1625"/>
      <c r="T1144" s="1634"/>
      <c r="U1144" s="1635">
        <v>11</v>
      </c>
      <c r="V1144" s="1636" t="s">
        <v>139</v>
      </c>
      <c r="W1144" s="1660"/>
      <c r="X1144" s="1656">
        <v>2</v>
      </c>
      <c r="Y1144" s="1661"/>
      <c r="Z1144" s="1639">
        <f>SUM(W1144:Y1144)</f>
        <v>2</v>
      </c>
      <c r="AA1144" s="1625"/>
      <c r="AB1144" s="1628"/>
      <c r="AC1144" s="1640"/>
      <c r="AD1144" s="1640"/>
      <c r="AE1144" s="1640"/>
      <c r="AF1144" s="1085"/>
      <c r="AG1144" s="1652"/>
      <c r="AH1144" s="1653"/>
      <c r="AI1144" s="1653"/>
      <c r="AJ1144" s="1654"/>
      <c r="AK1144" s="1529">
        <v>24750</v>
      </c>
      <c r="AL1144" s="1090">
        <f>AK1144*X1144</f>
        <v>49500</v>
      </c>
      <c r="AM1144" s="1652"/>
      <c r="AN1144" s="1652"/>
      <c r="AO1144" s="1653"/>
      <c r="AP1144" s="1640"/>
      <c r="AQ1144" s="1653"/>
      <c r="AR1144" s="1640"/>
      <c r="AS1144" s="1640"/>
      <c r="AT1144" s="1652"/>
      <c r="AU1144" s="1654"/>
      <c r="AV1144" s="1655"/>
    </row>
    <row r="1145" spans="1:48" ht="16.5" customHeight="1">
      <c r="A1145" s="1640"/>
      <c r="B1145" s="1646"/>
      <c r="C1145" s="1623"/>
      <c r="D1145" s="1625"/>
      <c r="E1145" s="1625"/>
      <c r="F1145" s="1648"/>
      <c r="G1145" s="1625"/>
      <c r="H1145" s="1625"/>
      <c r="I1145" s="1629"/>
      <c r="J1145" s="1630"/>
      <c r="K1145" s="1631"/>
      <c r="L1145" s="1245"/>
      <c r="M1145" s="1320"/>
      <c r="N1145" s="1632"/>
      <c r="O1145" s="1633"/>
      <c r="P1145" s="1634"/>
      <c r="Q1145" s="1632"/>
      <c r="R1145" s="1646"/>
      <c r="S1145" s="1625"/>
      <c r="T1145" s="1634"/>
      <c r="U1145" s="1635">
        <v>12</v>
      </c>
      <c r="V1145" s="1636" t="s">
        <v>848</v>
      </c>
      <c r="W1145" s="1660">
        <v>2</v>
      </c>
      <c r="X1145" s="1656"/>
      <c r="Y1145" s="1661"/>
      <c r="Z1145" s="1639">
        <f>SUM(W1145:Y1145)</f>
        <v>2</v>
      </c>
      <c r="AA1145" s="1625"/>
      <c r="AB1145" s="1628"/>
      <c r="AC1145" s="1640"/>
      <c r="AD1145" s="1640"/>
      <c r="AE1145" s="1640"/>
      <c r="AF1145" s="1085"/>
      <c r="AG1145" s="1652"/>
      <c r="AH1145" s="1653"/>
      <c r="AI1145" s="1653"/>
      <c r="AJ1145" s="1654"/>
      <c r="AK1145" s="1300">
        <v>25000</v>
      </c>
      <c r="AL1145" s="1090">
        <f t="shared" ref="AL1145:AL1204" si="105">AK1145*W1145</f>
        <v>50000</v>
      </c>
      <c r="AM1145" s="1652"/>
      <c r="AN1145" s="1652"/>
      <c r="AO1145" s="1653"/>
      <c r="AP1145" s="1640"/>
      <c r="AQ1145" s="1653"/>
      <c r="AR1145" s="1640"/>
      <c r="AS1145" s="1640"/>
      <c r="AT1145" s="1652"/>
      <c r="AU1145" s="1654"/>
      <c r="AV1145" s="1655"/>
    </row>
    <row r="1146" spans="1:48" ht="16.5" customHeight="1">
      <c r="A1146" s="1640"/>
      <c r="B1146" s="1646"/>
      <c r="C1146" s="1623"/>
      <c r="D1146" s="1625"/>
      <c r="E1146" s="1625"/>
      <c r="F1146" s="1648"/>
      <c r="G1146" s="1625"/>
      <c r="H1146" s="1625"/>
      <c r="I1146" s="1629"/>
      <c r="J1146" s="1630"/>
      <c r="K1146" s="1631"/>
      <c r="L1146" s="1245"/>
      <c r="M1146" s="1320"/>
      <c r="N1146" s="1632"/>
      <c r="O1146" s="1633"/>
      <c r="P1146" s="1634"/>
      <c r="Q1146" s="1632"/>
      <c r="R1146" s="1646"/>
      <c r="S1146" s="1625"/>
      <c r="T1146" s="1634"/>
      <c r="U1146" s="1635">
        <v>13</v>
      </c>
      <c r="V1146" s="1636" t="s">
        <v>143</v>
      </c>
      <c r="W1146" s="1660">
        <v>2</v>
      </c>
      <c r="X1146" s="1656"/>
      <c r="Y1146" s="1661"/>
      <c r="Z1146" s="1639">
        <f>SUM(W1146:Y1146)</f>
        <v>2</v>
      </c>
      <c r="AA1146" s="1625"/>
      <c r="AB1146" s="1628"/>
      <c r="AC1146" s="1640"/>
      <c r="AD1146" s="1640"/>
      <c r="AE1146" s="1640"/>
      <c r="AF1146" s="1085"/>
      <c r="AG1146" s="1652"/>
      <c r="AH1146" s="1653"/>
      <c r="AI1146" s="1653"/>
      <c r="AJ1146" s="1654"/>
      <c r="AK1146" s="1529">
        <v>10000</v>
      </c>
      <c r="AL1146" s="1090">
        <f t="shared" si="105"/>
        <v>20000</v>
      </c>
      <c r="AM1146" s="1652"/>
      <c r="AN1146" s="1652"/>
      <c r="AO1146" s="1653"/>
      <c r="AP1146" s="1640"/>
      <c r="AQ1146" s="1653"/>
      <c r="AR1146" s="1640"/>
      <c r="AS1146" s="1640"/>
      <c r="AT1146" s="1652"/>
      <c r="AU1146" s="1654"/>
      <c r="AV1146" s="1655"/>
    </row>
    <row r="1147" spans="1:48" ht="16.5" customHeight="1">
      <c r="A1147" s="1640"/>
      <c r="B1147" s="1665"/>
      <c r="C1147" s="1666"/>
      <c r="D1147" s="1625"/>
      <c r="E1147" s="1628"/>
      <c r="F1147" s="1648"/>
      <c r="G1147" s="1625"/>
      <c r="H1147" s="1667"/>
      <c r="I1147" s="1629"/>
      <c r="J1147" s="1630"/>
      <c r="K1147" s="1631"/>
      <c r="L1147" s="1245"/>
      <c r="M1147" s="1320"/>
      <c r="N1147" s="1632"/>
      <c r="O1147" s="1633"/>
      <c r="P1147" s="1634"/>
      <c r="Q1147" s="1632"/>
      <c r="R1147" s="1646"/>
      <c r="S1147" s="1633"/>
      <c r="T1147" s="1668"/>
      <c r="U1147" s="1635">
        <v>14</v>
      </c>
      <c r="V1147" s="1669" t="s">
        <v>240</v>
      </c>
      <c r="W1147" s="1670"/>
      <c r="X1147" s="1671"/>
      <c r="Y1147" s="1663"/>
      <c r="Z1147" s="1672" t="s">
        <v>1385</v>
      </c>
      <c r="AA1147" s="1625"/>
      <c r="AB1147" s="1633"/>
      <c r="AC1147" s="1634"/>
      <c r="AD1147" s="1640"/>
      <c r="AE1147" s="1640"/>
      <c r="AF1147" s="1085"/>
      <c r="AG1147" s="1652"/>
      <c r="AH1147" s="1653"/>
      <c r="AI1147" s="1653"/>
      <c r="AJ1147" s="1654"/>
      <c r="AK1147" s="1089">
        <v>10000</v>
      </c>
      <c r="AL1147" s="1090">
        <f t="shared" si="105"/>
        <v>0</v>
      </c>
      <c r="AM1147" s="1652"/>
      <c r="AN1147" s="1652"/>
      <c r="AO1147" s="1653"/>
      <c r="AP1147" s="1640"/>
      <c r="AQ1147" s="1653"/>
      <c r="AR1147" s="1640"/>
      <c r="AS1147" s="1640"/>
      <c r="AT1147" s="1652"/>
      <c r="AU1147" s="1654"/>
      <c r="AV1147" s="1655"/>
    </row>
    <row r="1148" spans="1:48" ht="16.5" customHeight="1">
      <c r="A1148" s="1673"/>
      <c r="B1148" s="1674"/>
      <c r="C1148" s="1675"/>
      <c r="D1148" s="1676"/>
      <c r="E1148" s="1677"/>
      <c r="F1148" s="1678"/>
      <c r="G1148" s="1676"/>
      <c r="H1148" s="1679"/>
      <c r="I1148" s="1680"/>
      <c r="J1148" s="1681"/>
      <c r="K1148" s="1682"/>
      <c r="L1148" s="1245"/>
      <c r="M1148" s="1320"/>
      <c r="N1148" s="1683"/>
      <c r="O1148" s="1684"/>
      <c r="P1148" s="1685"/>
      <c r="Q1148" s="1683"/>
      <c r="R1148" s="1686"/>
      <c r="S1148" s="1684"/>
      <c r="T1148" s="1687"/>
      <c r="U1148" s="1688"/>
      <c r="V1148" s="1689"/>
      <c r="W1148" s="1690"/>
      <c r="X1148" s="1691"/>
      <c r="Y1148" s="1692"/>
      <c r="Z1148" s="1693"/>
      <c r="AA1148" s="1676"/>
      <c r="AB1148" s="1684"/>
      <c r="AC1148" s="1685"/>
      <c r="AD1148" s="1673"/>
      <c r="AE1148" s="1673"/>
      <c r="AF1148" s="1115"/>
      <c r="AG1148" s="1694"/>
      <c r="AH1148" s="1695"/>
      <c r="AI1148" s="1695"/>
      <c r="AJ1148" s="1696"/>
      <c r="AK1148" s="1604"/>
      <c r="AL1148" s="1120"/>
      <c r="AM1148" s="1694"/>
      <c r="AN1148" s="1694"/>
      <c r="AO1148" s="1695"/>
      <c r="AP1148" s="1673"/>
      <c r="AQ1148" s="1695"/>
      <c r="AR1148" s="1673"/>
      <c r="AS1148" s="1673"/>
      <c r="AT1148" s="1694"/>
      <c r="AU1148" s="1696"/>
      <c r="AV1148" s="1697"/>
    </row>
    <row r="1149" spans="1:48" ht="16.5" customHeight="1">
      <c r="A1149" s="1698">
        <v>87</v>
      </c>
      <c r="B1149" s="1699" t="s">
        <v>25</v>
      </c>
      <c r="C1149" s="1700" t="s">
        <v>1384</v>
      </c>
      <c r="D1149" s="1701"/>
      <c r="E1149" s="1702"/>
      <c r="F1149" s="1703" t="s">
        <v>1383</v>
      </c>
      <c r="G1149" s="1704" t="s">
        <v>25</v>
      </c>
      <c r="H1149" s="1705" t="s">
        <v>1340</v>
      </c>
      <c r="I1149" s="1706">
        <v>280</v>
      </c>
      <c r="J1149" s="1783" t="s">
        <v>41</v>
      </c>
      <c r="K1149" s="1722" t="s">
        <v>1382</v>
      </c>
      <c r="L1149" s="1373"/>
      <c r="M1149" s="1317"/>
      <c r="N1149" s="1707"/>
      <c r="O1149" s="1708"/>
      <c r="P1149" s="1709"/>
      <c r="Q1149" s="1707"/>
      <c r="R1149" s="1699" t="s">
        <v>25</v>
      </c>
      <c r="S1149" s="1702" t="s">
        <v>24</v>
      </c>
      <c r="T1149" s="1709">
        <v>1</v>
      </c>
      <c r="U1149" s="1710">
        <v>1</v>
      </c>
      <c r="V1149" s="1711" t="s">
        <v>58</v>
      </c>
      <c r="W1149" s="1712"/>
      <c r="X1149" s="1713">
        <v>2</v>
      </c>
      <c r="Y1149" s="1700"/>
      <c r="Z1149" s="1761">
        <f>SUM(W1149:Y1149)</f>
        <v>2</v>
      </c>
      <c r="AA1149" s="1701"/>
      <c r="AB1149" s="1705"/>
      <c r="AC1149" s="1641"/>
      <c r="AD1149" s="1641"/>
      <c r="AE1149" s="1641"/>
      <c r="AF1149" s="1056">
        <f>Resum!F1</f>
        <v>356000</v>
      </c>
      <c r="AG1149" s="1057">
        <f>AF1149*I1149</f>
        <v>99680000</v>
      </c>
      <c r="AH1149" s="1642"/>
      <c r="AI1149" s="1642"/>
      <c r="AJ1149" s="1643"/>
      <c r="AK1149" s="1725">
        <v>150000</v>
      </c>
      <c r="AL1149" s="1061">
        <f>AK1149*X1149</f>
        <v>300000</v>
      </c>
      <c r="AM1149" s="1644">
        <f>SUM(AL1149:AL1158)</f>
        <v>1124500</v>
      </c>
      <c r="AN1149" s="1057">
        <f>AM1149+AJ1149+AG1149</f>
        <v>100804500</v>
      </c>
      <c r="AO1149" s="1642"/>
      <c r="AP1149" s="1548">
        <f>AI1150*15%</f>
        <v>0</v>
      </c>
      <c r="AQ1149" s="1058">
        <v>0</v>
      </c>
      <c r="AR1149" s="1548">
        <f>(AG1149+AI1149)*5%</f>
        <v>4984000</v>
      </c>
      <c r="AS1149" s="1058">
        <f>0.5%*(AG1149+AI1149)*(3)</f>
        <v>1495200</v>
      </c>
      <c r="AT1149" s="1057">
        <f>+AS1149+AR1149+AQ1149+AP1149+AO1149</f>
        <v>6479200</v>
      </c>
      <c r="AU1149" s="2015">
        <f>ROUND(AT1149+AN1149,-3)</f>
        <v>107284000</v>
      </c>
      <c r="AV1149" s="1645"/>
    </row>
    <row r="1150" spans="1:48" ht="16.5" customHeight="1">
      <c r="A1150" s="1640"/>
      <c r="B1150" s="1646" t="s">
        <v>16</v>
      </c>
      <c r="C1150" s="1647" t="s">
        <v>1381</v>
      </c>
      <c r="D1150" s="1625"/>
      <c r="E1150" s="1633"/>
      <c r="F1150" s="1648"/>
      <c r="G1150" s="1625" t="s">
        <v>16</v>
      </c>
      <c r="H1150" s="1625" t="s">
        <v>22</v>
      </c>
      <c r="I1150" s="1629"/>
      <c r="J1150" s="1630"/>
      <c r="K1150" s="1631"/>
      <c r="L1150" s="1245"/>
      <c r="M1150" s="1320"/>
      <c r="N1150" s="1632"/>
      <c r="O1150" s="1633"/>
      <c r="P1150" s="1634"/>
      <c r="Q1150" s="1632"/>
      <c r="R1150" s="1646"/>
      <c r="S1150" s="1625"/>
      <c r="T1150" s="1634"/>
      <c r="U1150" s="1635"/>
      <c r="V1150" s="1636"/>
      <c r="W1150" s="1714"/>
      <c r="X1150" s="1650"/>
      <c r="Y1150" s="1623"/>
      <c r="Z1150" s="1651"/>
      <c r="AA1150" s="1625"/>
      <c r="AB1150" s="1628"/>
      <c r="AC1150" s="1640"/>
      <c r="AD1150" s="1640"/>
      <c r="AE1150" s="1640"/>
      <c r="AF1150" s="1085"/>
      <c r="AG1150" s="1652"/>
      <c r="AH1150" s="1653"/>
      <c r="AI1150" s="1653"/>
      <c r="AJ1150" s="1654"/>
      <c r="AK1150" s="1529"/>
      <c r="AL1150" s="1090">
        <f t="shared" si="105"/>
        <v>0</v>
      </c>
      <c r="AM1150" s="1652"/>
      <c r="AN1150" s="1652"/>
      <c r="AO1150" s="1653"/>
      <c r="AP1150" s="1640"/>
      <c r="AQ1150" s="1653"/>
      <c r="AR1150" s="1640"/>
      <c r="AS1150" s="1640"/>
      <c r="AT1150" s="1652"/>
      <c r="AU1150" s="1654"/>
      <c r="AV1150" s="1655"/>
    </row>
    <row r="1151" spans="1:48" ht="16.5" customHeight="1">
      <c r="A1151" s="1640"/>
      <c r="B1151" s="1646" t="s">
        <v>18</v>
      </c>
      <c r="C1151" s="1623" t="s">
        <v>1380</v>
      </c>
      <c r="D1151" s="1625"/>
      <c r="E1151" s="1625"/>
      <c r="F1151" s="1648"/>
      <c r="G1151" s="1625" t="s">
        <v>18</v>
      </c>
      <c r="H1151" s="1625" t="s">
        <v>19</v>
      </c>
      <c r="I1151" s="1629"/>
      <c r="J1151" s="1630"/>
      <c r="K1151" s="1631"/>
      <c r="L1151" s="1245"/>
      <c r="M1151" s="1320"/>
      <c r="N1151" s="1632"/>
      <c r="O1151" s="1633"/>
      <c r="P1151" s="1634"/>
      <c r="Q1151" s="1632"/>
      <c r="R1151" s="1646" t="s">
        <v>16</v>
      </c>
      <c r="S1151" s="1625" t="s">
        <v>15</v>
      </c>
      <c r="T1151" s="1634">
        <v>8</v>
      </c>
      <c r="U1151" s="1715">
        <v>1</v>
      </c>
      <c r="V1151" s="1636" t="s">
        <v>14</v>
      </c>
      <c r="W1151" s="1714">
        <v>1</v>
      </c>
      <c r="X1151" s="1650"/>
      <c r="Y1151" s="1623"/>
      <c r="Z1151" s="1672">
        <f>SUM(W1151:Y1151)</f>
        <v>1</v>
      </c>
      <c r="AA1151" s="1625"/>
      <c r="AB1151" s="1628"/>
      <c r="AC1151" s="1640"/>
      <c r="AD1151" s="1640"/>
      <c r="AE1151" s="1640"/>
      <c r="AF1151" s="1085"/>
      <c r="AG1151" s="1652"/>
      <c r="AH1151" s="1653"/>
      <c r="AI1151" s="1653"/>
      <c r="AJ1151" s="1654"/>
      <c r="AK1151" s="1089">
        <v>350000</v>
      </c>
      <c r="AL1151" s="1087">
        <f t="shared" si="105"/>
        <v>350000</v>
      </c>
      <c r="AM1151" s="1652"/>
      <c r="AN1151" s="1652"/>
      <c r="AO1151" s="1653"/>
      <c r="AP1151" s="1640"/>
      <c r="AQ1151" s="1653"/>
      <c r="AR1151" s="1640"/>
      <c r="AS1151" s="1640"/>
      <c r="AT1151" s="1652"/>
      <c r="AU1151" s="1654"/>
      <c r="AV1151" s="1655"/>
    </row>
    <row r="1152" spans="1:48" ht="49.5" customHeight="1">
      <c r="A1152" s="1640"/>
      <c r="B1152" s="1658" t="s">
        <v>12</v>
      </c>
      <c r="C1152" s="1659" t="s">
        <v>1379</v>
      </c>
      <c r="D1152" s="1625"/>
      <c r="E1152" s="1625"/>
      <c r="F1152" s="1648"/>
      <c r="G1152" s="1625"/>
      <c r="H1152" s="1625"/>
      <c r="I1152" s="1629"/>
      <c r="J1152" s="1630"/>
      <c r="K1152" s="1631"/>
      <c r="L1152" s="1245"/>
      <c r="M1152" s="1320"/>
      <c r="N1152" s="1632"/>
      <c r="O1152" s="1633"/>
      <c r="P1152" s="1634"/>
      <c r="Q1152" s="1632"/>
      <c r="R1152" s="1646"/>
      <c r="S1152" s="1625"/>
      <c r="T1152" s="1634"/>
      <c r="U1152" s="1715">
        <v>2</v>
      </c>
      <c r="V1152" s="1636" t="s">
        <v>1378</v>
      </c>
      <c r="W1152" s="1714"/>
      <c r="X1152" s="1650">
        <v>1</v>
      </c>
      <c r="Y1152" s="1623"/>
      <c r="Z1152" s="1672">
        <f>SUM(W1152:Y1152)</f>
        <v>1</v>
      </c>
      <c r="AA1152" s="1625"/>
      <c r="AB1152" s="1628"/>
      <c r="AC1152" s="1640"/>
      <c r="AD1152" s="1640"/>
      <c r="AE1152" s="1640"/>
      <c r="AF1152" s="1085"/>
      <c r="AG1152" s="1652"/>
      <c r="AH1152" s="1653"/>
      <c r="AI1152" s="1653"/>
      <c r="AJ1152" s="1654"/>
      <c r="AK1152" s="1529"/>
      <c r="AL1152" s="1090">
        <f t="shared" si="105"/>
        <v>0</v>
      </c>
      <c r="AM1152" s="1652"/>
      <c r="AN1152" s="1652"/>
      <c r="AO1152" s="1653"/>
      <c r="AP1152" s="1640"/>
      <c r="AQ1152" s="1653"/>
      <c r="AR1152" s="1640"/>
      <c r="AS1152" s="1640"/>
      <c r="AT1152" s="1652"/>
      <c r="AU1152" s="1654"/>
      <c r="AV1152" s="1655"/>
    </row>
    <row r="1153" spans="1:48" ht="16.5" customHeight="1">
      <c r="A1153" s="1640"/>
      <c r="B1153" s="1646" t="s">
        <v>8</v>
      </c>
      <c r="C1153" s="1716" t="s">
        <v>1377</v>
      </c>
      <c r="D1153" s="1625"/>
      <c r="E1153" s="1625"/>
      <c r="F1153" s="1648"/>
      <c r="G1153" s="1625"/>
      <c r="H1153" s="1625"/>
      <c r="I1153" s="1629"/>
      <c r="J1153" s="1630"/>
      <c r="K1153" s="1631"/>
      <c r="L1153" s="1245"/>
      <c r="M1153" s="1320"/>
      <c r="N1153" s="1632"/>
      <c r="O1153" s="1633"/>
      <c r="P1153" s="1634"/>
      <c r="Q1153" s="1632"/>
      <c r="R1153" s="1646"/>
      <c r="S1153" s="1625"/>
      <c r="T1153" s="1634"/>
      <c r="U1153" s="1715">
        <v>3</v>
      </c>
      <c r="V1153" s="1636" t="s">
        <v>4</v>
      </c>
      <c r="W1153" s="1714"/>
      <c r="X1153" s="1650"/>
      <c r="Y1153" s="1623"/>
      <c r="Z1153" s="1672" t="s">
        <v>215</v>
      </c>
      <c r="AA1153" s="1625"/>
      <c r="AB1153" s="1628"/>
      <c r="AC1153" s="1640"/>
      <c r="AD1153" s="1640"/>
      <c r="AE1153" s="1640"/>
      <c r="AF1153" s="1085"/>
      <c r="AG1153" s="1652"/>
      <c r="AH1153" s="1653"/>
      <c r="AI1153" s="1653"/>
      <c r="AJ1153" s="1654"/>
      <c r="AK1153" s="1529"/>
      <c r="AL1153" s="1090">
        <f t="shared" si="105"/>
        <v>0</v>
      </c>
      <c r="AM1153" s="1652"/>
      <c r="AN1153" s="1652"/>
      <c r="AO1153" s="1653"/>
      <c r="AP1153" s="1640"/>
      <c r="AQ1153" s="1653"/>
      <c r="AR1153" s="1640"/>
      <c r="AS1153" s="1640"/>
      <c r="AT1153" s="1652"/>
      <c r="AU1153" s="1654"/>
      <c r="AV1153" s="1655"/>
    </row>
    <row r="1154" spans="1:48" ht="16.5" customHeight="1">
      <c r="A1154" s="1640"/>
      <c r="B1154" s="1646"/>
      <c r="C1154" s="1623"/>
      <c r="D1154" s="1625"/>
      <c r="E1154" s="1625"/>
      <c r="F1154" s="1648"/>
      <c r="G1154" s="1625"/>
      <c r="H1154" s="1625"/>
      <c r="I1154" s="1629"/>
      <c r="J1154" s="1630"/>
      <c r="K1154" s="1631"/>
      <c r="L1154" s="1245"/>
      <c r="M1154" s="1320"/>
      <c r="N1154" s="1632"/>
      <c r="O1154" s="1633"/>
      <c r="P1154" s="1634"/>
      <c r="Q1154" s="1632"/>
      <c r="R1154" s="1646"/>
      <c r="S1154" s="1625"/>
      <c r="T1154" s="1634"/>
      <c r="U1154" s="1715">
        <v>4</v>
      </c>
      <c r="V1154" s="1636" t="s">
        <v>265</v>
      </c>
      <c r="W1154" s="1714"/>
      <c r="X1154" s="1650">
        <v>1</v>
      </c>
      <c r="Y1154" s="1623"/>
      <c r="Z1154" s="1672">
        <f>SUM(W1154:Y1154)</f>
        <v>1</v>
      </c>
      <c r="AA1154" s="1625"/>
      <c r="AB1154" s="1628"/>
      <c r="AC1154" s="1640"/>
      <c r="AD1154" s="1640"/>
      <c r="AE1154" s="1640"/>
      <c r="AF1154" s="1085"/>
      <c r="AG1154" s="1652"/>
      <c r="AH1154" s="1653"/>
      <c r="AI1154" s="1653"/>
      <c r="AJ1154" s="1654"/>
      <c r="AK1154" s="1089">
        <v>66000</v>
      </c>
      <c r="AL1154" s="1090">
        <f>AK1154*X1154</f>
        <v>66000</v>
      </c>
      <c r="AM1154" s="1652"/>
      <c r="AN1154" s="1652"/>
      <c r="AO1154" s="1653"/>
      <c r="AP1154" s="1640"/>
      <c r="AQ1154" s="1653"/>
      <c r="AR1154" s="1640"/>
      <c r="AS1154" s="1640"/>
      <c r="AT1154" s="1652"/>
      <c r="AU1154" s="1654"/>
      <c r="AV1154" s="1655"/>
    </row>
    <row r="1155" spans="1:48" ht="16.5" customHeight="1">
      <c r="A1155" s="1640"/>
      <c r="B1155" s="1646"/>
      <c r="C1155" s="1623"/>
      <c r="D1155" s="1625"/>
      <c r="E1155" s="1625"/>
      <c r="F1155" s="1648"/>
      <c r="G1155" s="1625"/>
      <c r="H1155" s="1625"/>
      <c r="I1155" s="1629"/>
      <c r="J1155" s="1630"/>
      <c r="K1155" s="1631"/>
      <c r="L1155" s="1245"/>
      <c r="M1155" s="1320"/>
      <c r="N1155" s="1632"/>
      <c r="O1155" s="1633"/>
      <c r="P1155" s="1634"/>
      <c r="Q1155" s="1632"/>
      <c r="R1155" s="1646"/>
      <c r="S1155" s="1625"/>
      <c r="T1155" s="1634"/>
      <c r="U1155" s="1715">
        <v>5</v>
      </c>
      <c r="V1155" s="1636" t="s">
        <v>268</v>
      </c>
      <c r="W1155" s="1714"/>
      <c r="X1155" s="1650">
        <v>2</v>
      </c>
      <c r="Y1155" s="1623"/>
      <c r="Z1155" s="1672">
        <f>SUM(W1155:Y1155)</f>
        <v>2</v>
      </c>
      <c r="AA1155" s="1625"/>
      <c r="AB1155" s="1628"/>
      <c r="AC1155" s="1640"/>
      <c r="AD1155" s="1640"/>
      <c r="AE1155" s="1640"/>
      <c r="AF1155" s="1085"/>
      <c r="AG1155" s="1652"/>
      <c r="AH1155" s="1653"/>
      <c r="AI1155" s="1653"/>
      <c r="AJ1155" s="1654"/>
      <c r="AK1155" s="1529">
        <v>132000</v>
      </c>
      <c r="AL1155" s="1090">
        <f>AK1155*X1155</f>
        <v>264000</v>
      </c>
      <c r="AM1155" s="1652"/>
      <c r="AN1155" s="1652"/>
      <c r="AO1155" s="1653"/>
      <c r="AP1155" s="1640"/>
      <c r="AQ1155" s="1653"/>
      <c r="AR1155" s="1640"/>
      <c r="AS1155" s="1640"/>
      <c r="AT1155" s="1652"/>
      <c r="AU1155" s="1654"/>
      <c r="AV1155" s="1655"/>
    </row>
    <row r="1156" spans="1:48" ht="16.5" customHeight="1">
      <c r="A1156" s="1640"/>
      <c r="B1156" s="1646"/>
      <c r="C1156" s="1623"/>
      <c r="D1156" s="1625"/>
      <c r="E1156" s="1625"/>
      <c r="F1156" s="1648"/>
      <c r="G1156" s="1625"/>
      <c r="H1156" s="1625"/>
      <c r="I1156" s="1629"/>
      <c r="J1156" s="1630"/>
      <c r="K1156" s="1631"/>
      <c r="L1156" s="1245"/>
      <c r="M1156" s="1320"/>
      <c r="N1156" s="1632"/>
      <c r="O1156" s="1633"/>
      <c r="P1156" s="1634"/>
      <c r="Q1156" s="1632"/>
      <c r="R1156" s="1646"/>
      <c r="S1156" s="1625"/>
      <c r="T1156" s="1634"/>
      <c r="U1156" s="1715">
        <v>6</v>
      </c>
      <c r="V1156" s="1636" t="s">
        <v>139</v>
      </c>
      <c r="W1156" s="1714"/>
      <c r="X1156" s="1650">
        <v>2</v>
      </c>
      <c r="Y1156" s="1623"/>
      <c r="Z1156" s="1672">
        <f>SUM(W1156:Y1156)</f>
        <v>2</v>
      </c>
      <c r="AA1156" s="1625"/>
      <c r="AB1156" s="1628"/>
      <c r="AC1156" s="1640"/>
      <c r="AD1156" s="1640"/>
      <c r="AE1156" s="1640"/>
      <c r="AF1156" s="1085"/>
      <c r="AG1156" s="1652"/>
      <c r="AH1156" s="1653"/>
      <c r="AI1156" s="1653"/>
      <c r="AJ1156" s="1654"/>
      <c r="AK1156" s="1529">
        <v>24750</v>
      </c>
      <c r="AL1156" s="1090">
        <f>AK1156*X1156</f>
        <v>49500</v>
      </c>
      <c r="AM1156" s="1652"/>
      <c r="AN1156" s="1652"/>
      <c r="AO1156" s="1653"/>
      <c r="AP1156" s="1640"/>
      <c r="AQ1156" s="1653"/>
      <c r="AR1156" s="1640"/>
      <c r="AS1156" s="1640"/>
      <c r="AT1156" s="1652"/>
      <c r="AU1156" s="1654"/>
      <c r="AV1156" s="1655"/>
    </row>
    <row r="1157" spans="1:48" ht="16.5" customHeight="1">
      <c r="A1157" s="1640"/>
      <c r="B1157" s="1646"/>
      <c r="C1157" s="1623"/>
      <c r="D1157" s="1625"/>
      <c r="E1157" s="1625"/>
      <c r="F1157" s="1648"/>
      <c r="G1157" s="1625"/>
      <c r="H1157" s="1625"/>
      <c r="I1157" s="1629"/>
      <c r="J1157" s="1630"/>
      <c r="K1157" s="1631"/>
      <c r="L1157" s="1245"/>
      <c r="M1157" s="1320"/>
      <c r="N1157" s="1632"/>
      <c r="O1157" s="1633"/>
      <c r="P1157" s="1634"/>
      <c r="Q1157" s="1632"/>
      <c r="R1157" s="1646"/>
      <c r="S1157" s="1625"/>
      <c r="T1157" s="1634"/>
      <c r="U1157" s="1715">
        <v>7</v>
      </c>
      <c r="V1157" s="1636" t="s">
        <v>848</v>
      </c>
      <c r="W1157" s="1714">
        <v>3</v>
      </c>
      <c r="X1157" s="1650"/>
      <c r="Y1157" s="1623"/>
      <c r="Z1157" s="1672">
        <f>SUM(W1157:Y1157)</f>
        <v>3</v>
      </c>
      <c r="AA1157" s="1625"/>
      <c r="AB1157" s="1628"/>
      <c r="AC1157" s="1640"/>
      <c r="AD1157" s="1640"/>
      <c r="AE1157" s="1640"/>
      <c r="AF1157" s="1085"/>
      <c r="AG1157" s="1652"/>
      <c r="AH1157" s="1653"/>
      <c r="AI1157" s="1653"/>
      <c r="AJ1157" s="1654"/>
      <c r="AK1157" s="1300">
        <v>25000</v>
      </c>
      <c r="AL1157" s="1090">
        <f t="shared" si="105"/>
        <v>75000</v>
      </c>
      <c r="AM1157" s="1652"/>
      <c r="AN1157" s="1652"/>
      <c r="AO1157" s="1653"/>
      <c r="AP1157" s="1640"/>
      <c r="AQ1157" s="1653"/>
      <c r="AR1157" s="1640"/>
      <c r="AS1157" s="1640"/>
      <c r="AT1157" s="1652"/>
      <c r="AU1157" s="1654"/>
      <c r="AV1157" s="1655"/>
    </row>
    <row r="1158" spans="1:48" ht="16.5" customHeight="1">
      <c r="A1158" s="1640"/>
      <c r="B1158" s="1665"/>
      <c r="C1158" s="1666"/>
      <c r="D1158" s="1625"/>
      <c r="E1158" s="1628"/>
      <c r="F1158" s="1648"/>
      <c r="G1158" s="1625"/>
      <c r="H1158" s="1667"/>
      <c r="I1158" s="1629"/>
      <c r="J1158" s="1630"/>
      <c r="K1158" s="1631"/>
      <c r="L1158" s="1245"/>
      <c r="M1158" s="1320"/>
      <c r="N1158" s="1632"/>
      <c r="O1158" s="1633"/>
      <c r="P1158" s="1634"/>
      <c r="Q1158" s="1632"/>
      <c r="R1158" s="1622"/>
      <c r="S1158" s="1633"/>
      <c r="T1158" s="1634"/>
      <c r="U1158" s="1715">
        <v>8</v>
      </c>
      <c r="V1158" s="1636" t="s">
        <v>143</v>
      </c>
      <c r="W1158" s="1714">
        <v>2</v>
      </c>
      <c r="X1158" s="1650"/>
      <c r="Y1158" s="1623"/>
      <c r="Z1158" s="1672">
        <f>SUM(W1158:Y1158)</f>
        <v>2</v>
      </c>
      <c r="AA1158" s="1625"/>
      <c r="AB1158" s="1633"/>
      <c r="AC1158" s="1634"/>
      <c r="AD1158" s="1640"/>
      <c r="AE1158" s="1640"/>
      <c r="AF1158" s="1085"/>
      <c r="AG1158" s="1652"/>
      <c r="AH1158" s="1653"/>
      <c r="AI1158" s="1653"/>
      <c r="AJ1158" s="1654"/>
      <c r="AK1158" s="1529">
        <v>10000</v>
      </c>
      <c r="AL1158" s="1090">
        <f t="shared" si="105"/>
        <v>20000</v>
      </c>
      <c r="AM1158" s="1652"/>
      <c r="AN1158" s="1652"/>
      <c r="AO1158" s="1653"/>
      <c r="AP1158" s="1640"/>
      <c r="AQ1158" s="1653"/>
      <c r="AR1158" s="1640"/>
      <c r="AS1158" s="1640"/>
      <c r="AT1158" s="1652"/>
      <c r="AU1158" s="1654"/>
      <c r="AV1158" s="1655"/>
    </row>
    <row r="1159" spans="1:48" ht="16.5" customHeight="1">
      <c r="A1159" s="1673"/>
      <c r="B1159" s="1674"/>
      <c r="C1159" s="1675"/>
      <c r="D1159" s="1676"/>
      <c r="E1159" s="1677"/>
      <c r="F1159" s="1678"/>
      <c r="G1159" s="1676"/>
      <c r="H1159" s="1679"/>
      <c r="I1159" s="1680"/>
      <c r="J1159" s="1681"/>
      <c r="K1159" s="1682"/>
      <c r="L1159" s="1270"/>
      <c r="M1159" s="1549"/>
      <c r="N1159" s="1683"/>
      <c r="O1159" s="1684"/>
      <c r="P1159" s="1685"/>
      <c r="Q1159" s="1683"/>
      <c r="R1159" s="1686"/>
      <c r="S1159" s="1676"/>
      <c r="T1159" s="1685"/>
      <c r="U1159" s="1717"/>
      <c r="V1159" s="1718"/>
      <c r="W1159" s="1719"/>
      <c r="X1159" s="1720"/>
      <c r="Y1159" s="1721"/>
      <c r="Z1159" s="1693"/>
      <c r="AA1159" s="1676"/>
      <c r="AB1159" s="1684"/>
      <c r="AC1159" s="1685"/>
      <c r="AD1159" s="1673"/>
      <c r="AE1159" s="1673"/>
      <c r="AF1159" s="1115"/>
      <c r="AG1159" s="1694"/>
      <c r="AH1159" s="1695"/>
      <c r="AI1159" s="1695"/>
      <c r="AJ1159" s="1696"/>
      <c r="AK1159" s="1604"/>
      <c r="AL1159" s="1120"/>
      <c r="AM1159" s="1694"/>
      <c r="AN1159" s="1694"/>
      <c r="AO1159" s="1695"/>
      <c r="AP1159" s="1673"/>
      <c r="AQ1159" s="1695"/>
      <c r="AR1159" s="1673"/>
      <c r="AS1159" s="1673"/>
      <c r="AT1159" s="1694"/>
      <c r="AU1159" s="1696"/>
      <c r="AV1159" s="1697"/>
    </row>
    <row r="1160" spans="1:48" ht="16.5" customHeight="1">
      <c r="A1160" s="1698">
        <v>88</v>
      </c>
      <c r="B1160" s="1699" t="s">
        <v>25</v>
      </c>
      <c r="C1160" s="1700" t="s">
        <v>1297</v>
      </c>
      <c r="D1160" s="1701"/>
      <c r="E1160" s="1702"/>
      <c r="F1160" s="1703" t="s">
        <v>1376</v>
      </c>
      <c r="G1160" s="1704" t="s">
        <v>25</v>
      </c>
      <c r="H1160" s="1705" t="s">
        <v>42</v>
      </c>
      <c r="I1160" s="1706">
        <v>299</v>
      </c>
      <c r="J1160" s="1783" t="s">
        <v>41</v>
      </c>
      <c r="K1160" s="1722" t="s">
        <v>1375</v>
      </c>
      <c r="L1160" s="1373"/>
      <c r="M1160" s="1317"/>
      <c r="N1160" s="1707" t="s">
        <v>25</v>
      </c>
      <c r="O1160" s="1723" t="s">
        <v>26</v>
      </c>
      <c r="P1160" s="1709">
        <v>1</v>
      </c>
      <c r="Q1160" s="1707">
        <v>137.5</v>
      </c>
      <c r="R1160" s="1699"/>
      <c r="S1160" s="1702"/>
      <c r="T1160" s="1709"/>
      <c r="U1160" s="1710"/>
      <c r="V1160" s="1711"/>
      <c r="W1160" s="1712"/>
      <c r="X1160" s="1713"/>
      <c r="Y1160" s="1700"/>
      <c r="Z1160" s="1761"/>
      <c r="AA1160" s="1701"/>
      <c r="AB1160" s="1708"/>
      <c r="AC1160" s="1641"/>
      <c r="AD1160" s="1641"/>
      <c r="AE1160" s="1641"/>
      <c r="AF1160" s="1056">
        <f>Resum!F1</f>
        <v>356000</v>
      </c>
      <c r="AG1160" s="1057">
        <f>AF1160*I1160</f>
        <v>106444000</v>
      </c>
      <c r="AH1160" s="1642">
        <v>2200000</v>
      </c>
      <c r="AI1160" s="1060">
        <f>AH1160*Q1160*0.8</f>
        <v>242000000</v>
      </c>
      <c r="AJ1160" s="1724">
        <f>SUM(AI1160:AI1165)</f>
        <v>266646250</v>
      </c>
      <c r="AK1160" s="1725"/>
      <c r="AL1160" s="1061"/>
      <c r="AM1160" s="1644"/>
      <c r="AN1160" s="1057">
        <f>AM1160+AJ1160+AG1160</f>
        <v>373090250</v>
      </c>
      <c r="AO1160" s="1642"/>
      <c r="AP1160" s="1548">
        <f>(AG1160+AI1160)*15%</f>
        <v>52266600</v>
      </c>
      <c r="AQ1160" s="1058">
        <f>(AG1160+AI1160)*1%</f>
        <v>3484440</v>
      </c>
      <c r="AR1160" s="1548">
        <f>(AG1160+AI1160)*5%</f>
        <v>17422200</v>
      </c>
      <c r="AS1160" s="1058">
        <f>0.5%*(AG1160+AI1160)*(3)</f>
        <v>5226660</v>
      </c>
      <c r="AT1160" s="1057">
        <f>+AS1160+AR1160+AQ1160+AP1160+AO1160</f>
        <v>78399900</v>
      </c>
      <c r="AU1160" s="2015">
        <f>ROUND(AT1160+AN1160,-3)</f>
        <v>451490000</v>
      </c>
      <c r="AV1160" s="1645"/>
    </row>
    <row r="1161" spans="1:48" ht="16.5" customHeight="1">
      <c r="A1161" s="1640"/>
      <c r="B1161" s="1646" t="s">
        <v>16</v>
      </c>
      <c r="C1161" s="1647" t="s">
        <v>1294</v>
      </c>
      <c r="D1161" s="1625"/>
      <c r="E1161" s="1633"/>
      <c r="F1161" s="1648"/>
      <c r="G1161" s="1625" t="s">
        <v>16</v>
      </c>
      <c r="H1161" s="1625" t="s">
        <v>22</v>
      </c>
      <c r="I1161" s="1629"/>
      <c r="J1161" s="1630"/>
      <c r="K1161" s="1631"/>
      <c r="L1161" s="1245"/>
      <c r="M1161" s="1320"/>
      <c r="N1161" s="1632" t="s">
        <v>16</v>
      </c>
      <c r="O1161" s="1726" t="s">
        <v>21</v>
      </c>
      <c r="P1161" s="1634">
        <v>1</v>
      </c>
      <c r="Q1161" s="1632">
        <v>5.25</v>
      </c>
      <c r="R1161" s="1646"/>
      <c r="S1161" s="1625"/>
      <c r="T1161" s="1634"/>
      <c r="U1161" s="1635"/>
      <c r="V1161" s="1636"/>
      <c r="W1161" s="1649"/>
      <c r="X1161" s="1650"/>
      <c r="Y1161" s="1623"/>
      <c r="Z1161" s="1672"/>
      <c r="AA1161" s="1625"/>
      <c r="AB1161" s="1628"/>
      <c r="AC1161" s="1640"/>
      <c r="AD1161" s="1640"/>
      <c r="AE1161" s="1640"/>
      <c r="AF1161" s="1085"/>
      <c r="AG1161" s="1652"/>
      <c r="AH1161" s="1653">
        <v>350000</v>
      </c>
      <c r="AI1161" s="1089">
        <f>AH1161*Q1161*0.7</f>
        <v>1286250</v>
      </c>
      <c r="AJ1161" s="1654"/>
      <c r="AK1161" s="1529"/>
      <c r="AL1161" s="1090"/>
      <c r="AM1161" s="1652"/>
      <c r="AN1161" s="1652"/>
      <c r="AO1161" s="1653"/>
      <c r="AP1161" s="1640"/>
      <c r="AQ1161" s="1653"/>
      <c r="AR1161" s="1640"/>
      <c r="AS1161" s="1640"/>
      <c r="AT1161" s="1652"/>
      <c r="AU1161" s="1654"/>
      <c r="AV1161" s="1655"/>
    </row>
    <row r="1162" spans="1:48" ht="16.5" customHeight="1">
      <c r="A1162" s="1640"/>
      <c r="B1162" s="1646" t="s">
        <v>18</v>
      </c>
      <c r="C1162" s="1623" t="s">
        <v>60</v>
      </c>
      <c r="D1162" s="1625"/>
      <c r="E1162" s="1625"/>
      <c r="F1162" s="1648"/>
      <c r="G1162" s="1625" t="s">
        <v>18</v>
      </c>
      <c r="H1162" s="1625" t="s">
        <v>19</v>
      </c>
      <c r="I1162" s="1629"/>
      <c r="J1162" s="1630"/>
      <c r="K1162" s="1631"/>
      <c r="L1162" s="1245"/>
      <c r="M1162" s="1320"/>
      <c r="N1162" s="1632" t="s">
        <v>18</v>
      </c>
      <c r="O1162" s="1726" t="s">
        <v>1374</v>
      </c>
      <c r="P1162" s="1634">
        <v>1</v>
      </c>
      <c r="Q1162" s="1632">
        <v>24</v>
      </c>
      <c r="R1162" s="1646"/>
      <c r="S1162" s="1625"/>
      <c r="T1162" s="1634"/>
      <c r="U1162" s="1715"/>
      <c r="V1162" s="1636"/>
      <c r="W1162" s="1656"/>
      <c r="X1162" s="1656"/>
      <c r="Y1162" s="1657"/>
      <c r="Z1162" s="1672"/>
      <c r="AA1162" s="1625"/>
      <c r="AB1162" s="1628"/>
      <c r="AC1162" s="1640"/>
      <c r="AD1162" s="1640"/>
      <c r="AE1162" s="1640"/>
      <c r="AF1162" s="1085"/>
      <c r="AG1162" s="1652"/>
      <c r="AH1162" s="1653">
        <v>430000</v>
      </c>
      <c r="AI1162" s="1089">
        <f>AH1162*Q1162*0.5</f>
        <v>5160000</v>
      </c>
      <c r="AJ1162" s="1654"/>
      <c r="AK1162" s="1529"/>
      <c r="AL1162" s="1090"/>
      <c r="AM1162" s="1652"/>
      <c r="AN1162" s="1652"/>
      <c r="AO1162" s="1653"/>
      <c r="AP1162" s="1640"/>
      <c r="AQ1162" s="1653"/>
      <c r="AR1162" s="1640"/>
      <c r="AS1162" s="1640"/>
      <c r="AT1162" s="1652"/>
      <c r="AU1162" s="1654"/>
      <c r="AV1162" s="1655"/>
    </row>
    <row r="1163" spans="1:48" ht="49.5" customHeight="1">
      <c r="A1163" s="1640"/>
      <c r="B1163" s="1646" t="s">
        <v>12</v>
      </c>
      <c r="C1163" s="1659" t="s">
        <v>1373</v>
      </c>
      <c r="D1163" s="1667"/>
      <c r="E1163" s="1628"/>
      <c r="F1163" s="1648"/>
      <c r="G1163" s="1625"/>
      <c r="H1163" s="1667"/>
      <c r="I1163" s="1629"/>
      <c r="J1163" s="1630"/>
      <c r="K1163" s="1631"/>
      <c r="L1163" s="1245"/>
      <c r="M1163" s="1320"/>
      <c r="N1163" s="1632" t="s">
        <v>12</v>
      </c>
      <c r="O1163" s="1726" t="s">
        <v>17</v>
      </c>
      <c r="P1163" s="1634">
        <v>1</v>
      </c>
      <c r="Q1163" s="1632"/>
      <c r="R1163" s="1622"/>
      <c r="S1163" s="1633"/>
      <c r="T1163" s="1634"/>
      <c r="U1163" s="1715"/>
      <c r="V1163" s="1636"/>
      <c r="W1163" s="1649"/>
      <c r="X1163" s="1650"/>
      <c r="Y1163" s="1623"/>
      <c r="Z1163" s="1672"/>
      <c r="AA1163" s="1625"/>
      <c r="AB1163" s="1628"/>
      <c r="AC1163" s="1640"/>
      <c r="AD1163" s="1640"/>
      <c r="AE1163" s="1640"/>
      <c r="AF1163" s="1085"/>
      <c r="AG1163" s="1652"/>
      <c r="AH1163" s="1653">
        <v>2500000</v>
      </c>
      <c r="AI1163" s="1089">
        <f>AH1163*P1163*0.5</f>
        <v>1250000</v>
      </c>
      <c r="AJ1163" s="1654"/>
      <c r="AK1163" s="1529"/>
      <c r="AL1163" s="1090"/>
      <c r="AM1163" s="1652"/>
      <c r="AN1163" s="1652"/>
      <c r="AO1163" s="1653"/>
      <c r="AP1163" s="1640"/>
      <c r="AQ1163" s="1653"/>
      <c r="AR1163" s="1640"/>
      <c r="AS1163" s="1640"/>
      <c r="AT1163" s="1652"/>
      <c r="AU1163" s="1654"/>
      <c r="AV1163" s="1655"/>
    </row>
    <row r="1164" spans="1:48" ht="16.5" customHeight="1">
      <c r="A1164" s="1640"/>
      <c r="B1164" s="1646" t="s">
        <v>8</v>
      </c>
      <c r="C1164" s="1716" t="s">
        <v>1292</v>
      </c>
      <c r="D1164" s="1667"/>
      <c r="E1164" s="1628"/>
      <c r="F1164" s="1648"/>
      <c r="G1164" s="1625"/>
      <c r="H1164" s="1667"/>
      <c r="I1164" s="1629"/>
      <c r="J1164" s="1630"/>
      <c r="K1164" s="1631"/>
      <c r="L1164" s="1245"/>
      <c r="M1164" s="1320"/>
      <c r="N1164" s="1632" t="s">
        <v>8</v>
      </c>
      <c r="O1164" s="1726" t="s">
        <v>11</v>
      </c>
      <c r="P1164" s="1634">
        <v>1</v>
      </c>
      <c r="Q1164" s="1632"/>
      <c r="R1164" s="1622"/>
      <c r="S1164" s="1633"/>
      <c r="T1164" s="1634"/>
      <c r="U1164" s="1715"/>
      <c r="V1164" s="1636"/>
      <c r="W1164" s="1714"/>
      <c r="X1164" s="1650"/>
      <c r="Y1164" s="1623"/>
      <c r="Z1164" s="1672"/>
      <c r="AA1164" s="1625"/>
      <c r="AB1164" s="1628"/>
      <c r="AC1164" s="1640"/>
      <c r="AD1164" s="1640"/>
      <c r="AE1164" s="1640"/>
      <c r="AF1164" s="1085"/>
      <c r="AG1164" s="1652"/>
      <c r="AH1164" s="1653">
        <v>2500000</v>
      </c>
      <c r="AI1164" s="1089">
        <f t="shared" ref="AI1164" si="106">AH1164*P1164*0.75</f>
        <v>1875000</v>
      </c>
      <c r="AJ1164" s="1654"/>
      <c r="AK1164" s="1529"/>
      <c r="AL1164" s="1090"/>
      <c r="AM1164" s="1652"/>
      <c r="AN1164" s="1652"/>
      <c r="AO1164" s="1653"/>
      <c r="AP1164" s="1640"/>
      <c r="AQ1164" s="1653"/>
      <c r="AR1164" s="1640"/>
      <c r="AS1164" s="1640"/>
      <c r="AT1164" s="1652"/>
      <c r="AU1164" s="1654"/>
      <c r="AV1164" s="1655"/>
    </row>
    <row r="1165" spans="1:48" ht="16.5" customHeight="1">
      <c r="A1165" s="1673"/>
      <c r="B1165" s="1674"/>
      <c r="C1165" s="1675"/>
      <c r="D1165" s="1679"/>
      <c r="E1165" s="1727"/>
      <c r="F1165" s="1678"/>
      <c r="G1165" s="1676"/>
      <c r="H1165" s="1679"/>
      <c r="I1165" s="1680"/>
      <c r="J1165" s="1681"/>
      <c r="K1165" s="1682"/>
      <c r="L1165" s="1270"/>
      <c r="M1165" s="1549"/>
      <c r="N1165" s="1683" t="s">
        <v>54</v>
      </c>
      <c r="O1165" s="1728" t="s">
        <v>175</v>
      </c>
      <c r="P1165" s="1685"/>
      <c r="Q1165" s="1683">
        <v>67</v>
      </c>
      <c r="R1165" s="1686"/>
      <c r="S1165" s="1676"/>
      <c r="T1165" s="1685"/>
      <c r="U1165" s="1717"/>
      <c r="V1165" s="1718"/>
      <c r="W1165" s="1719"/>
      <c r="X1165" s="1720"/>
      <c r="Y1165" s="1721"/>
      <c r="Z1165" s="1693"/>
      <c r="AA1165" s="1676"/>
      <c r="AB1165" s="1727"/>
      <c r="AC1165" s="1673"/>
      <c r="AD1165" s="1673"/>
      <c r="AE1165" s="1673"/>
      <c r="AF1165" s="1115"/>
      <c r="AG1165" s="1694"/>
      <c r="AH1165" s="1695">
        <v>300000</v>
      </c>
      <c r="AI1165" s="2025">
        <f>AH1165*Q1165*0.75</f>
        <v>15075000</v>
      </c>
      <c r="AJ1165" s="1696"/>
      <c r="AK1165" s="1604"/>
      <c r="AL1165" s="1120"/>
      <c r="AM1165" s="1694"/>
      <c r="AN1165" s="1694"/>
      <c r="AO1165" s="1695"/>
      <c r="AP1165" s="1673"/>
      <c r="AQ1165" s="1695"/>
      <c r="AR1165" s="1673"/>
      <c r="AS1165" s="1673"/>
      <c r="AT1165" s="1694"/>
      <c r="AU1165" s="1696"/>
      <c r="AV1165" s="1697"/>
    </row>
    <row r="1166" spans="1:48" ht="16.5" customHeight="1">
      <c r="A1166" s="1621">
        <v>89</v>
      </c>
      <c r="B1166" s="1622" t="s">
        <v>25</v>
      </c>
      <c r="C1166" s="1623" t="s">
        <v>1372</v>
      </c>
      <c r="D1166" s="1624"/>
      <c r="E1166" s="1625"/>
      <c r="F1166" s="1648" t="s">
        <v>1371</v>
      </c>
      <c r="G1166" s="1627" t="s">
        <v>25</v>
      </c>
      <c r="H1166" s="1628" t="s">
        <v>1340</v>
      </c>
      <c r="I1166" s="1629">
        <v>215</v>
      </c>
      <c r="J1166" s="1630" t="s">
        <v>41</v>
      </c>
      <c r="K1166" s="1631" t="s">
        <v>1370</v>
      </c>
      <c r="L1166" s="1245"/>
      <c r="M1166" s="1320"/>
      <c r="N1166" s="1632" t="s">
        <v>25</v>
      </c>
      <c r="O1166" s="1726" t="s">
        <v>26</v>
      </c>
      <c r="P1166" s="1634">
        <v>1</v>
      </c>
      <c r="Q1166" s="1632">
        <v>82.5</v>
      </c>
      <c r="R1166" s="1622" t="s">
        <v>25</v>
      </c>
      <c r="S1166" s="1625" t="s">
        <v>24</v>
      </c>
      <c r="T1166" s="1634"/>
      <c r="U1166" s="1635"/>
      <c r="V1166" s="1636"/>
      <c r="W1166" s="1714"/>
      <c r="X1166" s="1650"/>
      <c r="Y1166" s="1623"/>
      <c r="Z1166" s="1651"/>
      <c r="AA1166" s="1624"/>
      <c r="AB1166" s="1633"/>
      <c r="AC1166" s="1640"/>
      <c r="AD1166" s="1640"/>
      <c r="AE1166" s="1640"/>
      <c r="AF1166" s="1085">
        <f>+Resum!F4</f>
        <v>204000</v>
      </c>
      <c r="AG1166" s="1086">
        <f>AF1166*I1166</f>
        <v>43860000</v>
      </c>
      <c r="AH1166" s="1653">
        <v>2530000</v>
      </c>
      <c r="AI1166" s="1089">
        <f>AH1166*Q1166*0.75</f>
        <v>156543750</v>
      </c>
      <c r="AJ1166" s="1793">
        <f>SUM(AI1166:AI1171)</f>
        <v>183490000</v>
      </c>
      <c r="AK1166" s="1529"/>
      <c r="AL1166" s="1090"/>
      <c r="AM1166" s="1652">
        <f>SUM(AL1168:AL1189)</f>
        <v>666900</v>
      </c>
      <c r="AN1166" s="1086">
        <f>AM1166+AJ1166+AG1166</f>
        <v>228016900</v>
      </c>
      <c r="AO1166" s="1653"/>
      <c r="AP1166" s="1136">
        <f>(AG1166+AI1166)*15%</f>
        <v>30060562.5</v>
      </c>
      <c r="AQ1166" s="1087">
        <f>(AG1166+AI1166)*1%</f>
        <v>2004037.5</v>
      </c>
      <c r="AR1166" s="1136">
        <f>(AG1166+AI1166)*5%</f>
        <v>10020187.5</v>
      </c>
      <c r="AS1166" s="1087">
        <f>0.5%*(AG1166+AI1166)*(3)</f>
        <v>3006056.25</v>
      </c>
      <c r="AT1166" s="1086">
        <f>+AS1166+AR1166+AQ1166+AP1166+AO1166</f>
        <v>45090843.75</v>
      </c>
      <c r="AU1166" s="1137">
        <f>ROUND(AT1166+AN1166,-3)</f>
        <v>273108000</v>
      </c>
      <c r="AV1166" s="1645"/>
    </row>
    <row r="1167" spans="1:48" ht="16.5" customHeight="1">
      <c r="A1167" s="1640"/>
      <c r="B1167" s="1646" t="s">
        <v>16</v>
      </c>
      <c r="C1167" s="1647" t="s">
        <v>1369</v>
      </c>
      <c r="D1167" s="1625"/>
      <c r="E1167" s="1633"/>
      <c r="F1167" s="1648"/>
      <c r="G1167" s="1625" t="s">
        <v>16</v>
      </c>
      <c r="H1167" s="1625" t="s">
        <v>22</v>
      </c>
      <c r="I1167" s="1629"/>
      <c r="J1167" s="1630"/>
      <c r="K1167" s="1631"/>
      <c r="L1167" s="1245"/>
      <c r="M1167" s="1320"/>
      <c r="N1167" s="1632" t="s">
        <v>16</v>
      </c>
      <c r="O1167" s="1726" t="s">
        <v>21</v>
      </c>
      <c r="P1167" s="1634">
        <v>1</v>
      </c>
      <c r="Q1167" s="1632">
        <v>8.6999999999999993</v>
      </c>
      <c r="R1167" s="1646"/>
      <c r="S1167" s="1625"/>
      <c r="T1167" s="1634"/>
      <c r="U1167" s="1635"/>
      <c r="V1167" s="1636"/>
      <c r="W1167" s="1649"/>
      <c r="X1167" s="1650"/>
      <c r="Y1167" s="1623"/>
      <c r="Z1167" s="1651"/>
      <c r="AA1167" s="1625"/>
      <c r="AB1167" s="1628"/>
      <c r="AC1167" s="1640"/>
      <c r="AD1167" s="1640"/>
      <c r="AE1167" s="1640"/>
      <c r="AF1167" s="1085"/>
      <c r="AG1167" s="1652"/>
      <c r="AH1167" s="1653">
        <v>350000</v>
      </c>
      <c r="AI1167" s="1089">
        <f>AH1167*Q1167*0.75</f>
        <v>2283749.9999999995</v>
      </c>
      <c r="AJ1167" s="1654"/>
      <c r="AK1167" s="1529"/>
      <c r="AL1167" s="1090"/>
      <c r="AM1167" s="1652"/>
      <c r="AN1167" s="1652"/>
      <c r="AO1167" s="1653"/>
      <c r="AP1167" s="1640"/>
      <c r="AQ1167" s="1653"/>
      <c r="AR1167" s="1640"/>
      <c r="AS1167" s="1640"/>
      <c r="AT1167" s="1652"/>
      <c r="AU1167" s="1654"/>
      <c r="AV1167" s="1655"/>
    </row>
    <row r="1168" spans="1:48" ht="16.5" customHeight="1">
      <c r="A1168" s="1640"/>
      <c r="B1168" s="1646" t="s">
        <v>18</v>
      </c>
      <c r="C1168" s="1623" t="s">
        <v>1278</v>
      </c>
      <c r="D1168" s="1625"/>
      <c r="E1168" s="1625"/>
      <c r="F1168" s="1648"/>
      <c r="G1168" s="1625" t="s">
        <v>18</v>
      </c>
      <c r="H1168" s="1625" t="s">
        <v>19</v>
      </c>
      <c r="I1168" s="1629"/>
      <c r="J1168" s="1630"/>
      <c r="K1168" s="1631"/>
      <c r="L1168" s="1245"/>
      <c r="M1168" s="1320"/>
      <c r="N1168" s="1632" t="s">
        <v>18</v>
      </c>
      <c r="O1168" s="1726" t="s">
        <v>481</v>
      </c>
      <c r="P1168" s="1634">
        <v>1</v>
      </c>
      <c r="Q1168" s="1632">
        <v>40</v>
      </c>
      <c r="R1168" s="1646" t="s">
        <v>16</v>
      </c>
      <c r="S1168" s="1625" t="s">
        <v>15</v>
      </c>
      <c r="T1168" s="1634">
        <v>22</v>
      </c>
      <c r="U1168" s="1635">
        <v>1</v>
      </c>
      <c r="V1168" s="1636" t="s">
        <v>1368</v>
      </c>
      <c r="W1168" s="1656"/>
      <c r="X1168" s="1656"/>
      <c r="Y1168" s="1731">
        <v>1</v>
      </c>
      <c r="Z1168" s="1639">
        <f>SUM(W1168:Y1168)</f>
        <v>1</v>
      </c>
      <c r="AA1168" s="1625"/>
      <c r="AB1168" s="1633"/>
      <c r="AC1168" s="1640"/>
      <c r="AD1168" s="1640"/>
      <c r="AE1168" s="1640"/>
      <c r="AF1168" s="1085"/>
      <c r="AG1168" s="1652"/>
      <c r="AH1168" s="1653">
        <v>430000</v>
      </c>
      <c r="AI1168" s="1089">
        <f>AH1168*Q1168*0.5</f>
        <v>8600000</v>
      </c>
      <c r="AJ1168" s="1654"/>
      <c r="AK1168" s="1529">
        <v>1650</v>
      </c>
      <c r="AL1168" s="1090">
        <f>AK1168*Y1168</f>
        <v>1650</v>
      </c>
      <c r="AM1168" s="1652"/>
      <c r="AN1168" s="1652"/>
      <c r="AO1168" s="1653"/>
      <c r="AP1168" s="1640"/>
      <c r="AQ1168" s="1653"/>
      <c r="AR1168" s="1640"/>
      <c r="AS1168" s="1640"/>
      <c r="AT1168" s="1652"/>
      <c r="AU1168" s="1654"/>
      <c r="AV1168" s="1655"/>
    </row>
    <row r="1169" spans="1:48" ht="49.5" customHeight="1">
      <c r="A1169" s="1640"/>
      <c r="B1169" s="1658" t="s">
        <v>12</v>
      </c>
      <c r="C1169" s="1659" t="s">
        <v>1367</v>
      </c>
      <c r="D1169" s="1667"/>
      <c r="E1169" s="1628"/>
      <c r="F1169" s="1648"/>
      <c r="G1169" s="1625"/>
      <c r="H1169" s="1667"/>
      <c r="I1169" s="1629"/>
      <c r="J1169" s="1630"/>
      <c r="K1169" s="1631"/>
      <c r="L1169" s="1245"/>
      <c r="M1169" s="1320"/>
      <c r="N1169" s="1632" t="s">
        <v>12</v>
      </c>
      <c r="O1169" s="1726" t="s">
        <v>17</v>
      </c>
      <c r="P1169" s="1634">
        <v>1</v>
      </c>
      <c r="Q1169" s="1632"/>
      <c r="R1169" s="1646"/>
      <c r="S1169" s="1633"/>
      <c r="T1169" s="1668"/>
      <c r="U1169" s="1635">
        <v>2</v>
      </c>
      <c r="V1169" s="1669" t="s">
        <v>1366</v>
      </c>
      <c r="W1169" s="1670"/>
      <c r="X1169" s="1671"/>
      <c r="Y1169" s="1732">
        <v>26</v>
      </c>
      <c r="Z1169" s="1672">
        <f>SUM(W1169:Y1169)</f>
        <v>26</v>
      </c>
      <c r="AA1169" s="1625"/>
      <c r="AB1169" s="1633"/>
      <c r="AC1169" s="1634"/>
      <c r="AD1169" s="1640"/>
      <c r="AE1169" s="1640"/>
      <c r="AF1169" s="1085"/>
      <c r="AG1169" s="1652"/>
      <c r="AH1169" s="1653">
        <v>2500000</v>
      </c>
      <c r="AI1169" s="1089">
        <f>AH1169*P1169*0.5</f>
        <v>1250000</v>
      </c>
      <c r="AJ1169" s="1654"/>
      <c r="AK1169" s="1529">
        <v>3250</v>
      </c>
      <c r="AL1169" s="1090">
        <f>AK1169*Y1169</f>
        <v>84500</v>
      </c>
      <c r="AM1169" s="1652"/>
      <c r="AN1169" s="1652"/>
      <c r="AO1169" s="1653"/>
      <c r="AP1169" s="1640"/>
      <c r="AQ1169" s="1653"/>
      <c r="AR1169" s="1640"/>
      <c r="AS1169" s="1640"/>
      <c r="AT1169" s="1652"/>
      <c r="AU1169" s="1654"/>
      <c r="AV1169" s="1655"/>
    </row>
    <row r="1170" spans="1:48" ht="16.5" customHeight="1">
      <c r="A1170" s="1640"/>
      <c r="B1170" s="1646" t="s">
        <v>8</v>
      </c>
      <c r="C1170" s="1716" t="s">
        <v>1365</v>
      </c>
      <c r="D1170" s="1667"/>
      <c r="E1170" s="1628"/>
      <c r="F1170" s="1648"/>
      <c r="G1170" s="1625"/>
      <c r="H1170" s="1667"/>
      <c r="I1170" s="1629"/>
      <c r="J1170" s="1630"/>
      <c r="K1170" s="1631"/>
      <c r="L1170" s="1245"/>
      <c r="M1170" s="1320"/>
      <c r="N1170" s="1632" t="s">
        <v>8</v>
      </c>
      <c r="O1170" s="1726" t="s">
        <v>11</v>
      </c>
      <c r="P1170" s="1634">
        <v>1</v>
      </c>
      <c r="Q1170" s="1632"/>
      <c r="R1170" s="1646"/>
      <c r="S1170" s="1633"/>
      <c r="T1170" s="1668"/>
      <c r="U1170" s="1635">
        <v>3</v>
      </c>
      <c r="V1170" s="1669" t="s">
        <v>1364</v>
      </c>
      <c r="W1170" s="1733"/>
      <c r="X1170" s="1671"/>
      <c r="Y1170" s="1732">
        <v>1</v>
      </c>
      <c r="Z1170" s="1672">
        <f>SUM(W1170:Y1170)</f>
        <v>1</v>
      </c>
      <c r="AA1170" s="1625"/>
      <c r="AB1170" s="1633"/>
      <c r="AC1170" s="1634"/>
      <c r="AD1170" s="1640"/>
      <c r="AE1170" s="1640"/>
      <c r="AF1170" s="1085"/>
      <c r="AG1170" s="1652"/>
      <c r="AH1170" s="1653">
        <v>2500000</v>
      </c>
      <c r="AI1170" s="1089">
        <f>AH1170*P1170*0.75</f>
        <v>1875000</v>
      </c>
      <c r="AJ1170" s="1654"/>
      <c r="AK1170" s="1529">
        <v>3250</v>
      </c>
      <c r="AL1170" s="1090">
        <f>AK1170*Y1170</f>
        <v>3250</v>
      </c>
      <c r="AM1170" s="1652"/>
      <c r="AN1170" s="1652"/>
      <c r="AO1170" s="1653"/>
      <c r="AP1170" s="1640"/>
      <c r="AQ1170" s="1653"/>
      <c r="AR1170" s="1640"/>
      <c r="AS1170" s="1640"/>
      <c r="AT1170" s="1652"/>
      <c r="AU1170" s="1654"/>
      <c r="AV1170" s="1655"/>
    </row>
    <row r="1171" spans="1:48" ht="16.5" customHeight="1">
      <c r="A1171" s="1640"/>
      <c r="B1171" s="1646"/>
      <c r="C1171" s="1716"/>
      <c r="D1171" s="1667"/>
      <c r="E1171" s="1628"/>
      <c r="F1171" s="1648"/>
      <c r="G1171" s="1625"/>
      <c r="H1171" s="1667"/>
      <c r="I1171" s="1629"/>
      <c r="J1171" s="1630"/>
      <c r="K1171" s="1631"/>
      <c r="L1171" s="1245"/>
      <c r="M1171" s="1320"/>
      <c r="N1171" s="1632" t="s">
        <v>54</v>
      </c>
      <c r="O1171" s="1726" t="s">
        <v>1363</v>
      </c>
      <c r="P1171" s="1634"/>
      <c r="Q1171" s="1651">
        <v>57.5</v>
      </c>
      <c r="R1171" s="1646"/>
      <c r="S1171" s="1633"/>
      <c r="T1171" s="1668"/>
      <c r="U1171" s="1635">
        <v>4</v>
      </c>
      <c r="V1171" s="1669" t="s">
        <v>255</v>
      </c>
      <c r="W1171" s="1733"/>
      <c r="X1171" s="1671"/>
      <c r="Y1171" s="1732">
        <v>1</v>
      </c>
      <c r="Z1171" s="1672">
        <f>SUM(W1171:Y1171)</f>
        <v>1</v>
      </c>
      <c r="AA1171" s="1625"/>
      <c r="AB1171" s="1633"/>
      <c r="AC1171" s="1634"/>
      <c r="AD1171" s="1640"/>
      <c r="AE1171" s="1640"/>
      <c r="AF1171" s="1085"/>
      <c r="AG1171" s="1652"/>
      <c r="AH1171" s="1653">
        <v>300000</v>
      </c>
      <c r="AI1171" s="1087">
        <f>AH1171*Q1171*0.75</f>
        <v>12937500</v>
      </c>
      <c r="AJ1171" s="1654"/>
      <c r="AK1171" s="1529">
        <v>1000</v>
      </c>
      <c r="AL1171" s="1090">
        <f>AK1171*Y1171</f>
        <v>1000</v>
      </c>
      <c r="AM1171" s="1652"/>
      <c r="AN1171" s="1652"/>
      <c r="AO1171" s="1653"/>
      <c r="AP1171" s="1640"/>
      <c r="AQ1171" s="1653"/>
      <c r="AR1171" s="1640"/>
      <c r="AS1171" s="1640"/>
      <c r="AT1171" s="1652"/>
      <c r="AU1171" s="1654"/>
      <c r="AV1171" s="1655"/>
    </row>
    <row r="1172" spans="1:48" ht="16.5" customHeight="1">
      <c r="A1172" s="1640"/>
      <c r="B1172" s="1646"/>
      <c r="C1172" s="1716"/>
      <c r="D1172" s="1667"/>
      <c r="E1172" s="1628"/>
      <c r="F1172" s="1648"/>
      <c r="G1172" s="1625"/>
      <c r="H1172" s="1667"/>
      <c r="I1172" s="1629"/>
      <c r="J1172" s="1630"/>
      <c r="K1172" s="1631"/>
      <c r="L1172" s="1245"/>
      <c r="M1172" s="1320"/>
      <c r="N1172" s="1632"/>
      <c r="O1172" s="1633"/>
      <c r="P1172" s="1634"/>
      <c r="Q1172" s="1651"/>
      <c r="R1172" s="1646"/>
      <c r="S1172" s="1633"/>
      <c r="T1172" s="1668"/>
      <c r="U1172" s="1635">
        <v>5</v>
      </c>
      <c r="V1172" s="1669" t="s">
        <v>1134</v>
      </c>
      <c r="W1172" s="1733"/>
      <c r="X1172" s="1671"/>
      <c r="Y1172" s="1732"/>
      <c r="Z1172" s="1672"/>
      <c r="AA1172" s="1625"/>
      <c r="AB1172" s="1633"/>
      <c r="AC1172" s="1634"/>
      <c r="AD1172" s="1640"/>
      <c r="AE1172" s="1640"/>
      <c r="AF1172" s="1085"/>
      <c r="AG1172" s="1652"/>
      <c r="AH1172" s="1653"/>
      <c r="AI1172" s="1653"/>
      <c r="AJ1172" s="1654"/>
      <c r="AK1172" s="1529"/>
      <c r="AL1172" s="1090">
        <f t="shared" si="105"/>
        <v>0</v>
      </c>
      <c r="AM1172" s="1652"/>
      <c r="AN1172" s="1652"/>
      <c r="AO1172" s="1653"/>
      <c r="AP1172" s="1640"/>
      <c r="AQ1172" s="1653"/>
      <c r="AR1172" s="1640"/>
      <c r="AS1172" s="1640"/>
      <c r="AT1172" s="1652"/>
      <c r="AU1172" s="1654"/>
      <c r="AV1172" s="1655"/>
    </row>
    <row r="1173" spans="1:48" ht="16.5" customHeight="1">
      <c r="A1173" s="1640"/>
      <c r="B1173" s="1646"/>
      <c r="C1173" s="1716"/>
      <c r="D1173" s="1667"/>
      <c r="E1173" s="1628"/>
      <c r="F1173" s="1648"/>
      <c r="G1173" s="1625"/>
      <c r="H1173" s="1667"/>
      <c r="I1173" s="1629"/>
      <c r="J1173" s="1630"/>
      <c r="K1173" s="1631"/>
      <c r="L1173" s="1245"/>
      <c r="M1173" s="1320"/>
      <c r="N1173" s="1632"/>
      <c r="O1173" s="1633"/>
      <c r="P1173" s="1634"/>
      <c r="Q1173" s="1651"/>
      <c r="R1173" s="1646"/>
      <c r="S1173" s="1633"/>
      <c r="T1173" s="1668"/>
      <c r="U1173" s="1635">
        <v>6</v>
      </c>
      <c r="V1173" s="1669" t="s">
        <v>1362</v>
      </c>
      <c r="W1173" s="1733"/>
      <c r="X1173" s="1671"/>
      <c r="Y1173" s="1732"/>
      <c r="Z1173" s="1672"/>
      <c r="AA1173" s="1625"/>
      <c r="AB1173" s="1633"/>
      <c r="AC1173" s="1634"/>
      <c r="AD1173" s="1640"/>
      <c r="AE1173" s="1640"/>
      <c r="AF1173" s="1085"/>
      <c r="AG1173" s="1652"/>
      <c r="AH1173" s="1653"/>
      <c r="AI1173" s="1653"/>
      <c r="AJ1173" s="1654"/>
      <c r="AK1173" s="1529">
        <v>15000</v>
      </c>
      <c r="AL1173" s="1090">
        <f>AK1173*W1173</f>
        <v>0</v>
      </c>
      <c r="AM1173" s="1652"/>
      <c r="AN1173" s="1652"/>
      <c r="AO1173" s="1653"/>
      <c r="AP1173" s="1640"/>
      <c r="AQ1173" s="1653"/>
      <c r="AR1173" s="1640"/>
      <c r="AS1173" s="1640"/>
      <c r="AT1173" s="1652"/>
      <c r="AU1173" s="1654"/>
      <c r="AV1173" s="1655"/>
    </row>
    <row r="1174" spans="1:48" ht="16.5" customHeight="1">
      <c r="A1174" s="1640"/>
      <c r="B1174" s="1646"/>
      <c r="C1174" s="1716"/>
      <c r="D1174" s="1667"/>
      <c r="E1174" s="1628"/>
      <c r="F1174" s="1648"/>
      <c r="G1174" s="1625"/>
      <c r="H1174" s="1667"/>
      <c r="I1174" s="1629"/>
      <c r="J1174" s="1630"/>
      <c r="K1174" s="1631"/>
      <c r="L1174" s="1245"/>
      <c r="M1174" s="1320"/>
      <c r="N1174" s="1632"/>
      <c r="O1174" s="1633"/>
      <c r="P1174" s="1634"/>
      <c r="Q1174" s="1651"/>
      <c r="R1174" s="1646"/>
      <c r="S1174" s="1633"/>
      <c r="T1174" s="1668"/>
      <c r="U1174" s="1635">
        <v>7</v>
      </c>
      <c r="V1174" s="1669" t="s">
        <v>10</v>
      </c>
      <c r="W1174" s="1733"/>
      <c r="X1174" s="1671"/>
      <c r="Y1174" s="1732">
        <v>1</v>
      </c>
      <c r="Z1174" s="1672">
        <f>SUM(W1174:Y1174)</f>
        <v>1</v>
      </c>
      <c r="AA1174" s="1625"/>
      <c r="AB1174" s="1633"/>
      <c r="AC1174" s="1634"/>
      <c r="AD1174" s="1640"/>
      <c r="AE1174" s="1640"/>
      <c r="AF1174" s="1085"/>
      <c r="AG1174" s="1652"/>
      <c r="AH1174" s="1653"/>
      <c r="AI1174" s="1653"/>
      <c r="AJ1174" s="1654"/>
      <c r="AK1174" s="1529">
        <v>25000</v>
      </c>
      <c r="AL1174" s="1090">
        <f>AK1174*Y1174</f>
        <v>25000</v>
      </c>
      <c r="AM1174" s="1652"/>
      <c r="AN1174" s="1652"/>
      <c r="AO1174" s="1653"/>
      <c r="AP1174" s="1640"/>
      <c r="AQ1174" s="1653"/>
      <c r="AR1174" s="1640"/>
      <c r="AS1174" s="1640"/>
      <c r="AT1174" s="1652"/>
      <c r="AU1174" s="1654"/>
      <c r="AV1174" s="1655"/>
    </row>
    <row r="1175" spans="1:48" ht="16.5" customHeight="1">
      <c r="A1175" s="1640"/>
      <c r="B1175" s="1646"/>
      <c r="C1175" s="1716"/>
      <c r="D1175" s="1667"/>
      <c r="E1175" s="1628"/>
      <c r="F1175" s="1648"/>
      <c r="G1175" s="1625"/>
      <c r="H1175" s="1667"/>
      <c r="I1175" s="1629"/>
      <c r="J1175" s="1630"/>
      <c r="K1175" s="1631"/>
      <c r="L1175" s="1245"/>
      <c r="M1175" s="1320"/>
      <c r="N1175" s="1632"/>
      <c r="O1175" s="1633"/>
      <c r="P1175" s="1634"/>
      <c r="Q1175" s="1651"/>
      <c r="R1175" s="1646"/>
      <c r="S1175" s="1633"/>
      <c r="T1175" s="1668"/>
      <c r="U1175" s="1635">
        <v>8</v>
      </c>
      <c r="V1175" s="1669" t="s">
        <v>313</v>
      </c>
      <c r="W1175" s="1733"/>
      <c r="X1175" s="1671"/>
      <c r="Y1175" s="1732">
        <v>1</v>
      </c>
      <c r="Z1175" s="1672">
        <f>SUM(W1175:Y1175)</f>
        <v>1</v>
      </c>
      <c r="AA1175" s="1625"/>
      <c r="AB1175" s="1633"/>
      <c r="AC1175" s="1634"/>
      <c r="AD1175" s="1640"/>
      <c r="AE1175" s="1640"/>
      <c r="AF1175" s="1085"/>
      <c r="AG1175" s="1652"/>
      <c r="AH1175" s="1653"/>
      <c r="AI1175" s="1653"/>
      <c r="AJ1175" s="1654"/>
      <c r="AK1175" s="1529">
        <v>53000</v>
      </c>
      <c r="AL1175" s="1090">
        <f>AK1175*Y1175</f>
        <v>53000</v>
      </c>
      <c r="AM1175" s="1652"/>
      <c r="AN1175" s="1652"/>
      <c r="AO1175" s="1653"/>
      <c r="AP1175" s="1640"/>
      <c r="AQ1175" s="1653"/>
      <c r="AR1175" s="1640"/>
      <c r="AS1175" s="1640"/>
      <c r="AT1175" s="1652"/>
      <c r="AU1175" s="1654"/>
      <c r="AV1175" s="1655"/>
    </row>
    <row r="1176" spans="1:48" ht="16.5" customHeight="1">
      <c r="A1176" s="1640"/>
      <c r="B1176" s="1646"/>
      <c r="C1176" s="1716"/>
      <c r="D1176" s="1667"/>
      <c r="E1176" s="1628"/>
      <c r="F1176" s="1648"/>
      <c r="G1176" s="1625"/>
      <c r="H1176" s="1667"/>
      <c r="I1176" s="1629"/>
      <c r="J1176" s="1630"/>
      <c r="K1176" s="1631"/>
      <c r="L1176" s="1245"/>
      <c r="M1176" s="1320"/>
      <c r="N1176" s="1632"/>
      <c r="O1176" s="1633"/>
      <c r="P1176" s="1634"/>
      <c r="Q1176" s="1651"/>
      <c r="R1176" s="1646"/>
      <c r="S1176" s="1633"/>
      <c r="T1176" s="1668"/>
      <c r="U1176" s="1635">
        <v>9</v>
      </c>
      <c r="V1176" s="1669" t="s">
        <v>144</v>
      </c>
      <c r="W1176" s="1733"/>
      <c r="X1176" s="1671">
        <v>1</v>
      </c>
      <c r="Y1176" s="1732"/>
      <c r="Z1176" s="1672">
        <f>SUM(W1176:Y1176)</f>
        <v>1</v>
      </c>
      <c r="AA1176" s="1625"/>
      <c r="AB1176" s="1633"/>
      <c r="AC1176" s="1634"/>
      <c r="AD1176" s="1640"/>
      <c r="AE1176" s="1640"/>
      <c r="AF1176" s="1085"/>
      <c r="AG1176" s="1652"/>
      <c r="AH1176" s="1653"/>
      <c r="AI1176" s="1653"/>
      <c r="AJ1176" s="1654"/>
      <c r="AK1176" s="1529">
        <v>20100</v>
      </c>
      <c r="AL1176" s="1090">
        <f>AK1176*X1176</f>
        <v>20100</v>
      </c>
      <c r="AM1176" s="1652"/>
      <c r="AN1176" s="1652"/>
      <c r="AO1176" s="1653"/>
      <c r="AP1176" s="1640"/>
      <c r="AQ1176" s="1653"/>
      <c r="AR1176" s="1640"/>
      <c r="AS1176" s="1640"/>
      <c r="AT1176" s="1652"/>
      <c r="AU1176" s="1654"/>
      <c r="AV1176" s="1655"/>
    </row>
    <row r="1177" spans="1:48" ht="16.5" customHeight="1">
      <c r="A1177" s="1640"/>
      <c r="B1177" s="1646"/>
      <c r="C1177" s="1716"/>
      <c r="D1177" s="1667"/>
      <c r="E1177" s="1628"/>
      <c r="F1177" s="1648"/>
      <c r="G1177" s="1625"/>
      <c r="H1177" s="1667"/>
      <c r="I1177" s="1629"/>
      <c r="J1177" s="1630"/>
      <c r="K1177" s="1631"/>
      <c r="L1177" s="1245"/>
      <c r="M1177" s="1320"/>
      <c r="N1177" s="1632"/>
      <c r="O1177" s="1633"/>
      <c r="P1177" s="1634"/>
      <c r="Q1177" s="1651"/>
      <c r="R1177" s="1646"/>
      <c r="S1177" s="1633"/>
      <c r="T1177" s="1668"/>
      <c r="U1177" s="1635">
        <v>10</v>
      </c>
      <c r="V1177" s="1669" t="s">
        <v>268</v>
      </c>
      <c r="W1177" s="1733"/>
      <c r="X1177" s="1671"/>
      <c r="Y1177" s="1732">
        <v>1</v>
      </c>
      <c r="Z1177" s="1672">
        <f>SUM(W1177:Y1177)</f>
        <v>1</v>
      </c>
      <c r="AA1177" s="1625"/>
      <c r="AB1177" s="1633"/>
      <c r="AC1177" s="1634"/>
      <c r="AD1177" s="1640"/>
      <c r="AE1177" s="1640"/>
      <c r="AF1177" s="1085"/>
      <c r="AG1177" s="1652"/>
      <c r="AH1177" s="1653"/>
      <c r="AI1177" s="1653"/>
      <c r="AJ1177" s="1654"/>
      <c r="AK1177" s="1529">
        <v>66000</v>
      </c>
      <c r="AL1177" s="1090">
        <f>AK1177*Y1177</f>
        <v>66000</v>
      </c>
      <c r="AM1177" s="1652"/>
      <c r="AN1177" s="1652"/>
      <c r="AO1177" s="1653"/>
      <c r="AP1177" s="1640"/>
      <c r="AQ1177" s="1653"/>
      <c r="AR1177" s="1640"/>
      <c r="AS1177" s="1640"/>
      <c r="AT1177" s="1652"/>
      <c r="AU1177" s="1654"/>
      <c r="AV1177" s="1655"/>
    </row>
    <row r="1178" spans="1:48" ht="16.5" customHeight="1">
      <c r="A1178" s="1640"/>
      <c r="B1178" s="1646"/>
      <c r="C1178" s="1716"/>
      <c r="D1178" s="1667"/>
      <c r="E1178" s="1628"/>
      <c r="F1178" s="1648"/>
      <c r="G1178" s="1625"/>
      <c r="H1178" s="1667"/>
      <c r="I1178" s="1629"/>
      <c r="J1178" s="1630"/>
      <c r="K1178" s="1631"/>
      <c r="L1178" s="1245"/>
      <c r="M1178" s="1320"/>
      <c r="N1178" s="1632"/>
      <c r="O1178" s="1633"/>
      <c r="P1178" s="1634"/>
      <c r="Q1178" s="1651"/>
      <c r="R1178" s="1646"/>
      <c r="S1178" s="1633"/>
      <c r="T1178" s="1668"/>
      <c r="U1178" s="1635">
        <v>11</v>
      </c>
      <c r="V1178" s="1669" t="s">
        <v>137</v>
      </c>
      <c r="W1178" s="1733"/>
      <c r="X1178" s="1671">
        <v>1</v>
      </c>
      <c r="Y1178" s="1732"/>
      <c r="Z1178" s="1672">
        <f>SUM(W1178:Y1178)</f>
        <v>1</v>
      </c>
      <c r="AA1178" s="1625"/>
      <c r="AB1178" s="1633"/>
      <c r="AC1178" s="1634"/>
      <c r="AD1178" s="1640"/>
      <c r="AE1178" s="1640"/>
      <c r="AF1178" s="1085"/>
      <c r="AG1178" s="1652"/>
      <c r="AH1178" s="1653"/>
      <c r="AI1178" s="1653"/>
      <c r="AJ1178" s="1654"/>
      <c r="AK1178" s="1529">
        <v>82500</v>
      </c>
      <c r="AL1178" s="1090">
        <f>AK1178*X1178</f>
        <v>82500</v>
      </c>
      <c r="AM1178" s="1652"/>
      <c r="AN1178" s="1652"/>
      <c r="AO1178" s="1653"/>
      <c r="AP1178" s="1640"/>
      <c r="AQ1178" s="1653"/>
      <c r="AR1178" s="1640"/>
      <c r="AS1178" s="1640"/>
      <c r="AT1178" s="1652"/>
      <c r="AU1178" s="1654"/>
      <c r="AV1178" s="1655"/>
    </row>
    <row r="1179" spans="1:48" ht="16.5" customHeight="1">
      <c r="A1179" s="1640"/>
      <c r="B1179" s="1646"/>
      <c r="C1179" s="1716"/>
      <c r="D1179" s="1667"/>
      <c r="E1179" s="1628"/>
      <c r="F1179" s="1648"/>
      <c r="G1179" s="1625"/>
      <c r="H1179" s="1667"/>
      <c r="I1179" s="1629"/>
      <c r="J1179" s="1630"/>
      <c r="K1179" s="1631"/>
      <c r="L1179" s="1245"/>
      <c r="M1179" s="1320"/>
      <c r="N1179" s="1632"/>
      <c r="O1179" s="1633"/>
      <c r="P1179" s="1634"/>
      <c r="Q1179" s="1651"/>
      <c r="R1179" s="1646"/>
      <c r="S1179" s="1633"/>
      <c r="T1179" s="1668"/>
      <c r="U1179" s="1635">
        <v>12</v>
      </c>
      <c r="V1179" s="1669" t="s">
        <v>379</v>
      </c>
      <c r="W1179" s="1733"/>
      <c r="X1179" s="1671"/>
      <c r="Y1179" s="1732"/>
      <c r="Z1179" s="1672"/>
      <c r="AA1179" s="1625"/>
      <c r="AB1179" s="1633"/>
      <c r="AC1179" s="1634"/>
      <c r="AD1179" s="1640"/>
      <c r="AE1179" s="1640"/>
      <c r="AF1179" s="1085"/>
      <c r="AG1179" s="1652"/>
      <c r="AH1179" s="1653"/>
      <c r="AI1179" s="1653"/>
      <c r="AJ1179" s="1654"/>
      <c r="AK1179" s="1529"/>
      <c r="AL1179" s="1090"/>
      <c r="AM1179" s="1652"/>
      <c r="AN1179" s="1652"/>
      <c r="AO1179" s="1653"/>
      <c r="AP1179" s="1640"/>
      <c r="AQ1179" s="1653"/>
      <c r="AR1179" s="1640"/>
      <c r="AS1179" s="1640"/>
      <c r="AT1179" s="1652"/>
      <c r="AU1179" s="1654"/>
      <c r="AV1179" s="1655"/>
    </row>
    <row r="1180" spans="1:48" ht="16.5" customHeight="1">
      <c r="A1180" s="1640"/>
      <c r="B1180" s="1646"/>
      <c r="C1180" s="1716"/>
      <c r="D1180" s="1667"/>
      <c r="E1180" s="1628"/>
      <c r="F1180" s="1648"/>
      <c r="G1180" s="1625"/>
      <c r="H1180" s="1667"/>
      <c r="I1180" s="1629"/>
      <c r="J1180" s="1630"/>
      <c r="K1180" s="1631"/>
      <c r="L1180" s="1245"/>
      <c r="M1180" s="1320"/>
      <c r="N1180" s="1632"/>
      <c r="O1180" s="1633"/>
      <c r="P1180" s="1634"/>
      <c r="Q1180" s="1651"/>
      <c r="R1180" s="1646"/>
      <c r="S1180" s="1633"/>
      <c r="T1180" s="1668"/>
      <c r="U1180" s="1635">
        <v>13</v>
      </c>
      <c r="V1180" s="1669" t="s">
        <v>265</v>
      </c>
      <c r="W1180" s="1733"/>
      <c r="X1180" s="1671"/>
      <c r="Y1180" s="1732">
        <v>1</v>
      </c>
      <c r="Z1180" s="1672">
        <f t="shared" ref="Z1180:Z1189" si="107">SUM(W1180:Y1180)</f>
        <v>1</v>
      </c>
      <c r="AA1180" s="1625"/>
      <c r="AB1180" s="1633"/>
      <c r="AC1180" s="1634"/>
      <c r="AD1180" s="1640"/>
      <c r="AE1180" s="1640"/>
      <c r="AF1180" s="1085"/>
      <c r="AG1180" s="1652"/>
      <c r="AH1180" s="1653"/>
      <c r="AI1180" s="1653"/>
      <c r="AJ1180" s="1654"/>
      <c r="AK1180" s="1089">
        <v>33000</v>
      </c>
      <c r="AL1180" s="1090">
        <f>AK1180*Y1180</f>
        <v>33000</v>
      </c>
      <c r="AM1180" s="1652"/>
      <c r="AN1180" s="1652"/>
      <c r="AO1180" s="1653"/>
      <c r="AP1180" s="1640"/>
      <c r="AQ1180" s="1653"/>
      <c r="AR1180" s="1640"/>
      <c r="AS1180" s="1640"/>
      <c r="AT1180" s="1652"/>
      <c r="AU1180" s="1654"/>
      <c r="AV1180" s="1655"/>
    </row>
    <row r="1181" spans="1:48" ht="16.5" customHeight="1">
      <c r="A1181" s="1640"/>
      <c r="B1181" s="1646"/>
      <c r="C1181" s="1716"/>
      <c r="D1181" s="1667"/>
      <c r="E1181" s="1628"/>
      <c r="F1181" s="1648"/>
      <c r="G1181" s="1625"/>
      <c r="H1181" s="1667"/>
      <c r="I1181" s="1629"/>
      <c r="J1181" s="1630"/>
      <c r="K1181" s="1631"/>
      <c r="L1181" s="1245"/>
      <c r="M1181" s="1320"/>
      <c r="N1181" s="1632"/>
      <c r="O1181" s="1633"/>
      <c r="P1181" s="1634"/>
      <c r="Q1181" s="1651"/>
      <c r="R1181" s="1646"/>
      <c r="S1181" s="1633"/>
      <c r="T1181" s="1668"/>
      <c r="U1181" s="1635">
        <v>14</v>
      </c>
      <c r="V1181" s="1669" t="s">
        <v>83</v>
      </c>
      <c r="W1181" s="1733"/>
      <c r="X1181" s="1671">
        <v>23</v>
      </c>
      <c r="Y1181" s="1732"/>
      <c r="Z1181" s="1672">
        <f t="shared" si="107"/>
        <v>23</v>
      </c>
      <c r="AA1181" s="1625"/>
      <c r="AB1181" s="1633"/>
      <c r="AC1181" s="1634"/>
      <c r="AD1181" s="1640"/>
      <c r="AE1181" s="1640"/>
      <c r="AF1181" s="1085"/>
      <c r="AG1181" s="1652"/>
      <c r="AH1181" s="1653"/>
      <c r="AI1181" s="1653"/>
      <c r="AJ1181" s="1654"/>
      <c r="AK1181" s="1529">
        <v>2000</v>
      </c>
      <c r="AL1181" s="1090">
        <f>AK1181*X1181</f>
        <v>46000</v>
      </c>
      <c r="AM1181" s="1652"/>
      <c r="AN1181" s="1652"/>
      <c r="AO1181" s="1653"/>
      <c r="AP1181" s="1640"/>
      <c r="AQ1181" s="1653"/>
      <c r="AR1181" s="1640"/>
      <c r="AS1181" s="1640"/>
      <c r="AT1181" s="1652"/>
      <c r="AU1181" s="1654"/>
      <c r="AV1181" s="1655"/>
    </row>
    <row r="1182" spans="1:48" ht="16.5" customHeight="1">
      <c r="A1182" s="1640"/>
      <c r="B1182" s="1646"/>
      <c r="C1182" s="1716"/>
      <c r="D1182" s="1667"/>
      <c r="E1182" s="1628"/>
      <c r="F1182" s="1648"/>
      <c r="G1182" s="1625"/>
      <c r="H1182" s="1667"/>
      <c r="I1182" s="1629"/>
      <c r="J1182" s="1630"/>
      <c r="K1182" s="1631"/>
      <c r="L1182" s="1245"/>
      <c r="M1182" s="1320"/>
      <c r="N1182" s="1632"/>
      <c r="O1182" s="1633"/>
      <c r="P1182" s="1634"/>
      <c r="Q1182" s="1651"/>
      <c r="R1182" s="1646"/>
      <c r="S1182" s="1633"/>
      <c r="T1182" s="1668"/>
      <c r="U1182" s="1635">
        <v>15</v>
      </c>
      <c r="V1182" s="1669" t="s">
        <v>81</v>
      </c>
      <c r="W1182" s="1733"/>
      <c r="X1182" s="1671">
        <v>20</v>
      </c>
      <c r="Y1182" s="1732"/>
      <c r="Z1182" s="1672">
        <f t="shared" si="107"/>
        <v>20</v>
      </c>
      <c r="AA1182" s="1625"/>
      <c r="AB1182" s="1633"/>
      <c r="AC1182" s="1634"/>
      <c r="AD1182" s="1640"/>
      <c r="AE1182" s="1640"/>
      <c r="AF1182" s="1085"/>
      <c r="AG1182" s="1652"/>
      <c r="AH1182" s="1653"/>
      <c r="AI1182" s="1653"/>
      <c r="AJ1182" s="1654"/>
      <c r="AK1182" s="1529">
        <v>500</v>
      </c>
      <c r="AL1182" s="1090">
        <f>AK1182*X1182</f>
        <v>10000</v>
      </c>
      <c r="AM1182" s="1652"/>
      <c r="AN1182" s="1652"/>
      <c r="AO1182" s="1653"/>
      <c r="AP1182" s="1640"/>
      <c r="AQ1182" s="1653"/>
      <c r="AR1182" s="1640"/>
      <c r="AS1182" s="1640"/>
      <c r="AT1182" s="1652"/>
      <c r="AU1182" s="1654"/>
      <c r="AV1182" s="1655"/>
    </row>
    <row r="1183" spans="1:48" ht="16.5" customHeight="1">
      <c r="A1183" s="1640"/>
      <c r="B1183" s="1646"/>
      <c r="C1183" s="1716"/>
      <c r="D1183" s="1667"/>
      <c r="E1183" s="1628"/>
      <c r="F1183" s="1648"/>
      <c r="G1183" s="1625"/>
      <c r="H1183" s="1667"/>
      <c r="I1183" s="1629"/>
      <c r="J1183" s="1630"/>
      <c r="K1183" s="1631"/>
      <c r="L1183" s="1245"/>
      <c r="M1183" s="1320"/>
      <c r="N1183" s="1632"/>
      <c r="O1183" s="1633"/>
      <c r="P1183" s="1634"/>
      <c r="Q1183" s="1651"/>
      <c r="R1183" s="1646"/>
      <c r="S1183" s="1633"/>
      <c r="T1183" s="1668"/>
      <c r="U1183" s="1635">
        <v>16</v>
      </c>
      <c r="V1183" s="1669" t="s">
        <v>290</v>
      </c>
      <c r="W1183" s="1733"/>
      <c r="X1183" s="1671">
        <v>1</v>
      </c>
      <c r="Y1183" s="1732"/>
      <c r="Z1183" s="1672">
        <f t="shared" si="107"/>
        <v>1</v>
      </c>
      <c r="AA1183" s="1625"/>
      <c r="AB1183" s="1633"/>
      <c r="AC1183" s="1634"/>
      <c r="AD1183" s="1640"/>
      <c r="AE1183" s="1640"/>
      <c r="AF1183" s="1085"/>
      <c r="AG1183" s="1652"/>
      <c r="AH1183" s="1653"/>
      <c r="AI1183" s="1653"/>
      <c r="AJ1183" s="1654"/>
      <c r="AK1183" s="1529">
        <v>31000</v>
      </c>
      <c r="AL1183" s="1090">
        <f>AK1183*X1183</f>
        <v>31000</v>
      </c>
      <c r="AM1183" s="1652"/>
      <c r="AN1183" s="1652"/>
      <c r="AO1183" s="1653"/>
      <c r="AP1183" s="1640"/>
      <c r="AQ1183" s="1653"/>
      <c r="AR1183" s="1640"/>
      <c r="AS1183" s="1640"/>
      <c r="AT1183" s="1652"/>
      <c r="AU1183" s="1654"/>
      <c r="AV1183" s="1655"/>
    </row>
    <row r="1184" spans="1:48" ht="16.5" customHeight="1">
      <c r="A1184" s="1640"/>
      <c r="B1184" s="1646"/>
      <c r="C1184" s="1716"/>
      <c r="D1184" s="1667"/>
      <c r="E1184" s="1628"/>
      <c r="F1184" s="1648"/>
      <c r="G1184" s="1625"/>
      <c r="H1184" s="1667"/>
      <c r="I1184" s="1629"/>
      <c r="J1184" s="1630"/>
      <c r="K1184" s="1631"/>
      <c r="L1184" s="1245"/>
      <c r="M1184" s="1320"/>
      <c r="N1184" s="1632"/>
      <c r="O1184" s="1633"/>
      <c r="P1184" s="1634"/>
      <c r="Q1184" s="1651"/>
      <c r="R1184" s="1646"/>
      <c r="S1184" s="1633"/>
      <c r="T1184" s="1668"/>
      <c r="U1184" s="1635">
        <v>17</v>
      </c>
      <c r="V1184" s="1669" t="s">
        <v>285</v>
      </c>
      <c r="W1184" s="1733"/>
      <c r="X1184" s="1671">
        <v>14</v>
      </c>
      <c r="Y1184" s="1732"/>
      <c r="Z1184" s="1672">
        <f t="shared" si="107"/>
        <v>14</v>
      </c>
      <c r="AA1184" s="1625"/>
      <c r="AB1184" s="1633"/>
      <c r="AC1184" s="1634"/>
      <c r="AD1184" s="1640"/>
      <c r="AE1184" s="1640"/>
      <c r="AF1184" s="1085"/>
      <c r="AG1184" s="1652"/>
      <c r="AH1184" s="1653"/>
      <c r="AI1184" s="1653"/>
      <c r="AJ1184" s="1654"/>
      <c r="AK1184" s="1529">
        <v>1725</v>
      </c>
      <c r="AL1184" s="1090">
        <f>AK1184*X1184</f>
        <v>24150</v>
      </c>
      <c r="AM1184" s="1652"/>
      <c r="AN1184" s="1652"/>
      <c r="AO1184" s="1653"/>
      <c r="AP1184" s="1640"/>
      <c r="AQ1184" s="1653"/>
      <c r="AR1184" s="1640"/>
      <c r="AS1184" s="1640"/>
      <c r="AT1184" s="1652"/>
      <c r="AU1184" s="1654"/>
      <c r="AV1184" s="1655"/>
    </row>
    <row r="1185" spans="1:48" ht="16.5" customHeight="1">
      <c r="A1185" s="1640"/>
      <c r="B1185" s="1646"/>
      <c r="C1185" s="1716"/>
      <c r="D1185" s="1667"/>
      <c r="E1185" s="1628"/>
      <c r="F1185" s="1648"/>
      <c r="G1185" s="1625"/>
      <c r="H1185" s="1667"/>
      <c r="I1185" s="1629"/>
      <c r="J1185" s="1630"/>
      <c r="K1185" s="1631"/>
      <c r="L1185" s="1245"/>
      <c r="M1185" s="1320"/>
      <c r="N1185" s="1632"/>
      <c r="O1185" s="1633"/>
      <c r="P1185" s="1634"/>
      <c r="Q1185" s="1651"/>
      <c r="R1185" s="1646"/>
      <c r="S1185" s="1633"/>
      <c r="T1185" s="1668"/>
      <c r="U1185" s="1635">
        <v>18</v>
      </c>
      <c r="V1185" s="1669" t="s">
        <v>344</v>
      </c>
      <c r="W1185" s="1733">
        <v>1</v>
      </c>
      <c r="X1185" s="1671"/>
      <c r="Y1185" s="1732"/>
      <c r="Z1185" s="1672">
        <f t="shared" si="107"/>
        <v>1</v>
      </c>
      <c r="AA1185" s="1625"/>
      <c r="AB1185" s="1633"/>
      <c r="AC1185" s="1634"/>
      <c r="AD1185" s="1640"/>
      <c r="AE1185" s="1640"/>
      <c r="AF1185" s="1085"/>
      <c r="AG1185" s="1652"/>
      <c r="AH1185" s="1653"/>
      <c r="AI1185" s="1653"/>
      <c r="AJ1185" s="1654"/>
      <c r="AK1185" s="1529">
        <v>150000</v>
      </c>
      <c r="AL1185" s="1090">
        <f t="shared" si="105"/>
        <v>150000</v>
      </c>
      <c r="AM1185" s="1652"/>
      <c r="AN1185" s="1652"/>
      <c r="AO1185" s="1653"/>
      <c r="AP1185" s="1640"/>
      <c r="AQ1185" s="1653"/>
      <c r="AR1185" s="1640"/>
      <c r="AS1185" s="1640"/>
      <c r="AT1185" s="1652"/>
      <c r="AU1185" s="1654"/>
      <c r="AV1185" s="1655"/>
    </row>
    <row r="1186" spans="1:48" ht="16.5" customHeight="1">
      <c r="A1186" s="1640"/>
      <c r="B1186" s="1646"/>
      <c r="C1186" s="1716"/>
      <c r="D1186" s="1667"/>
      <c r="E1186" s="1628"/>
      <c r="F1186" s="1648"/>
      <c r="G1186" s="1625"/>
      <c r="H1186" s="1667"/>
      <c r="I1186" s="1629"/>
      <c r="J1186" s="1630"/>
      <c r="K1186" s="1631"/>
      <c r="L1186" s="1245"/>
      <c r="M1186" s="1320"/>
      <c r="N1186" s="1632"/>
      <c r="O1186" s="1633"/>
      <c r="P1186" s="1634"/>
      <c r="Q1186" s="1651"/>
      <c r="R1186" s="1646"/>
      <c r="S1186" s="1633"/>
      <c r="T1186" s="1668"/>
      <c r="U1186" s="1635">
        <v>19</v>
      </c>
      <c r="V1186" s="1669" t="s">
        <v>1228</v>
      </c>
      <c r="W1186" s="1733"/>
      <c r="X1186" s="1671">
        <v>2</v>
      </c>
      <c r="Y1186" s="1732"/>
      <c r="Z1186" s="1672">
        <f t="shared" si="107"/>
        <v>2</v>
      </c>
      <c r="AA1186" s="1625"/>
      <c r="AB1186" s="1633"/>
      <c r="AC1186" s="1634"/>
      <c r="AD1186" s="1640"/>
      <c r="AE1186" s="1640"/>
      <c r="AF1186" s="1085"/>
      <c r="AG1186" s="1652"/>
      <c r="AH1186" s="1653"/>
      <c r="AI1186" s="1653"/>
      <c r="AJ1186" s="1654"/>
      <c r="AK1186" s="1529">
        <v>1725</v>
      </c>
      <c r="AL1186" s="1090">
        <f>AK1186*X1186</f>
        <v>3450</v>
      </c>
      <c r="AM1186" s="1652"/>
      <c r="AN1186" s="1652"/>
      <c r="AO1186" s="1653"/>
      <c r="AP1186" s="1640"/>
      <c r="AQ1186" s="1653"/>
      <c r="AR1186" s="1640"/>
      <c r="AS1186" s="1640"/>
      <c r="AT1186" s="1652"/>
      <c r="AU1186" s="1654"/>
      <c r="AV1186" s="1655"/>
    </row>
    <row r="1187" spans="1:48" ht="16.5" customHeight="1">
      <c r="A1187" s="1640"/>
      <c r="B1187" s="1646"/>
      <c r="C1187" s="1716"/>
      <c r="D1187" s="1667"/>
      <c r="E1187" s="1628"/>
      <c r="F1187" s="1648"/>
      <c r="G1187" s="1625"/>
      <c r="H1187" s="1667"/>
      <c r="I1187" s="1629"/>
      <c r="J1187" s="1630"/>
      <c r="K1187" s="1631"/>
      <c r="L1187" s="1245"/>
      <c r="M1187" s="1320"/>
      <c r="N1187" s="1632"/>
      <c r="O1187" s="1633"/>
      <c r="P1187" s="1634"/>
      <c r="Q1187" s="1651"/>
      <c r="R1187" s="1646"/>
      <c r="S1187" s="1633"/>
      <c r="T1187" s="1668"/>
      <c r="U1187" s="1635">
        <v>20</v>
      </c>
      <c r="V1187" s="1669" t="s">
        <v>849</v>
      </c>
      <c r="W1187" s="1733"/>
      <c r="X1187" s="1671"/>
      <c r="Y1187" s="1732">
        <v>2</v>
      </c>
      <c r="Z1187" s="1672">
        <f t="shared" si="107"/>
        <v>2</v>
      </c>
      <c r="AA1187" s="1625"/>
      <c r="AB1187" s="1633"/>
      <c r="AC1187" s="1634"/>
      <c r="AD1187" s="1640"/>
      <c r="AE1187" s="1640"/>
      <c r="AF1187" s="1085"/>
      <c r="AG1187" s="1652"/>
      <c r="AH1187" s="1653"/>
      <c r="AI1187" s="1653"/>
      <c r="AJ1187" s="1654"/>
      <c r="AK1187" s="1529">
        <v>1650</v>
      </c>
      <c r="AL1187" s="1090">
        <f>AK1187*Y1187</f>
        <v>3300</v>
      </c>
      <c r="AM1187" s="1652"/>
      <c r="AN1187" s="1652"/>
      <c r="AO1187" s="1653"/>
      <c r="AP1187" s="1640"/>
      <c r="AQ1187" s="1653"/>
      <c r="AR1187" s="1640"/>
      <c r="AS1187" s="1640"/>
      <c r="AT1187" s="1652"/>
      <c r="AU1187" s="1654"/>
      <c r="AV1187" s="1655"/>
    </row>
    <row r="1188" spans="1:48" ht="16.5" customHeight="1">
      <c r="A1188" s="1640"/>
      <c r="B1188" s="1646"/>
      <c r="C1188" s="1716"/>
      <c r="D1188" s="1667"/>
      <c r="E1188" s="1628"/>
      <c r="F1188" s="1648"/>
      <c r="G1188" s="1625"/>
      <c r="H1188" s="1667"/>
      <c r="I1188" s="1629"/>
      <c r="J1188" s="1630"/>
      <c r="K1188" s="1631"/>
      <c r="L1188" s="1245"/>
      <c r="M1188" s="1320"/>
      <c r="N1188" s="1632"/>
      <c r="O1188" s="1633"/>
      <c r="P1188" s="1634"/>
      <c r="Q1188" s="1651"/>
      <c r="R1188" s="1646"/>
      <c r="S1188" s="1633"/>
      <c r="T1188" s="1668"/>
      <c r="U1188" s="1635">
        <v>21</v>
      </c>
      <c r="V1188" s="1669" t="s">
        <v>143</v>
      </c>
      <c r="W1188" s="1733"/>
      <c r="X1188" s="1671"/>
      <c r="Y1188" s="1732">
        <v>4</v>
      </c>
      <c r="Z1188" s="1672">
        <f t="shared" si="107"/>
        <v>4</v>
      </c>
      <c r="AA1188" s="1625"/>
      <c r="AB1188" s="1633"/>
      <c r="AC1188" s="1634"/>
      <c r="AD1188" s="1640"/>
      <c r="AE1188" s="1640"/>
      <c r="AF1188" s="1085"/>
      <c r="AG1188" s="1652"/>
      <c r="AH1188" s="1653"/>
      <c r="AI1188" s="1653"/>
      <c r="AJ1188" s="1654"/>
      <c r="AK1188" s="1529">
        <v>3250</v>
      </c>
      <c r="AL1188" s="1090">
        <f>AK1188*Y1188</f>
        <v>13000</v>
      </c>
      <c r="AM1188" s="1652"/>
      <c r="AN1188" s="1652"/>
      <c r="AO1188" s="1653"/>
      <c r="AP1188" s="1640"/>
      <c r="AQ1188" s="1653"/>
      <c r="AR1188" s="1640"/>
      <c r="AS1188" s="1640"/>
      <c r="AT1188" s="1652"/>
      <c r="AU1188" s="1654"/>
      <c r="AV1188" s="1655"/>
    </row>
    <row r="1189" spans="1:48" ht="16.5" customHeight="1">
      <c r="A1189" s="1640"/>
      <c r="B1189" s="1646"/>
      <c r="C1189" s="1716"/>
      <c r="D1189" s="1667"/>
      <c r="E1189" s="1628"/>
      <c r="F1189" s="1648"/>
      <c r="G1189" s="1625"/>
      <c r="H1189" s="1667"/>
      <c r="I1189" s="1629"/>
      <c r="J1189" s="1630"/>
      <c r="K1189" s="1631"/>
      <c r="L1189" s="1245"/>
      <c r="M1189" s="1320"/>
      <c r="N1189" s="1632"/>
      <c r="O1189" s="1633"/>
      <c r="P1189" s="1634"/>
      <c r="Q1189" s="1651"/>
      <c r="R1189" s="1646"/>
      <c r="S1189" s="1633"/>
      <c r="T1189" s="1668"/>
      <c r="U1189" s="1635">
        <v>22</v>
      </c>
      <c r="V1189" s="1669" t="s">
        <v>0</v>
      </c>
      <c r="W1189" s="1733"/>
      <c r="X1189" s="1671">
        <v>4</v>
      </c>
      <c r="Y1189" s="1732"/>
      <c r="Z1189" s="1672">
        <f t="shared" si="107"/>
        <v>4</v>
      </c>
      <c r="AA1189" s="1625"/>
      <c r="AB1189" s="1633"/>
      <c r="AC1189" s="1634"/>
      <c r="AD1189" s="1640"/>
      <c r="AE1189" s="1640"/>
      <c r="AF1189" s="1085"/>
      <c r="AG1189" s="1652"/>
      <c r="AH1189" s="1653"/>
      <c r="AI1189" s="1653"/>
      <c r="AJ1189" s="1654"/>
      <c r="AK1189" s="1529">
        <v>4000</v>
      </c>
      <c r="AL1189" s="1090">
        <f>AK1189*X1189</f>
        <v>16000</v>
      </c>
      <c r="AM1189" s="1652"/>
      <c r="AN1189" s="1652"/>
      <c r="AO1189" s="1653"/>
      <c r="AP1189" s="1640"/>
      <c r="AQ1189" s="1653"/>
      <c r="AR1189" s="1640"/>
      <c r="AS1189" s="1640"/>
      <c r="AT1189" s="1652"/>
      <c r="AU1189" s="1654"/>
      <c r="AV1189" s="1655"/>
    </row>
    <row r="1190" spans="1:48" ht="16.5" customHeight="1">
      <c r="A1190" s="1673"/>
      <c r="B1190" s="1674"/>
      <c r="C1190" s="1675"/>
      <c r="D1190" s="1676"/>
      <c r="E1190" s="1677"/>
      <c r="F1190" s="1678"/>
      <c r="G1190" s="1676"/>
      <c r="H1190" s="1679"/>
      <c r="I1190" s="1680"/>
      <c r="J1190" s="1681"/>
      <c r="K1190" s="1682"/>
      <c r="L1190" s="1270"/>
      <c r="M1190" s="1549"/>
      <c r="N1190" s="1734"/>
      <c r="O1190" s="1735"/>
      <c r="P1190" s="1736"/>
      <c r="Q1190" s="1675"/>
      <c r="R1190" s="1686"/>
      <c r="S1190" s="1684"/>
      <c r="T1190" s="1687"/>
      <c r="U1190" s="1688"/>
      <c r="V1190" s="1689"/>
      <c r="W1190" s="1690"/>
      <c r="X1190" s="1691"/>
      <c r="Y1190" s="1692"/>
      <c r="Z1190" s="1693"/>
      <c r="AA1190" s="1676"/>
      <c r="AB1190" s="1684"/>
      <c r="AC1190" s="1685"/>
      <c r="AD1190" s="1673"/>
      <c r="AE1190" s="1673"/>
      <c r="AF1190" s="1115"/>
      <c r="AG1190" s="1694"/>
      <c r="AH1190" s="1695"/>
      <c r="AI1190" s="1695"/>
      <c r="AJ1190" s="1696"/>
      <c r="AK1190" s="1604"/>
      <c r="AL1190" s="1120"/>
      <c r="AM1190" s="1694"/>
      <c r="AN1190" s="1694"/>
      <c r="AO1190" s="1695"/>
      <c r="AP1190" s="1673"/>
      <c r="AQ1190" s="1695"/>
      <c r="AR1190" s="1673"/>
      <c r="AS1190" s="1673"/>
      <c r="AT1190" s="1694"/>
      <c r="AU1190" s="1696"/>
      <c r="AV1190" s="1697"/>
    </row>
    <row r="1191" spans="1:48" ht="16.5" customHeight="1">
      <c r="A1191" s="1698">
        <v>90</v>
      </c>
      <c r="B1191" s="1699" t="s">
        <v>25</v>
      </c>
      <c r="C1191" s="1700" t="s">
        <v>1361</v>
      </c>
      <c r="D1191" s="1701"/>
      <c r="E1191" s="1702"/>
      <c r="F1191" s="1730" t="s">
        <v>1360</v>
      </c>
      <c r="G1191" s="1704" t="s">
        <v>25</v>
      </c>
      <c r="H1191" s="1705" t="s">
        <v>1340</v>
      </c>
      <c r="I1191" s="1706">
        <v>292</v>
      </c>
      <c r="J1191" s="1630" t="s">
        <v>41</v>
      </c>
      <c r="K1191" s="1631" t="s">
        <v>1359</v>
      </c>
      <c r="L1191" s="1245"/>
      <c r="M1191" s="1320"/>
      <c r="N1191" s="1707" t="s">
        <v>25</v>
      </c>
      <c r="O1191" s="1723" t="s">
        <v>26</v>
      </c>
      <c r="P1191" s="1709">
        <v>1</v>
      </c>
      <c r="Q1191" s="1707">
        <v>73.72</v>
      </c>
      <c r="R1191" s="1622" t="s">
        <v>25</v>
      </c>
      <c r="S1191" s="1625" t="s">
        <v>24</v>
      </c>
      <c r="T1191" s="1709"/>
      <c r="U1191" s="1710"/>
      <c r="V1191" s="1711"/>
      <c r="W1191" s="1712"/>
      <c r="X1191" s="1713"/>
      <c r="Y1191" s="1700"/>
      <c r="Z1191" s="1651"/>
      <c r="AA1191" s="1701"/>
      <c r="AB1191" s="1708"/>
      <c r="AC1191" s="1641"/>
      <c r="AD1191" s="1641"/>
      <c r="AE1191" s="1641"/>
      <c r="AF1191" s="1056">
        <f>+Resum!F4</f>
        <v>204000</v>
      </c>
      <c r="AG1191" s="1086">
        <f>AF1191*I1191</f>
        <v>59568000</v>
      </c>
      <c r="AH1191" s="1642">
        <v>1800000</v>
      </c>
      <c r="AI1191" s="1089">
        <f>AH1191*Q1191*0.65</f>
        <v>86252400</v>
      </c>
      <c r="AJ1191" s="1724">
        <f>SUM(AI1191:AI1196)</f>
        <v>103600250</v>
      </c>
      <c r="AK1191" s="1725"/>
      <c r="AL1191" s="1090"/>
      <c r="AM1191" s="1644">
        <f>SUM(AL1193:AL1198)</f>
        <v>2396000</v>
      </c>
      <c r="AN1191" s="1086">
        <f>AM1191+AJ1191+AG1191</f>
        <v>165564250</v>
      </c>
      <c r="AO1191" s="1642"/>
      <c r="AP1191" s="1136">
        <f>(AG1191+AI1191)*15%</f>
        <v>21873060</v>
      </c>
      <c r="AQ1191" s="1087">
        <f>(AG1191+AI1191)*1%</f>
        <v>1458204</v>
      </c>
      <c r="AR1191" s="1136">
        <f>(AG1191+AI1191)*5%</f>
        <v>7291020</v>
      </c>
      <c r="AS1191" s="1087">
        <f>0.5%*(AG1191+AI1191)*(3)</f>
        <v>2187306</v>
      </c>
      <c r="AT1191" s="1086">
        <f>+AS1191+AR1191+AQ1191+AP1191+AO1191</f>
        <v>32809590</v>
      </c>
      <c r="AU1191" s="1137">
        <f>ROUND(AT1191+AN1191,-3)</f>
        <v>198374000</v>
      </c>
      <c r="AV1191" s="1645"/>
    </row>
    <row r="1192" spans="1:48" ht="16.5" customHeight="1">
      <c r="A1192" s="1640"/>
      <c r="B1192" s="1646" t="s">
        <v>16</v>
      </c>
      <c r="C1192" s="1647" t="s">
        <v>1358</v>
      </c>
      <c r="D1192" s="1625"/>
      <c r="E1192" s="1633"/>
      <c r="F1192" s="1648"/>
      <c r="G1192" s="1625" t="s">
        <v>16</v>
      </c>
      <c r="H1192" s="1625" t="s">
        <v>22</v>
      </c>
      <c r="I1192" s="1629"/>
      <c r="J1192" s="1630"/>
      <c r="K1192" s="1631"/>
      <c r="L1192" s="1245"/>
      <c r="M1192" s="1320"/>
      <c r="N1192" s="1632" t="s">
        <v>16</v>
      </c>
      <c r="O1192" s="1726" t="s">
        <v>21</v>
      </c>
      <c r="P1192" s="1634">
        <v>2</v>
      </c>
      <c r="Q1192" s="1632">
        <v>15.65</v>
      </c>
      <c r="R1192" s="1646"/>
      <c r="S1192" s="1625"/>
      <c r="T1192" s="1634"/>
      <c r="U1192" s="1635"/>
      <c r="V1192" s="1636"/>
      <c r="W1192" s="1649"/>
      <c r="X1192" s="1650"/>
      <c r="Y1192" s="1623"/>
      <c r="Z1192" s="1651"/>
      <c r="AA1192" s="1625"/>
      <c r="AB1192" s="1628"/>
      <c r="AC1192" s="1640"/>
      <c r="AD1192" s="1640"/>
      <c r="AE1192" s="1640"/>
      <c r="AF1192" s="1085"/>
      <c r="AG1192" s="1652"/>
      <c r="AH1192" s="1653">
        <v>350000</v>
      </c>
      <c r="AI1192" s="1089">
        <f>AH1192*Q1192*0.6</f>
        <v>3286500</v>
      </c>
      <c r="AJ1192" s="1654"/>
      <c r="AK1192" s="1529"/>
      <c r="AL1192" s="1090"/>
      <c r="AM1192" s="1652"/>
      <c r="AN1192" s="1652"/>
      <c r="AO1192" s="1653"/>
      <c r="AP1192" s="1640"/>
      <c r="AQ1192" s="1653"/>
      <c r="AR1192" s="1640"/>
      <c r="AS1192" s="1640"/>
      <c r="AT1192" s="1652"/>
      <c r="AU1192" s="1654"/>
      <c r="AV1192" s="1655"/>
    </row>
    <row r="1193" spans="1:48" ht="16.5" customHeight="1">
      <c r="A1193" s="1640"/>
      <c r="B1193" s="1646" t="s">
        <v>18</v>
      </c>
      <c r="C1193" s="1623" t="s">
        <v>1337</v>
      </c>
      <c r="D1193" s="1625"/>
      <c r="E1193" s="1625"/>
      <c r="F1193" s="1648"/>
      <c r="G1193" s="1625" t="s">
        <v>18</v>
      </c>
      <c r="H1193" s="1625" t="s">
        <v>19</v>
      </c>
      <c r="I1193" s="1629"/>
      <c r="J1193" s="1630"/>
      <c r="K1193" s="1631"/>
      <c r="L1193" s="1245"/>
      <c r="M1193" s="1320"/>
      <c r="N1193" s="1632" t="s">
        <v>18</v>
      </c>
      <c r="O1193" s="1726" t="s">
        <v>1357</v>
      </c>
      <c r="P1193" s="1634">
        <v>1</v>
      </c>
      <c r="Q1193" s="1632">
        <v>9.8699999999999992</v>
      </c>
      <c r="R1193" s="1646" t="s">
        <v>16</v>
      </c>
      <c r="S1193" s="1625" t="s">
        <v>15</v>
      </c>
      <c r="T1193" s="1634"/>
      <c r="U1193" s="1635">
        <v>1</v>
      </c>
      <c r="V1193" s="1636" t="s">
        <v>14</v>
      </c>
      <c r="W1193" s="1656"/>
      <c r="X1193" s="1656">
        <v>6</v>
      </c>
      <c r="Y1193" s="1657"/>
      <c r="Z1193" s="1672">
        <f>SUM(W1193:Y1193)</f>
        <v>6</v>
      </c>
      <c r="AA1193" s="1625"/>
      <c r="AB1193" s="1633"/>
      <c r="AC1193" s="1640"/>
      <c r="AD1193" s="1640"/>
      <c r="AE1193" s="1640"/>
      <c r="AF1193" s="1085"/>
      <c r="AG1193" s="1652"/>
      <c r="AH1193" s="1653">
        <v>210000</v>
      </c>
      <c r="AI1193" s="1089">
        <f>AH1193*Q1193*0.5</f>
        <v>1036349.9999999999</v>
      </c>
      <c r="AJ1193" s="1654"/>
      <c r="AK1193" s="1089">
        <v>231000</v>
      </c>
      <c r="AL1193" s="1087">
        <f>AK1193*X1193</f>
        <v>1386000</v>
      </c>
      <c r="AM1193" s="1652"/>
      <c r="AN1193" s="1652"/>
      <c r="AO1193" s="1653"/>
      <c r="AP1193" s="1640"/>
      <c r="AQ1193" s="1653"/>
      <c r="AR1193" s="1640"/>
      <c r="AS1193" s="1640"/>
      <c r="AT1193" s="1652"/>
      <c r="AU1193" s="1654"/>
      <c r="AV1193" s="1655"/>
    </row>
    <row r="1194" spans="1:48" ht="49.5" customHeight="1">
      <c r="A1194" s="1640"/>
      <c r="B1194" s="1646" t="s">
        <v>12</v>
      </c>
      <c r="C1194" s="1659" t="s">
        <v>98</v>
      </c>
      <c r="D1194" s="1625"/>
      <c r="E1194" s="1628"/>
      <c r="F1194" s="1648"/>
      <c r="G1194" s="1625"/>
      <c r="H1194" s="1667"/>
      <c r="I1194" s="1629"/>
      <c r="J1194" s="1630"/>
      <c r="K1194" s="1631"/>
      <c r="L1194" s="1245"/>
      <c r="M1194" s="1320"/>
      <c r="N1194" s="1632" t="s">
        <v>12</v>
      </c>
      <c r="O1194" s="1726" t="s">
        <v>11</v>
      </c>
      <c r="P1194" s="1634">
        <v>1</v>
      </c>
      <c r="Q1194" s="1632"/>
      <c r="R1194" s="1622"/>
      <c r="S1194" s="1633"/>
      <c r="T1194" s="1634"/>
      <c r="U1194" s="1635">
        <v>2</v>
      </c>
      <c r="V1194" s="1636" t="s">
        <v>10</v>
      </c>
      <c r="W1194" s="1649"/>
      <c r="X1194" s="1650">
        <v>4</v>
      </c>
      <c r="Y1194" s="1623"/>
      <c r="Z1194" s="1672">
        <f>SUM(W1194:Y1194)</f>
        <v>4</v>
      </c>
      <c r="AA1194" s="1625"/>
      <c r="AB1194" s="1633"/>
      <c r="AC1194" s="1634"/>
      <c r="AD1194" s="1640"/>
      <c r="AE1194" s="1640"/>
      <c r="AF1194" s="1085"/>
      <c r="AG1194" s="1652"/>
      <c r="AH1194" s="1653">
        <v>2500000</v>
      </c>
      <c r="AI1194" s="1089">
        <f>AH1194*P1194*0.75</f>
        <v>1875000</v>
      </c>
      <c r="AJ1194" s="1654"/>
      <c r="AK1194" s="1529">
        <v>35000</v>
      </c>
      <c r="AL1194" s="1090">
        <f>AK1194*X1194</f>
        <v>140000</v>
      </c>
      <c r="AM1194" s="1652"/>
      <c r="AN1194" s="1652"/>
      <c r="AO1194" s="1653"/>
      <c r="AP1194" s="1640"/>
      <c r="AQ1194" s="1653"/>
      <c r="AR1194" s="1640"/>
      <c r="AS1194" s="1640"/>
      <c r="AT1194" s="1652"/>
      <c r="AU1194" s="1654"/>
      <c r="AV1194" s="1655"/>
    </row>
    <row r="1195" spans="1:48" ht="16.5" customHeight="1">
      <c r="A1195" s="1640"/>
      <c r="B1195" s="1646" t="s">
        <v>8</v>
      </c>
      <c r="C1195" s="1716" t="s">
        <v>1356</v>
      </c>
      <c r="D1195" s="1625"/>
      <c r="E1195" s="1628"/>
      <c r="F1195" s="1648"/>
      <c r="G1195" s="1625"/>
      <c r="H1195" s="1667"/>
      <c r="I1195" s="1629"/>
      <c r="J1195" s="1630"/>
      <c r="K1195" s="1631"/>
      <c r="L1195" s="1245"/>
      <c r="M1195" s="1320"/>
      <c r="N1195" s="1632" t="s">
        <v>8</v>
      </c>
      <c r="O1195" s="1726" t="s">
        <v>7</v>
      </c>
      <c r="P1195" s="1634"/>
      <c r="Q1195" s="1651">
        <v>66</v>
      </c>
      <c r="R1195" s="1622"/>
      <c r="S1195" s="1633"/>
      <c r="T1195" s="1634"/>
      <c r="U1195" s="1635">
        <v>3</v>
      </c>
      <c r="V1195" s="1636" t="s">
        <v>142</v>
      </c>
      <c r="W1195" s="1714">
        <v>3</v>
      </c>
      <c r="X1195" s="1650"/>
      <c r="Y1195" s="1623"/>
      <c r="Z1195" s="1672">
        <f>SUM(W1195:Y1195)</f>
        <v>3</v>
      </c>
      <c r="AA1195" s="1625"/>
      <c r="AB1195" s="1633"/>
      <c r="AC1195" s="1634"/>
      <c r="AD1195" s="1640"/>
      <c r="AE1195" s="1640"/>
      <c r="AF1195" s="1085"/>
      <c r="AG1195" s="1652"/>
      <c r="AH1195" s="1653">
        <v>300000</v>
      </c>
      <c r="AI1195" s="1729">
        <f>AH1195*Q1195*0.5</f>
        <v>9900000</v>
      </c>
      <c r="AJ1195" s="1654"/>
      <c r="AK1195" s="1529">
        <v>250000</v>
      </c>
      <c r="AL1195" s="1090">
        <f t="shared" si="105"/>
        <v>750000</v>
      </c>
      <c r="AM1195" s="1652"/>
      <c r="AN1195" s="1652"/>
      <c r="AO1195" s="1653"/>
      <c r="AP1195" s="1640"/>
      <c r="AQ1195" s="1653"/>
      <c r="AR1195" s="1640"/>
      <c r="AS1195" s="1640"/>
      <c r="AT1195" s="1652"/>
      <c r="AU1195" s="1654"/>
      <c r="AV1195" s="1655"/>
    </row>
    <row r="1196" spans="1:48" ht="16.5" customHeight="1">
      <c r="A1196" s="1640"/>
      <c r="B1196" s="1646"/>
      <c r="C1196" s="1659"/>
      <c r="D1196" s="1625"/>
      <c r="E1196" s="1628"/>
      <c r="F1196" s="1648"/>
      <c r="G1196" s="1625"/>
      <c r="H1196" s="1667"/>
      <c r="I1196" s="1629"/>
      <c r="J1196" s="1630"/>
      <c r="K1196" s="1631"/>
      <c r="L1196" s="1245"/>
      <c r="M1196" s="1320"/>
      <c r="N1196" s="1632" t="s">
        <v>54</v>
      </c>
      <c r="O1196" s="1737" t="s">
        <v>17</v>
      </c>
      <c r="P1196" s="1634">
        <v>1</v>
      </c>
      <c r="Q1196" s="1651"/>
      <c r="R1196" s="1622"/>
      <c r="S1196" s="1633"/>
      <c r="T1196" s="1634"/>
      <c r="U1196" s="1635">
        <v>4</v>
      </c>
      <c r="V1196" s="1636" t="s">
        <v>48</v>
      </c>
      <c r="W1196" s="1714">
        <v>6</v>
      </c>
      <c r="X1196" s="1650"/>
      <c r="Y1196" s="1623"/>
      <c r="Z1196" s="1672">
        <f>SUM(W1196:Y1196)</f>
        <v>6</v>
      </c>
      <c r="AA1196" s="1625"/>
      <c r="AB1196" s="1633"/>
      <c r="AC1196" s="1634"/>
      <c r="AD1196" s="1640"/>
      <c r="AE1196" s="1640"/>
      <c r="AF1196" s="1085"/>
      <c r="AG1196" s="1652"/>
      <c r="AH1196" s="1653">
        <v>2500000</v>
      </c>
      <c r="AI1196" s="1089">
        <f>AH1196*P1196*0.5</f>
        <v>1250000</v>
      </c>
      <c r="AJ1196" s="1654"/>
      <c r="AK1196" s="1529">
        <v>15000</v>
      </c>
      <c r="AL1196" s="1090">
        <f t="shared" si="105"/>
        <v>90000</v>
      </c>
      <c r="AM1196" s="1652"/>
      <c r="AN1196" s="1652"/>
      <c r="AO1196" s="1653"/>
      <c r="AP1196" s="1640"/>
      <c r="AQ1196" s="1653"/>
      <c r="AR1196" s="1640"/>
      <c r="AS1196" s="1640"/>
      <c r="AT1196" s="1652"/>
      <c r="AU1196" s="1654"/>
      <c r="AV1196" s="1655"/>
    </row>
    <row r="1197" spans="1:48" ht="16.5" customHeight="1">
      <c r="A1197" s="1640"/>
      <c r="B1197" s="1738"/>
      <c r="C1197" s="1666"/>
      <c r="D1197" s="1625"/>
      <c r="E1197" s="1628"/>
      <c r="F1197" s="1648"/>
      <c r="G1197" s="1625"/>
      <c r="H1197" s="1667"/>
      <c r="I1197" s="1629"/>
      <c r="J1197" s="1630"/>
      <c r="K1197" s="1631"/>
      <c r="L1197" s="1245"/>
      <c r="M1197" s="1320"/>
      <c r="N1197" s="1739"/>
      <c r="O1197" s="1740"/>
      <c r="P1197" s="1741"/>
      <c r="Q1197" s="1666"/>
      <c r="R1197" s="1622"/>
      <c r="S1197" s="1633"/>
      <c r="T1197" s="1634"/>
      <c r="U1197" s="1635"/>
      <c r="V1197" s="1636" t="s">
        <v>48</v>
      </c>
      <c r="W1197" s="1714"/>
      <c r="X1197" s="1650">
        <v>3</v>
      </c>
      <c r="Y1197" s="1623"/>
      <c r="Z1197" s="1672"/>
      <c r="AA1197" s="1625"/>
      <c r="AB1197" s="1633"/>
      <c r="AC1197" s="1634"/>
      <c r="AD1197" s="1640"/>
      <c r="AE1197" s="1640"/>
      <c r="AF1197" s="1085"/>
      <c r="AG1197" s="1652"/>
      <c r="AH1197" s="1653"/>
      <c r="AI1197" s="1653"/>
      <c r="AJ1197" s="1654"/>
      <c r="AK1197" s="1529">
        <v>10000</v>
      </c>
      <c r="AL1197" s="1090">
        <f>AK1197*X1197</f>
        <v>30000</v>
      </c>
      <c r="AM1197" s="1652"/>
      <c r="AN1197" s="1652"/>
      <c r="AO1197" s="1653"/>
      <c r="AP1197" s="1640"/>
      <c r="AQ1197" s="1653"/>
      <c r="AR1197" s="1640"/>
      <c r="AS1197" s="1640"/>
      <c r="AT1197" s="1652"/>
      <c r="AU1197" s="1654"/>
      <c r="AV1197" s="1655"/>
    </row>
    <row r="1198" spans="1:48" ht="16.5" customHeight="1">
      <c r="A1198" s="1673"/>
      <c r="B1198" s="1674"/>
      <c r="C1198" s="1675"/>
      <c r="D1198" s="1676"/>
      <c r="E1198" s="1677"/>
      <c r="F1198" s="1678"/>
      <c r="G1198" s="1676"/>
      <c r="H1198" s="1679"/>
      <c r="I1198" s="1680"/>
      <c r="J1198" s="1681"/>
      <c r="K1198" s="1682"/>
      <c r="L1198" s="1245"/>
      <c r="M1198" s="1320"/>
      <c r="N1198" s="1734"/>
      <c r="O1198" s="1735"/>
      <c r="P1198" s="1736"/>
      <c r="Q1198" s="1675"/>
      <c r="R1198" s="1686"/>
      <c r="S1198" s="1676"/>
      <c r="T1198" s="1685"/>
      <c r="U1198" s="1717"/>
      <c r="V1198" s="1718"/>
      <c r="W1198" s="1719"/>
      <c r="X1198" s="1720"/>
      <c r="Y1198" s="1721"/>
      <c r="Z1198" s="1693"/>
      <c r="AA1198" s="1676"/>
      <c r="AB1198" s="1684"/>
      <c r="AC1198" s="1685"/>
      <c r="AD1198" s="1673"/>
      <c r="AE1198" s="1673"/>
      <c r="AF1198" s="1115"/>
      <c r="AG1198" s="1694"/>
      <c r="AH1198" s="1695"/>
      <c r="AI1198" s="1695"/>
      <c r="AJ1198" s="1696"/>
      <c r="AK1198" s="1604"/>
      <c r="AL1198" s="1120"/>
      <c r="AM1198" s="1694"/>
      <c r="AN1198" s="1694"/>
      <c r="AO1198" s="1695"/>
      <c r="AP1198" s="1673"/>
      <c r="AQ1198" s="1695"/>
      <c r="AR1198" s="1673"/>
      <c r="AS1198" s="1673"/>
      <c r="AT1198" s="1694"/>
      <c r="AU1198" s="1696"/>
      <c r="AV1198" s="1697"/>
    </row>
    <row r="1199" spans="1:48" ht="16.5" customHeight="1">
      <c r="A1199" s="1698">
        <v>91</v>
      </c>
      <c r="B1199" s="1699" t="s">
        <v>25</v>
      </c>
      <c r="C1199" s="1700" t="s">
        <v>1355</v>
      </c>
      <c r="D1199" s="1702"/>
      <c r="E1199" s="1742"/>
      <c r="F1199" s="1730" t="s">
        <v>1354</v>
      </c>
      <c r="G1199" s="1704" t="s">
        <v>25</v>
      </c>
      <c r="H1199" s="1705" t="s">
        <v>1340</v>
      </c>
      <c r="I1199" s="1706">
        <v>158</v>
      </c>
      <c r="J1199" s="1630" t="s">
        <v>41</v>
      </c>
      <c r="K1199" s="1722" t="s">
        <v>1353</v>
      </c>
      <c r="L1199" s="1373"/>
      <c r="M1199" s="1317"/>
      <c r="N1199" s="1707" t="s">
        <v>25</v>
      </c>
      <c r="O1199" s="1701" t="s">
        <v>26</v>
      </c>
      <c r="P1199" s="1709">
        <v>1</v>
      </c>
      <c r="Q1199" s="1707">
        <v>70.88</v>
      </c>
      <c r="R1199" s="1699" t="s">
        <v>25</v>
      </c>
      <c r="S1199" s="1702" t="s">
        <v>24</v>
      </c>
      <c r="T1199" s="1709"/>
      <c r="U1199" s="1710"/>
      <c r="V1199" s="1711"/>
      <c r="W1199" s="1712"/>
      <c r="X1199" s="1713"/>
      <c r="Y1199" s="1700"/>
      <c r="Z1199" s="1651"/>
      <c r="AA1199" s="1701"/>
      <c r="AB1199" s="1708"/>
      <c r="AC1199" s="1641"/>
      <c r="AD1199" s="1641"/>
      <c r="AE1199" s="1641"/>
      <c r="AF1199" s="1056">
        <f>+Resum!F4</f>
        <v>204000</v>
      </c>
      <c r="AG1199" s="1086">
        <f>AF1199*I1199</f>
        <v>32232000</v>
      </c>
      <c r="AH1199" s="1642">
        <v>2200000</v>
      </c>
      <c r="AI1199" s="1089">
        <f>AH1199*Q1199*0.7</f>
        <v>109155200</v>
      </c>
      <c r="AJ1199" s="1724">
        <f>SUM(AI1199:AI1203)</f>
        <v>142163400</v>
      </c>
      <c r="AK1199" s="1725"/>
      <c r="AL1199" s="1090"/>
      <c r="AM1199" s="1644">
        <f>SUM(AL1200:AL1210)</f>
        <v>2710750</v>
      </c>
      <c r="AN1199" s="1086">
        <f>AM1199+AJ1199+AG1199</f>
        <v>177106150</v>
      </c>
      <c r="AO1199" s="1642"/>
      <c r="AP1199" s="1136">
        <f>(AG1199+AI1199)*15%</f>
        <v>21208080</v>
      </c>
      <c r="AQ1199" s="1087">
        <f>(AG1199+AI1199)*1%</f>
        <v>1413872</v>
      </c>
      <c r="AR1199" s="1136">
        <f>(AG1199+AI1199)*5%</f>
        <v>7069360</v>
      </c>
      <c r="AS1199" s="1087">
        <f>0.5%*(AG1199+AI1199)*(3)</f>
        <v>2120808</v>
      </c>
      <c r="AT1199" s="1086">
        <f>+AS1199+AR1199+AQ1199+AP1199+AO1199</f>
        <v>31812120</v>
      </c>
      <c r="AU1199" s="1137">
        <f>ROUND(AT1199+AN1199,-3)</f>
        <v>208918000</v>
      </c>
      <c r="AV1199" s="1645"/>
    </row>
    <row r="1200" spans="1:48" ht="16.5" customHeight="1">
      <c r="A1200" s="1640"/>
      <c r="B1200" s="1646" t="s">
        <v>16</v>
      </c>
      <c r="C1200" s="1647" t="s">
        <v>1352</v>
      </c>
      <c r="D1200" s="1625"/>
      <c r="E1200" s="1743"/>
      <c r="F1200" s="1648"/>
      <c r="G1200" s="1625" t="s">
        <v>16</v>
      </c>
      <c r="H1200" s="1625" t="s">
        <v>22</v>
      </c>
      <c r="I1200" s="1629"/>
      <c r="J1200" s="1630"/>
      <c r="K1200" s="1631"/>
      <c r="L1200" s="1245"/>
      <c r="M1200" s="1320"/>
      <c r="N1200" s="1632" t="s">
        <v>16</v>
      </c>
      <c r="O1200" s="1624" t="s">
        <v>21</v>
      </c>
      <c r="P1200" s="1634">
        <v>1</v>
      </c>
      <c r="Q1200" s="1632">
        <v>3.6</v>
      </c>
      <c r="R1200" s="1646"/>
      <c r="S1200" s="1625"/>
      <c r="T1200" s="1634"/>
      <c r="U1200" s="1635"/>
      <c r="V1200" s="1636"/>
      <c r="W1200" s="1714"/>
      <c r="X1200" s="1650"/>
      <c r="Y1200" s="1623"/>
      <c r="Z1200" s="1672"/>
      <c r="AA1200" s="1625"/>
      <c r="AB1200" s="1628"/>
      <c r="AC1200" s="1640"/>
      <c r="AD1200" s="1640"/>
      <c r="AE1200" s="1640"/>
      <c r="AF1200" s="1085"/>
      <c r="AG1200" s="1652"/>
      <c r="AH1200" s="1653">
        <v>350000</v>
      </c>
      <c r="AI1200" s="1089">
        <f>AH1200*Q1200*0.65</f>
        <v>819000</v>
      </c>
      <c r="AJ1200" s="1654"/>
      <c r="AK1200" s="1529"/>
      <c r="AL1200" s="1090"/>
      <c r="AM1200" s="1652"/>
      <c r="AN1200" s="1652"/>
      <c r="AO1200" s="1653"/>
      <c r="AP1200" s="1640"/>
      <c r="AQ1200" s="1653"/>
      <c r="AR1200" s="1640"/>
      <c r="AS1200" s="1640"/>
      <c r="AT1200" s="1652"/>
      <c r="AU1200" s="1654"/>
      <c r="AV1200" s="1655"/>
    </row>
    <row r="1201" spans="1:48" ht="33" customHeight="1">
      <c r="A1201" s="1640"/>
      <c r="B1201" s="1646" t="s">
        <v>18</v>
      </c>
      <c r="C1201" s="1623" t="s">
        <v>60</v>
      </c>
      <c r="D1201" s="1625"/>
      <c r="E1201" s="1743"/>
      <c r="F1201" s="1648"/>
      <c r="G1201" s="1625" t="s">
        <v>18</v>
      </c>
      <c r="H1201" s="1625" t="s">
        <v>19</v>
      </c>
      <c r="I1201" s="1629"/>
      <c r="J1201" s="1630"/>
      <c r="K1201" s="1631"/>
      <c r="L1201" s="1245"/>
      <c r="M1201" s="1320"/>
      <c r="N1201" s="1632" t="s">
        <v>18</v>
      </c>
      <c r="O1201" s="1726" t="s">
        <v>274</v>
      </c>
      <c r="P1201" s="1634">
        <v>1</v>
      </c>
      <c r="Q1201" s="1632">
        <v>25.76</v>
      </c>
      <c r="R1201" s="1646" t="s">
        <v>16</v>
      </c>
      <c r="S1201" s="1625" t="s">
        <v>15</v>
      </c>
      <c r="T1201" s="1634">
        <v>10</v>
      </c>
      <c r="U1201" s="1715">
        <v>1</v>
      </c>
      <c r="V1201" s="1636" t="s">
        <v>14</v>
      </c>
      <c r="W1201" s="1714"/>
      <c r="X1201" s="1650"/>
      <c r="Y1201" s="1623">
        <v>15</v>
      </c>
      <c r="Z1201" s="1672">
        <f>SUM(W1201:Y1201)</f>
        <v>15</v>
      </c>
      <c r="AA1201" s="1625"/>
      <c r="AB1201" s="1633"/>
      <c r="AC1201" s="1640"/>
      <c r="AD1201" s="1640"/>
      <c r="AE1201" s="1640"/>
      <c r="AF1201" s="1085"/>
      <c r="AG1201" s="1652"/>
      <c r="AH1201" s="1653">
        <v>1800000</v>
      </c>
      <c r="AI1201" s="1089">
        <f>AH1201*Q1201*0.65</f>
        <v>30139200</v>
      </c>
      <c r="AJ1201" s="1654"/>
      <c r="AK1201" s="1089">
        <v>115500</v>
      </c>
      <c r="AL1201" s="1087">
        <f>AK1201*Y1201</f>
        <v>1732500</v>
      </c>
      <c r="AM1201" s="1652"/>
      <c r="AN1201" s="1652"/>
      <c r="AO1201" s="1653"/>
      <c r="AP1201" s="1640"/>
      <c r="AQ1201" s="1653"/>
      <c r="AR1201" s="1640"/>
      <c r="AS1201" s="1640"/>
      <c r="AT1201" s="1652"/>
      <c r="AU1201" s="1654"/>
      <c r="AV1201" s="1655"/>
    </row>
    <row r="1202" spans="1:48" ht="49.5" customHeight="1">
      <c r="A1202" s="1640"/>
      <c r="B1202" s="1658" t="s">
        <v>12</v>
      </c>
      <c r="C1202" s="1647" t="s">
        <v>1351</v>
      </c>
      <c r="D1202" s="1625"/>
      <c r="E1202" s="1743"/>
      <c r="F1202" s="1648"/>
      <c r="G1202" s="1625"/>
      <c r="H1202" s="1625"/>
      <c r="I1202" s="1629"/>
      <c r="J1202" s="1630"/>
      <c r="K1202" s="1631"/>
      <c r="L1202" s="1245"/>
      <c r="M1202" s="1320"/>
      <c r="N1202" s="1632" t="s">
        <v>12</v>
      </c>
      <c r="O1202" s="1726" t="s">
        <v>365</v>
      </c>
      <c r="P1202" s="1634">
        <v>1</v>
      </c>
      <c r="Q1202" s="1632">
        <v>17</v>
      </c>
      <c r="R1202" s="1646"/>
      <c r="S1202" s="1625"/>
      <c r="T1202" s="1634"/>
      <c r="U1202" s="1715">
        <v>2</v>
      </c>
      <c r="V1202" s="1636" t="s">
        <v>144</v>
      </c>
      <c r="W1202" s="1714"/>
      <c r="X1202" s="1650">
        <v>2</v>
      </c>
      <c r="Y1202" s="1623"/>
      <c r="Z1202" s="1672">
        <f>SUM(W1202:Y1202)</f>
        <v>2</v>
      </c>
      <c r="AA1202" s="1625"/>
      <c r="AB1202" s="1633"/>
      <c r="AC1202" s="1640"/>
      <c r="AD1202" s="1640"/>
      <c r="AE1202" s="1640"/>
      <c r="AF1202" s="1085"/>
      <c r="AG1202" s="1652"/>
      <c r="AH1202" s="1653">
        <v>350000</v>
      </c>
      <c r="AI1202" s="1089">
        <f>AH1202*P1202*0.5</f>
        <v>175000</v>
      </c>
      <c r="AJ1202" s="1654"/>
      <c r="AK1202" s="1529">
        <v>13250</v>
      </c>
      <c r="AL1202" s="1090">
        <f>AK1202*X1202</f>
        <v>26500</v>
      </c>
      <c r="AM1202" s="1652"/>
      <c r="AN1202" s="1652"/>
      <c r="AO1202" s="1653"/>
      <c r="AP1202" s="1640"/>
      <c r="AQ1202" s="1653"/>
      <c r="AR1202" s="1640"/>
      <c r="AS1202" s="1640"/>
      <c r="AT1202" s="1652"/>
      <c r="AU1202" s="1654"/>
      <c r="AV1202" s="1655"/>
    </row>
    <row r="1203" spans="1:48" ht="16.5" customHeight="1">
      <c r="A1203" s="1640"/>
      <c r="B1203" s="1646" t="s">
        <v>8</v>
      </c>
      <c r="C1203" s="1744" t="s">
        <v>1350</v>
      </c>
      <c r="D1203" s="1625"/>
      <c r="E1203" s="1743"/>
      <c r="F1203" s="1648"/>
      <c r="G1203" s="1625"/>
      <c r="H1203" s="1625"/>
      <c r="I1203" s="1629"/>
      <c r="J1203" s="1630"/>
      <c r="K1203" s="1631"/>
      <c r="L1203" s="1245"/>
      <c r="M1203" s="1320"/>
      <c r="N1203" s="1632" t="s">
        <v>8</v>
      </c>
      <c r="O1203" s="1726" t="s">
        <v>11</v>
      </c>
      <c r="P1203" s="1634">
        <v>1</v>
      </c>
      <c r="Q1203" s="1632"/>
      <c r="R1203" s="1646"/>
      <c r="S1203" s="1625"/>
      <c r="T1203" s="1634"/>
      <c r="U1203" s="1715">
        <v>3</v>
      </c>
      <c r="V1203" s="1636" t="s">
        <v>265</v>
      </c>
      <c r="W1203" s="1714"/>
      <c r="X1203" s="1650"/>
      <c r="Y1203" s="1623">
        <v>10</v>
      </c>
      <c r="Z1203" s="1672">
        <f>SUM(W1203:Y1203)</f>
        <v>10</v>
      </c>
      <c r="AA1203" s="1625"/>
      <c r="AB1203" s="1633"/>
      <c r="AC1203" s="1640"/>
      <c r="AD1203" s="1640"/>
      <c r="AE1203" s="1640"/>
      <c r="AF1203" s="1085"/>
      <c r="AG1203" s="1652"/>
      <c r="AH1203" s="1653">
        <v>2500000</v>
      </c>
      <c r="AI1203" s="1089">
        <f>AH1203*P1203*0.75</f>
        <v>1875000</v>
      </c>
      <c r="AJ1203" s="1654"/>
      <c r="AK1203" s="1089">
        <v>33000</v>
      </c>
      <c r="AL1203" s="1090">
        <f>AK1203*Y1203</f>
        <v>330000</v>
      </c>
      <c r="AM1203" s="1652"/>
      <c r="AN1203" s="1652"/>
      <c r="AO1203" s="1653"/>
      <c r="AP1203" s="1640"/>
      <c r="AQ1203" s="1653"/>
      <c r="AR1203" s="1640"/>
      <c r="AS1203" s="1640"/>
      <c r="AT1203" s="1652"/>
      <c r="AU1203" s="1654"/>
      <c r="AV1203" s="1655"/>
    </row>
    <row r="1204" spans="1:48" ht="16.5" customHeight="1">
      <c r="A1204" s="1640"/>
      <c r="B1204" s="1646"/>
      <c r="C1204" s="1744"/>
      <c r="D1204" s="1625"/>
      <c r="E1204" s="1743"/>
      <c r="F1204" s="1648"/>
      <c r="G1204" s="1625"/>
      <c r="H1204" s="1625"/>
      <c r="I1204" s="1629"/>
      <c r="J1204" s="1630"/>
      <c r="K1204" s="1631"/>
      <c r="L1204" s="1245"/>
      <c r="M1204" s="1320"/>
      <c r="N1204" s="1632"/>
      <c r="O1204" s="1633"/>
      <c r="P1204" s="1634"/>
      <c r="Q1204" s="1632"/>
      <c r="R1204" s="1646"/>
      <c r="S1204" s="1625"/>
      <c r="T1204" s="1634"/>
      <c r="U1204" s="1715">
        <v>4</v>
      </c>
      <c r="V1204" s="1636" t="s">
        <v>142</v>
      </c>
      <c r="W1204" s="1714">
        <v>2</v>
      </c>
      <c r="X1204" s="1650"/>
      <c r="Y1204" s="1623"/>
      <c r="Z1204" s="1672">
        <f>SUM(W1204:Y1204)</f>
        <v>2</v>
      </c>
      <c r="AA1204" s="1625"/>
      <c r="AB1204" s="1633"/>
      <c r="AC1204" s="1640"/>
      <c r="AD1204" s="1640"/>
      <c r="AE1204" s="1640"/>
      <c r="AF1204" s="1085"/>
      <c r="AG1204" s="1652"/>
      <c r="AH1204" s="1653"/>
      <c r="AI1204" s="1653"/>
      <c r="AJ1204" s="1654"/>
      <c r="AK1204" s="1529">
        <v>250000</v>
      </c>
      <c r="AL1204" s="1090">
        <f t="shared" si="105"/>
        <v>500000</v>
      </c>
      <c r="AM1204" s="1652"/>
      <c r="AN1204" s="1652"/>
      <c r="AO1204" s="1653"/>
      <c r="AP1204" s="1640"/>
      <c r="AQ1204" s="1653"/>
      <c r="AR1204" s="1640"/>
      <c r="AS1204" s="1640"/>
      <c r="AT1204" s="1652"/>
      <c r="AU1204" s="1654"/>
      <c r="AV1204" s="1655"/>
    </row>
    <row r="1205" spans="1:48" ht="16.5" customHeight="1">
      <c r="A1205" s="1640"/>
      <c r="B1205" s="1646"/>
      <c r="C1205" s="1744"/>
      <c r="D1205" s="1625"/>
      <c r="E1205" s="1743"/>
      <c r="F1205" s="1648"/>
      <c r="G1205" s="1625"/>
      <c r="H1205" s="1625"/>
      <c r="I1205" s="1629"/>
      <c r="J1205" s="1630"/>
      <c r="K1205" s="1631"/>
      <c r="L1205" s="1245"/>
      <c r="M1205" s="1320"/>
      <c r="N1205" s="1632"/>
      <c r="O1205" s="1633"/>
      <c r="P1205" s="1634"/>
      <c r="Q1205" s="1632"/>
      <c r="R1205" s="1646"/>
      <c r="S1205" s="1625"/>
      <c r="T1205" s="1634"/>
      <c r="U1205" s="1715">
        <v>5</v>
      </c>
      <c r="V1205" s="1636" t="s">
        <v>221</v>
      </c>
      <c r="W1205" s="1714"/>
      <c r="X1205" s="1650"/>
      <c r="Y1205" s="1623">
        <v>50</v>
      </c>
      <c r="Z1205" s="1672">
        <f>SUM(W1205:Y1205)</f>
        <v>50</v>
      </c>
      <c r="AA1205" s="1625"/>
      <c r="AB1205" s="1633"/>
      <c r="AC1205" s="1640"/>
      <c r="AD1205" s="1640"/>
      <c r="AE1205" s="1640"/>
      <c r="AF1205" s="1085"/>
      <c r="AG1205" s="1652"/>
      <c r="AH1205" s="1653"/>
      <c r="AI1205" s="1653"/>
      <c r="AJ1205" s="1654"/>
      <c r="AK1205" s="1089">
        <v>2435</v>
      </c>
      <c r="AL1205" s="1090">
        <f>AK1205*Y1205</f>
        <v>121750</v>
      </c>
      <c r="AM1205" s="1652"/>
      <c r="AN1205" s="1652"/>
      <c r="AO1205" s="1653"/>
      <c r="AP1205" s="1640"/>
      <c r="AQ1205" s="1653"/>
      <c r="AR1205" s="1640"/>
      <c r="AS1205" s="1640"/>
      <c r="AT1205" s="1652"/>
      <c r="AU1205" s="1654"/>
      <c r="AV1205" s="1655"/>
    </row>
    <row r="1206" spans="1:48" ht="16.5" customHeight="1">
      <c r="A1206" s="1640"/>
      <c r="B1206" s="1646"/>
      <c r="C1206" s="1744"/>
      <c r="D1206" s="1625"/>
      <c r="E1206" s="1743"/>
      <c r="F1206" s="1648"/>
      <c r="G1206" s="1625"/>
      <c r="H1206" s="1625"/>
      <c r="I1206" s="1629"/>
      <c r="J1206" s="1630"/>
      <c r="K1206" s="1631"/>
      <c r="L1206" s="1245"/>
      <c r="M1206" s="1320"/>
      <c r="N1206" s="1632"/>
      <c r="O1206" s="1633"/>
      <c r="P1206" s="1634"/>
      <c r="Q1206" s="1632"/>
      <c r="R1206" s="1646"/>
      <c r="S1206" s="1625"/>
      <c r="T1206" s="1634"/>
      <c r="U1206" s="1715">
        <v>6</v>
      </c>
      <c r="V1206" s="1636" t="s">
        <v>133</v>
      </c>
      <c r="W1206" s="1714"/>
      <c r="X1206" s="1650"/>
      <c r="Y1206" s="1623"/>
      <c r="Z1206" s="1672">
        <v>10</v>
      </c>
      <c r="AA1206" s="1625"/>
      <c r="AB1206" s="1633"/>
      <c r="AC1206" s="1640"/>
      <c r="AD1206" s="1640"/>
      <c r="AE1206" s="1640"/>
      <c r="AF1206" s="1085"/>
      <c r="AG1206" s="1652"/>
      <c r="AH1206" s="1653"/>
      <c r="AI1206" s="1653"/>
      <c r="AJ1206" s="1654"/>
      <c r="AK1206" s="1529"/>
      <c r="AL1206" s="1090">
        <f t="shared" ref="AL1206:AL1267" si="108">AK1206*W1206</f>
        <v>0</v>
      </c>
      <c r="AM1206" s="1652"/>
      <c r="AN1206" s="1652"/>
      <c r="AO1206" s="1653"/>
      <c r="AP1206" s="1640"/>
      <c r="AQ1206" s="1653"/>
      <c r="AR1206" s="1640"/>
      <c r="AS1206" s="1640"/>
      <c r="AT1206" s="1652"/>
      <c r="AU1206" s="1654"/>
      <c r="AV1206" s="1655"/>
    </row>
    <row r="1207" spans="1:48" ht="16.5" customHeight="1">
      <c r="A1207" s="1640"/>
      <c r="B1207" s="1646"/>
      <c r="C1207" s="1744"/>
      <c r="D1207" s="1625"/>
      <c r="E1207" s="1743"/>
      <c r="F1207" s="1648"/>
      <c r="G1207" s="1625"/>
      <c r="H1207" s="1625"/>
      <c r="I1207" s="1629"/>
      <c r="J1207" s="1630"/>
      <c r="K1207" s="1631"/>
      <c r="L1207" s="1245"/>
      <c r="M1207" s="1320"/>
      <c r="N1207" s="1632"/>
      <c r="O1207" s="1633"/>
      <c r="P1207" s="1634"/>
      <c r="Q1207" s="1632"/>
      <c r="R1207" s="1646"/>
      <c r="S1207" s="1625"/>
      <c r="T1207" s="1634"/>
      <c r="U1207" s="1715">
        <v>7</v>
      </c>
      <c r="V1207" s="1636" t="s">
        <v>1286</v>
      </c>
      <c r="W1207" s="1714"/>
      <c r="X1207" s="1650"/>
      <c r="Y1207" s="1623"/>
      <c r="Z1207" s="1672" t="s">
        <v>253</v>
      </c>
      <c r="AA1207" s="1625"/>
      <c r="AB1207" s="1633"/>
      <c r="AC1207" s="1640"/>
      <c r="AD1207" s="1640"/>
      <c r="AE1207" s="1640"/>
      <c r="AF1207" s="1085"/>
      <c r="AG1207" s="1652"/>
      <c r="AH1207" s="1653"/>
      <c r="AI1207" s="1653"/>
      <c r="AJ1207" s="1654"/>
      <c r="AK1207" s="1529">
        <v>4180</v>
      </c>
      <c r="AL1207" s="1090">
        <f t="shared" si="108"/>
        <v>0</v>
      </c>
      <c r="AM1207" s="1652"/>
      <c r="AN1207" s="1652"/>
      <c r="AO1207" s="1653"/>
      <c r="AP1207" s="1640"/>
      <c r="AQ1207" s="1653"/>
      <c r="AR1207" s="1640"/>
      <c r="AS1207" s="1640"/>
      <c r="AT1207" s="1652"/>
      <c r="AU1207" s="1654"/>
      <c r="AV1207" s="1655"/>
    </row>
    <row r="1208" spans="1:48" ht="16.5" customHeight="1">
      <c r="A1208" s="1640"/>
      <c r="B1208" s="1646"/>
      <c r="C1208" s="1744"/>
      <c r="D1208" s="1625"/>
      <c r="E1208" s="1743"/>
      <c r="F1208" s="1648"/>
      <c r="G1208" s="1625"/>
      <c r="H1208" s="1625"/>
      <c r="I1208" s="1629"/>
      <c r="J1208" s="1630"/>
      <c r="K1208" s="1631"/>
      <c r="L1208" s="1245"/>
      <c r="M1208" s="1320"/>
      <c r="N1208" s="1632"/>
      <c r="O1208" s="1633"/>
      <c r="P1208" s="1634"/>
      <c r="Q1208" s="1632"/>
      <c r="R1208" s="1646"/>
      <c r="S1208" s="1625"/>
      <c r="T1208" s="1634"/>
      <c r="U1208" s="1715">
        <v>8</v>
      </c>
      <c r="V1208" s="1636" t="s">
        <v>390</v>
      </c>
      <c r="W1208" s="1714"/>
      <c r="X1208" s="1650"/>
      <c r="Y1208" s="1623"/>
      <c r="Z1208" s="1672" t="s">
        <v>1349</v>
      </c>
      <c r="AA1208" s="1625"/>
      <c r="AB1208" s="1633"/>
      <c r="AC1208" s="1640"/>
      <c r="AD1208" s="1640"/>
      <c r="AE1208" s="1640"/>
      <c r="AF1208" s="1085"/>
      <c r="AG1208" s="1652"/>
      <c r="AH1208" s="1653"/>
      <c r="AI1208" s="1653"/>
      <c r="AJ1208" s="1654"/>
      <c r="AK1208" s="1529">
        <v>5250</v>
      </c>
      <c r="AL1208" s="1090">
        <f t="shared" si="108"/>
        <v>0</v>
      </c>
      <c r="AM1208" s="1652"/>
      <c r="AN1208" s="1652"/>
      <c r="AO1208" s="1653"/>
      <c r="AP1208" s="1640"/>
      <c r="AQ1208" s="1653"/>
      <c r="AR1208" s="1640"/>
      <c r="AS1208" s="1640"/>
      <c r="AT1208" s="1652"/>
      <c r="AU1208" s="1654"/>
      <c r="AV1208" s="1655"/>
    </row>
    <row r="1209" spans="1:48" ht="16.5" customHeight="1">
      <c r="A1209" s="1640"/>
      <c r="B1209" s="1646"/>
      <c r="C1209" s="1744"/>
      <c r="D1209" s="1625"/>
      <c r="E1209" s="1743"/>
      <c r="F1209" s="1648"/>
      <c r="G1209" s="1625"/>
      <c r="H1209" s="1625"/>
      <c r="I1209" s="1629"/>
      <c r="J1209" s="1630"/>
      <c r="K1209" s="1631"/>
      <c r="L1209" s="1245"/>
      <c r="M1209" s="1320"/>
      <c r="N1209" s="1632"/>
      <c r="O1209" s="1633"/>
      <c r="P1209" s="1634"/>
      <c r="Q1209" s="1632"/>
      <c r="R1209" s="1646"/>
      <c r="S1209" s="1625"/>
      <c r="T1209" s="1634"/>
      <c r="U1209" s="1715">
        <v>9</v>
      </c>
      <c r="V1209" s="1636" t="s">
        <v>4</v>
      </c>
      <c r="W1209" s="1714"/>
      <c r="X1209" s="1650"/>
      <c r="Y1209" s="1623"/>
      <c r="Z1209" s="1672" t="s">
        <v>1242</v>
      </c>
      <c r="AA1209" s="1625"/>
      <c r="AB1209" s="1633"/>
      <c r="AC1209" s="1640"/>
      <c r="AD1209" s="1640"/>
      <c r="AE1209" s="1640"/>
      <c r="AF1209" s="1085"/>
      <c r="AG1209" s="1652"/>
      <c r="AH1209" s="1653"/>
      <c r="AI1209" s="1653"/>
      <c r="AJ1209" s="1654"/>
      <c r="AK1209" s="1529">
        <v>250</v>
      </c>
      <c r="AL1209" s="1090">
        <f t="shared" si="108"/>
        <v>0</v>
      </c>
      <c r="AM1209" s="1652"/>
      <c r="AN1209" s="1652"/>
      <c r="AO1209" s="1653"/>
      <c r="AP1209" s="1640"/>
      <c r="AQ1209" s="1653"/>
      <c r="AR1209" s="1640"/>
      <c r="AS1209" s="1640"/>
      <c r="AT1209" s="1652"/>
      <c r="AU1209" s="1654"/>
      <c r="AV1209" s="1655"/>
    </row>
    <row r="1210" spans="1:48" ht="16.5" customHeight="1">
      <c r="A1210" s="1640"/>
      <c r="B1210" s="1665"/>
      <c r="C1210" s="1666"/>
      <c r="D1210" s="1625"/>
      <c r="E1210" s="1743"/>
      <c r="F1210" s="1648"/>
      <c r="G1210" s="1625"/>
      <c r="H1210" s="1667"/>
      <c r="I1210" s="1629"/>
      <c r="J1210" s="1630"/>
      <c r="K1210" s="1631"/>
      <c r="L1210" s="1245"/>
      <c r="M1210" s="1320"/>
      <c r="N1210" s="1632"/>
      <c r="O1210" s="1633"/>
      <c r="P1210" s="1634"/>
      <c r="Q1210" s="1632"/>
      <c r="R1210" s="1622"/>
      <c r="S1210" s="1633"/>
      <c r="T1210" s="1634"/>
      <c r="U1210" s="1715">
        <v>10</v>
      </c>
      <c r="V1210" s="1636" t="s">
        <v>909</v>
      </c>
      <c r="W1210" s="1714"/>
      <c r="X1210" s="1650"/>
      <c r="Y1210" s="1623"/>
      <c r="Z1210" s="1672" t="s">
        <v>1242</v>
      </c>
      <c r="AA1210" s="1625"/>
      <c r="AB1210" s="1633"/>
      <c r="AC1210" s="1634"/>
      <c r="AD1210" s="1640"/>
      <c r="AE1210" s="1640"/>
      <c r="AF1210" s="1085"/>
      <c r="AG1210" s="1652"/>
      <c r="AH1210" s="1653"/>
      <c r="AI1210" s="1653"/>
      <c r="AJ1210" s="1654"/>
      <c r="AK1210" s="1529">
        <v>4180</v>
      </c>
      <c r="AL1210" s="1090">
        <f t="shared" si="108"/>
        <v>0</v>
      </c>
      <c r="AM1210" s="1652"/>
      <c r="AN1210" s="1652"/>
      <c r="AO1210" s="1653"/>
      <c r="AP1210" s="1640"/>
      <c r="AQ1210" s="1653"/>
      <c r="AR1210" s="1640"/>
      <c r="AS1210" s="1640"/>
      <c r="AT1210" s="1652"/>
      <c r="AU1210" s="1654"/>
      <c r="AV1210" s="1655"/>
    </row>
    <row r="1211" spans="1:48" ht="16.5" customHeight="1">
      <c r="A1211" s="1673"/>
      <c r="B1211" s="1674"/>
      <c r="C1211" s="1675"/>
      <c r="D1211" s="1676"/>
      <c r="E1211" s="1677"/>
      <c r="F1211" s="1678"/>
      <c r="G1211" s="1676"/>
      <c r="H1211" s="1679"/>
      <c r="I1211" s="1680"/>
      <c r="J1211" s="1681"/>
      <c r="K1211" s="1682"/>
      <c r="L1211" s="1270"/>
      <c r="M1211" s="1549"/>
      <c r="N1211" s="1683"/>
      <c r="O1211" s="1684"/>
      <c r="P1211" s="1685"/>
      <c r="Q1211" s="1683"/>
      <c r="R1211" s="1686"/>
      <c r="S1211" s="1676"/>
      <c r="T1211" s="1685"/>
      <c r="U1211" s="1717"/>
      <c r="V1211" s="1718"/>
      <c r="W1211" s="1719"/>
      <c r="X1211" s="1720"/>
      <c r="Y1211" s="1721"/>
      <c r="Z1211" s="1693"/>
      <c r="AA1211" s="1676"/>
      <c r="AB1211" s="1684"/>
      <c r="AC1211" s="1685"/>
      <c r="AD1211" s="1673"/>
      <c r="AE1211" s="1673"/>
      <c r="AF1211" s="1115"/>
      <c r="AG1211" s="1694"/>
      <c r="AH1211" s="1695"/>
      <c r="AI1211" s="1695"/>
      <c r="AJ1211" s="1696"/>
      <c r="AK1211" s="1604"/>
      <c r="AL1211" s="1120"/>
      <c r="AM1211" s="1694"/>
      <c r="AN1211" s="1694"/>
      <c r="AO1211" s="1695"/>
      <c r="AP1211" s="1673"/>
      <c r="AQ1211" s="1695"/>
      <c r="AR1211" s="1673"/>
      <c r="AS1211" s="1673"/>
      <c r="AT1211" s="1694"/>
      <c r="AU1211" s="1696"/>
      <c r="AV1211" s="1697"/>
    </row>
    <row r="1212" spans="1:48" ht="16.5" customHeight="1">
      <c r="A1212" s="1698">
        <v>92</v>
      </c>
      <c r="B1212" s="1699" t="s">
        <v>25</v>
      </c>
      <c r="C1212" s="1700" t="s">
        <v>1348</v>
      </c>
      <c r="D1212" s="1702"/>
      <c r="E1212" s="1742"/>
      <c r="F1212" s="1730" t="s">
        <v>1347</v>
      </c>
      <c r="G1212" s="1704" t="s">
        <v>25</v>
      </c>
      <c r="H1212" s="1705" t="s">
        <v>1340</v>
      </c>
      <c r="I1212" s="1706">
        <v>283</v>
      </c>
      <c r="J1212" s="1630" t="s">
        <v>41</v>
      </c>
      <c r="K1212" s="1722" t="s">
        <v>1346</v>
      </c>
      <c r="L1212" s="1245"/>
      <c r="M1212" s="1320"/>
      <c r="N1212" s="1707" t="s">
        <v>25</v>
      </c>
      <c r="O1212" s="1723" t="s">
        <v>26</v>
      </c>
      <c r="P1212" s="1709">
        <v>1</v>
      </c>
      <c r="Q1212" s="1707">
        <v>83.8</v>
      </c>
      <c r="R1212" s="1699" t="s">
        <v>25</v>
      </c>
      <c r="S1212" s="1702" t="s">
        <v>24</v>
      </c>
      <c r="T1212" s="1709">
        <v>1</v>
      </c>
      <c r="U1212" s="1710">
        <v>1</v>
      </c>
      <c r="V1212" s="1711" t="s">
        <v>58</v>
      </c>
      <c r="W1212" s="1712">
        <v>3</v>
      </c>
      <c r="X1212" s="1713"/>
      <c r="Y1212" s="1700"/>
      <c r="Z1212" s="1651">
        <f>SUM(W1212:Y1212)</f>
        <v>3</v>
      </c>
      <c r="AA1212" s="1701"/>
      <c r="AB1212" s="1708"/>
      <c r="AC1212" s="1641"/>
      <c r="AD1212" s="1641"/>
      <c r="AE1212" s="1641"/>
      <c r="AF1212" s="1056">
        <f>Resum!F1</f>
        <v>356000</v>
      </c>
      <c r="AG1212" s="1086">
        <f>AF1212*I1212</f>
        <v>100748000</v>
      </c>
      <c r="AH1212" s="1642">
        <v>1800000</v>
      </c>
      <c r="AI1212" s="1089">
        <f>AH1212*Q1212*0.85</f>
        <v>128214000</v>
      </c>
      <c r="AJ1212" s="1724">
        <f>SUM(AI1212:AI1217)</f>
        <v>146496400</v>
      </c>
      <c r="AK1212" s="1300">
        <v>225000</v>
      </c>
      <c r="AL1212" s="1090">
        <f t="shared" si="108"/>
        <v>675000</v>
      </c>
      <c r="AM1212" s="1644">
        <f>SUM(AL1212:AL1217)</f>
        <v>1518300</v>
      </c>
      <c r="AN1212" s="1086">
        <f>AM1212+AJ1212+AG1212</f>
        <v>248762700</v>
      </c>
      <c r="AO1212" s="1642"/>
      <c r="AP1212" s="1136">
        <f>(AG1212+AI1212)*15%</f>
        <v>34344300</v>
      </c>
      <c r="AQ1212" s="1087">
        <f>(AG1212+AI1212)*1%</f>
        <v>2289620</v>
      </c>
      <c r="AR1212" s="1136">
        <f>(AG1212+AI1212)*5%</f>
        <v>11448100</v>
      </c>
      <c r="AS1212" s="1087">
        <f>0.5%*(AG1212+AI1212)*(3)</f>
        <v>3434430</v>
      </c>
      <c r="AT1212" s="1086">
        <f>+AS1212+AR1212+AQ1212+AP1212+AO1212</f>
        <v>51516450</v>
      </c>
      <c r="AU1212" s="1137">
        <f>ROUND(AT1212+AN1212,-3)</f>
        <v>300279000</v>
      </c>
      <c r="AV1212" s="1645"/>
    </row>
    <row r="1213" spans="1:48" ht="16.5" customHeight="1">
      <c r="A1213" s="1640"/>
      <c r="B1213" s="1646" t="s">
        <v>16</v>
      </c>
      <c r="C1213" s="1647" t="s">
        <v>1345</v>
      </c>
      <c r="D1213" s="1625"/>
      <c r="E1213" s="1743"/>
      <c r="F1213" s="1648"/>
      <c r="G1213" s="1625" t="s">
        <v>16</v>
      </c>
      <c r="H1213" s="1625" t="s">
        <v>22</v>
      </c>
      <c r="I1213" s="1629"/>
      <c r="J1213" s="1630"/>
      <c r="K1213" s="1631"/>
      <c r="L1213" s="1245"/>
      <c r="M1213" s="1320"/>
      <c r="N1213" s="1632" t="s">
        <v>16</v>
      </c>
      <c r="O1213" s="1726" t="s">
        <v>21</v>
      </c>
      <c r="P1213" s="1634">
        <v>1</v>
      </c>
      <c r="Q1213" s="1632">
        <v>9.52</v>
      </c>
      <c r="R1213" s="1646"/>
      <c r="S1213" s="1625"/>
      <c r="T1213" s="1634"/>
      <c r="U1213" s="1635"/>
      <c r="V1213" s="1636"/>
      <c r="W1213" s="1649"/>
      <c r="X1213" s="1650"/>
      <c r="Y1213" s="1623"/>
      <c r="Z1213" s="1672"/>
      <c r="AA1213" s="1625"/>
      <c r="AB1213" s="1628"/>
      <c r="AC1213" s="1640"/>
      <c r="AD1213" s="1640"/>
      <c r="AE1213" s="1640"/>
      <c r="AF1213" s="1085"/>
      <c r="AG1213" s="1652"/>
      <c r="AH1213" s="1653">
        <v>350000</v>
      </c>
      <c r="AI1213" s="1089">
        <f>AH1213*Q1213*0.7</f>
        <v>2332400</v>
      </c>
      <c r="AJ1213" s="1654"/>
      <c r="AK1213" s="1529"/>
      <c r="AL1213" s="1090"/>
      <c r="AM1213" s="1652"/>
      <c r="AN1213" s="1652"/>
      <c r="AO1213" s="1653"/>
      <c r="AP1213" s="1640"/>
      <c r="AQ1213" s="1653"/>
      <c r="AR1213" s="1640"/>
      <c r="AS1213" s="1640"/>
      <c r="AT1213" s="1652"/>
      <c r="AU1213" s="1654"/>
      <c r="AV1213" s="1655"/>
    </row>
    <row r="1214" spans="1:48" ht="16.5" customHeight="1">
      <c r="A1214" s="1640"/>
      <c r="B1214" s="1646" t="s">
        <v>18</v>
      </c>
      <c r="C1214" s="1623" t="s">
        <v>60</v>
      </c>
      <c r="D1214" s="1625"/>
      <c r="E1214" s="1743"/>
      <c r="F1214" s="1648"/>
      <c r="G1214" s="1625" t="s">
        <v>18</v>
      </c>
      <c r="H1214" s="1625" t="s">
        <v>19</v>
      </c>
      <c r="I1214" s="1629"/>
      <c r="J1214" s="1630"/>
      <c r="K1214" s="1631"/>
      <c r="L1214" s="1245"/>
      <c r="M1214" s="1320"/>
      <c r="N1214" s="1632" t="s">
        <v>18</v>
      </c>
      <c r="O1214" s="1726" t="s">
        <v>17</v>
      </c>
      <c r="P1214" s="1634">
        <v>1</v>
      </c>
      <c r="Q1214" s="1632"/>
      <c r="R1214" s="1646" t="s">
        <v>16</v>
      </c>
      <c r="S1214" s="1625" t="s">
        <v>15</v>
      </c>
      <c r="T1214" s="1634">
        <v>3</v>
      </c>
      <c r="U1214" s="1635">
        <v>1</v>
      </c>
      <c r="V1214" s="1745" t="s">
        <v>14</v>
      </c>
      <c r="W1214" s="1656"/>
      <c r="X1214" s="1656">
        <v>3</v>
      </c>
      <c r="Y1214" s="1657"/>
      <c r="Z1214" s="1672">
        <f>SUM(W1214:Y1214)</f>
        <v>3</v>
      </c>
      <c r="AA1214" s="1625"/>
      <c r="AB1214" s="1628"/>
      <c r="AC1214" s="1640"/>
      <c r="AD1214" s="1640"/>
      <c r="AE1214" s="1640"/>
      <c r="AF1214" s="1085"/>
      <c r="AG1214" s="1652"/>
      <c r="AH1214" s="1653">
        <v>2500000</v>
      </c>
      <c r="AI1214" s="1089">
        <f>AH1214*P1214*0.5</f>
        <v>1250000</v>
      </c>
      <c r="AJ1214" s="1654"/>
      <c r="AK1214" s="1089">
        <v>231000</v>
      </c>
      <c r="AL1214" s="1087">
        <f>AK1214*X1214</f>
        <v>693000</v>
      </c>
      <c r="AM1214" s="1652"/>
      <c r="AN1214" s="1652"/>
      <c r="AO1214" s="1653"/>
      <c r="AP1214" s="1640"/>
      <c r="AQ1214" s="1653"/>
      <c r="AR1214" s="1640"/>
      <c r="AS1214" s="1640"/>
      <c r="AT1214" s="1652"/>
      <c r="AU1214" s="1654"/>
      <c r="AV1214" s="1655"/>
    </row>
    <row r="1215" spans="1:48" ht="49.5" customHeight="1">
      <c r="A1215" s="1640"/>
      <c r="B1215" s="1658" t="s">
        <v>12</v>
      </c>
      <c r="C1215" s="1659" t="s">
        <v>1344</v>
      </c>
      <c r="D1215" s="1625"/>
      <c r="E1215" s="1743"/>
      <c r="F1215" s="1648"/>
      <c r="G1215" s="1625"/>
      <c r="H1215" s="1667"/>
      <c r="I1215" s="1629"/>
      <c r="J1215" s="1630"/>
      <c r="K1215" s="1631"/>
      <c r="L1215" s="1245"/>
      <c r="M1215" s="1320"/>
      <c r="N1215" s="1632" t="s">
        <v>12</v>
      </c>
      <c r="O1215" s="1726" t="s">
        <v>11</v>
      </c>
      <c r="P1215" s="1634">
        <v>1</v>
      </c>
      <c r="Q1215" s="1632"/>
      <c r="R1215" s="1622"/>
      <c r="S1215" s="1633"/>
      <c r="T1215" s="1634"/>
      <c r="U1215" s="1715">
        <v>2</v>
      </c>
      <c r="V1215" s="1636" t="s">
        <v>10</v>
      </c>
      <c r="W1215" s="1649">
        <v>3</v>
      </c>
      <c r="X1215" s="1650"/>
      <c r="Y1215" s="1623"/>
      <c r="Z1215" s="1672">
        <f>SUM(W1215:Y1215)</f>
        <v>3</v>
      </c>
      <c r="AA1215" s="1625"/>
      <c r="AB1215" s="1633"/>
      <c r="AC1215" s="1634"/>
      <c r="AD1215" s="1640"/>
      <c r="AE1215" s="1640"/>
      <c r="AF1215" s="1085"/>
      <c r="AG1215" s="1652"/>
      <c r="AH1215" s="1653">
        <v>2500000</v>
      </c>
      <c r="AI1215" s="1089">
        <f>AH1215*P1215*0.75</f>
        <v>1875000</v>
      </c>
      <c r="AJ1215" s="1654"/>
      <c r="AK1215" s="1529">
        <v>50000</v>
      </c>
      <c r="AL1215" s="1090">
        <f t="shared" si="108"/>
        <v>150000</v>
      </c>
      <c r="AM1215" s="1652"/>
      <c r="AN1215" s="1652"/>
      <c r="AO1215" s="1653"/>
      <c r="AP1215" s="1640"/>
      <c r="AQ1215" s="1653"/>
      <c r="AR1215" s="1640"/>
      <c r="AS1215" s="1640"/>
      <c r="AT1215" s="1652"/>
      <c r="AU1215" s="1654"/>
      <c r="AV1215" s="1655"/>
    </row>
    <row r="1216" spans="1:48" ht="16.5" customHeight="1">
      <c r="A1216" s="1640"/>
      <c r="B1216" s="1646" t="s">
        <v>8</v>
      </c>
      <c r="C1216" s="1716" t="s">
        <v>1343</v>
      </c>
      <c r="D1216" s="1625"/>
      <c r="E1216" s="1743"/>
      <c r="F1216" s="1648"/>
      <c r="G1216" s="1625"/>
      <c r="H1216" s="1667"/>
      <c r="I1216" s="1629"/>
      <c r="J1216" s="1630"/>
      <c r="K1216" s="1631"/>
      <c r="L1216" s="1245"/>
      <c r="M1216" s="1320"/>
      <c r="N1216" s="1632" t="s">
        <v>8</v>
      </c>
      <c r="O1216" s="1726" t="s">
        <v>7</v>
      </c>
      <c r="P1216" s="1634"/>
      <c r="Q1216" s="1651">
        <v>57</v>
      </c>
      <c r="R1216" s="1622"/>
      <c r="S1216" s="1633"/>
      <c r="T1216" s="1634"/>
      <c r="U1216" s="1715">
        <v>3</v>
      </c>
      <c r="V1216" s="1636" t="s">
        <v>4</v>
      </c>
      <c r="W1216" s="1714"/>
      <c r="X1216" s="1650">
        <v>2</v>
      </c>
      <c r="Y1216" s="1623"/>
      <c r="Z1216" s="1672">
        <f>SUM(W1216:Y1216)</f>
        <v>2</v>
      </c>
      <c r="AA1216" s="1625"/>
      <c r="AB1216" s="1633"/>
      <c r="AC1216" s="1634"/>
      <c r="AD1216" s="1640"/>
      <c r="AE1216" s="1640"/>
      <c r="AF1216" s="1085"/>
      <c r="AG1216" s="1652"/>
      <c r="AH1216" s="1653">
        <v>300000</v>
      </c>
      <c r="AI1216" s="1089">
        <f>AH1216*Q1216*0.75</f>
        <v>12825000</v>
      </c>
      <c r="AJ1216" s="1654"/>
      <c r="AK1216" s="1529">
        <v>150</v>
      </c>
      <c r="AL1216" s="1090">
        <f>AK1216*X1216</f>
        <v>300</v>
      </c>
      <c r="AM1216" s="1652"/>
      <c r="AN1216" s="1652"/>
      <c r="AO1216" s="1653"/>
      <c r="AP1216" s="1640"/>
      <c r="AQ1216" s="1653"/>
      <c r="AR1216" s="1640"/>
      <c r="AS1216" s="1640"/>
      <c r="AT1216" s="1652"/>
      <c r="AU1216" s="1654"/>
      <c r="AV1216" s="1655"/>
    </row>
    <row r="1217" spans="1:48" ht="16.5" customHeight="1">
      <c r="A1217" s="1673"/>
      <c r="B1217" s="1674"/>
      <c r="C1217" s="1675"/>
      <c r="D1217" s="1676"/>
      <c r="E1217" s="1677"/>
      <c r="F1217" s="1678"/>
      <c r="G1217" s="1676"/>
      <c r="H1217" s="1679"/>
      <c r="I1217" s="1680"/>
      <c r="J1217" s="1681"/>
      <c r="K1217" s="1682"/>
      <c r="L1217" s="1245"/>
      <c r="M1217" s="1320"/>
      <c r="N1217" s="1734"/>
      <c r="O1217" s="1735"/>
      <c r="P1217" s="1736"/>
      <c r="Q1217" s="1675"/>
      <c r="R1217" s="1686"/>
      <c r="S1217" s="1676"/>
      <c r="T1217" s="1685"/>
      <c r="U1217" s="1717"/>
      <c r="V1217" s="1718"/>
      <c r="W1217" s="1719"/>
      <c r="X1217" s="1720"/>
      <c r="Y1217" s="1721"/>
      <c r="Z1217" s="1693"/>
      <c r="AA1217" s="1676"/>
      <c r="AB1217" s="1684"/>
      <c r="AC1217" s="1685"/>
      <c r="AD1217" s="1673"/>
      <c r="AE1217" s="1673"/>
      <c r="AF1217" s="1115"/>
      <c r="AG1217" s="1694"/>
      <c r="AH1217" s="1695"/>
      <c r="AI1217" s="1695"/>
      <c r="AJ1217" s="1696"/>
      <c r="AK1217" s="1604"/>
      <c r="AL1217" s="1120"/>
      <c r="AM1217" s="1694"/>
      <c r="AN1217" s="1694"/>
      <c r="AO1217" s="1695"/>
      <c r="AP1217" s="1673"/>
      <c r="AQ1217" s="1695"/>
      <c r="AR1217" s="1673"/>
      <c r="AS1217" s="1673"/>
      <c r="AT1217" s="1694"/>
      <c r="AU1217" s="1696"/>
      <c r="AV1217" s="1697"/>
    </row>
    <row r="1218" spans="1:48" ht="16.5" customHeight="1">
      <c r="A1218" s="1698">
        <v>93</v>
      </c>
      <c r="B1218" s="1699" t="s">
        <v>25</v>
      </c>
      <c r="C1218" s="1700" t="s">
        <v>1342</v>
      </c>
      <c r="D1218" s="1702"/>
      <c r="E1218" s="1742"/>
      <c r="F1218" s="1730" t="s">
        <v>1341</v>
      </c>
      <c r="G1218" s="1704" t="s">
        <v>25</v>
      </c>
      <c r="H1218" s="1705" t="s">
        <v>1340</v>
      </c>
      <c r="I1218" s="1706">
        <v>224</v>
      </c>
      <c r="J1218" s="1746" t="s">
        <v>28</v>
      </c>
      <c r="K1218" s="1722" t="s">
        <v>1339</v>
      </c>
      <c r="L1218" s="1373"/>
      <c r="M1218" s="1317"/>
      <c r="N1218" s="1707" t="s">
        <v>25</v>
      </c>
      <c r="O1218" s="1723" t="s">
        <v>26</v>
      </c>
      <c r="P1218" s="1709">
        <v>1</v>
      </c>
      <c r="Q1218" s="1707">
        <v>54.56</v>
      </c>
      <c r="R1218" s="1699" t="s">
        <v>25</v>
      </c>
      <c r="S1218" s="1702" t="s">
        <v>24</v>
      </c>
      <c r="T1218" s="1709"/>
      <c r="U1218" s="1710"/>
      <c r="V1218" s="1711"/>
      <c r="W1218" s="1712"/>
      <c r="X1218" s="1713"/>
      <c r="Y1218" s="1700"/>
      <c r="Z1218" s="1651"/>
      <c r="AA1218" s="1701"/>
      <c r="AB1218" s="1705"/>
      <c r="AC1218" s="1641"/>
      <c r="AD1218" s="1641"/>
      <c r="AE1218" s="1641"/>
      <c r="AF1218" s="1056">
        <f>Resum!F1</f>
        <v>356000</v>
      </c>
      <c r="AG1218" s="1086">
        <f>AF1218*I1218</f>
        <v>79744000</v>
      </c>
      <c r="AH1218" s="1642">
        <v>2750000</v>
      </c>
      <c r="AI1218" s="1089">
        <f>AH1218*Q1218*0.9</f>
        <v>135036000</v>
      </c>
      <c r="AJ1218" s="1724">
        <f>SUM(AI1218:AI1225)</f>
        <v>162434000</v>
      </c>
      <c r="AK1218" s="1725"/>
      <c r="AL1218" s="1090"/>
      <c r="AM1218" s="1644">
        <f>SUM(AL1219:AL1225)</f>
        <v>1631300</v>
      </c>
      <c r="AN1218" s="1086">
        <f>AM1218+AJ1218+AG1218</f>
        <v>243809300</v>
      </c>
      <c r="AO1218" s="1642"/>
      <c r="AP1218" s="1136">
        <f>(AG1218+AI1218)*15%</f>
        <v>32217000</v>
      </c>
      <c r="AQ1218" s="1087">
        <f>(AG1218+AI1218)*1%</f>
        <v>2147800</v>
      </c>
      <c r="AR1218" s="1136">
        <f>(AG1218+AI1218)*5%</f>
        <v>10739000</v>
      </c>
      <c r="AS1218" s="1087">
        <f>0.5%*(AG1218+AI1218)*(3)</f>
        <v>3221700</v>
      </c>
      <c r="AT1218" s="1086">
        <f>+AS1218+AR1218+AQ1218+AP1218+AO1218</f>
        <v>48325500</v>
      </c>
      <c r="AU1218" s="1137">
        <f>ROUND(AT1218+AN1218,-3)</f>
        <v>292135000</v>
      </c>
      <c r="AV1218" s="1645"/>
    </row>
    <row r="1219" spans="1:48" ht="16.5" customHeight="1">
      <c r="A1219" s="1640"/>
      <c r="B1219" s="1646" t="s">
        <v>16</v>
      </c>
      <c r="C1219" s="1647" t="s">
        <v>1338</v>
      </c>
      <c r="D1219" s="1625"/>
      <c r="E1219" s="1743"/>
      <c r="F1219" s="1648"/>
      <c r="G1219" s="1625" t="s">
        <v>16</v>
      </c>
      <c r="H1219" s="1625" t="s">
        <v>22</v>
      </c>
      <c r="I1219" s="1629"/>
      <c r="J1219" s="1747"/>
      <c r="K1219" s="1631"/>
      <c r="L1219" s="1245"/>
      <c r="M1219" s="1320"/>
      <c r="N1219" s="1632" t="s">
        <v>16</v>
      </c>
      <c r="O1219" s="1748" t="s">
        <v>21</v>
      </c>
      <c r="P1219" s="1634">
        <v>1</v>
      </c>
      <c r="Q1219" s="1632">
        <v>8.68</v>
      </c>
      <c r="R1219" s="1646"/>
      <c r="S1219" s="1625"/>
      <c r="T1219" s="1634"/>
      <c r="U1219" s="1749"/>
      <c r="V1219" s="1636"/>
      <c r="W1219" s="1714"/>
      <c r="X1219" s="1650"/>
      <c r="Y1219" s="1623"/>
      <c r="Z1219" s="1672"/>
      <c r="AA1219" s="1625"/>
      <c r="AB1219" s="1628"/>
      <c r="AC1219" s="1640"/>
      <c r="AD1219" s="1640"/>
      <c r="AE1219" s="1640"/>
      <c r="AF1219" s="1085"/>
      <c r="AG1219" s="1652"/>
      <c r="AH1219" s="1653">
        <v>450000</v>
      </c>
      <c r="AI1219" s="1089">
        <f>AH1219*Q1219*0.9</f>
        <v>3515400</v>
      </c>
      <c r="AJ1219" s="1654"/>
      <c r="AK1219" s="1529"/>
      <c r="AL1219" s="1090"/>
      <c r="AM1219" s="1652"/>
      <c r="AN1219" s="1652"/>
      <c r="AO1219" s="1653"/>
      <c r="AP1219" s="1640"/>
      <c r="AQ1219" s="1653"/>
      <c r="AR1219" s="1640"/>
      <c r="AS1219" s="1640"/>
      <c r="AT1219" s="1652"/>
      <c r="AU1219" s="1654"/>
      <c r="AV1219" s="1655"/>
    </row>
    <row r="1220" spans="1:48" ht="16.5" customHeight="1">
      <c r="A1220" s="1640"/>
      <c r="B1220" s="1646" t="s">
        <v>18</v>
      </c>
      <c r="C1220" s="1623" t="s">
        <v>1337</v>
      </c>
      <c r="D1220" s="1625"/>
      <c r="E1220" s="1743"/>
      <c r="F1220" s="1648"/>
      <c r="G1220" s="1625"/>
      <c r="H1220" s="1625"/>
      <c r="I1220" s="1629"/>
      <c r="J1220" s="1747"/>
      <c r="K1220" s="1631"/>
      <c r="L1220" s="1245"/>
      <c r="M1220" s="1320"/>
      <c r="N1220" s="1632" t="s">
        <v>18</v>
      </c>
      <c r="O1220" s="1748" t="s">
        <v>1336</v>
      </c>
      <c r="P1220" s="1634">
        <v>1</v>
      </c>
      <c r="Q1220" s="1632">
        <v>15.5</v>
      </c>
      <c r="R1220" s="1646" t="s">
        <v>16</v>
      </c>
      <c r="S1220" s="1625" t="s">
        <v>15</v>
      </c>
      <c r="T1220" s="1634">
        <v>4</v>
      </c>
      <c r="U1220" s="1749">
        <v>1</v>
      </c>
      <c r="V1220" s="1636" t="s">
        <v>14</v>
      </c>
      <c r="W1220" s="1714"/>
      <c r="X1220" s="1650">
        <v>3</v>
      </c>
      <c r="Y1220" s="1623"/>
      <c r="Z1220" s="1672">
        <f>SUM(W1220:Y1220)</f>
        <v>3</v>
      </c>
      <c r="AA1220" s="1625"/>
      <c r="AB1220" s="1628"/>
      <c r="AC1220" s="1640"/>
      <c r="AD1220" s="1640"/>
      <c r="AE1220" s="1640"/>
      <c r="AF1220" s="1085"/>
      <c r="AG1220" s="1652"/>
      <c r="AH1220" s="1653">
        <v>430000</v>
      </c>
      <c r="AI1220" s="1089">
        <f>AH1220*Q1220*0.5</f>
        <v>3332500</v>
      </c>
      <c r="AJ1220" s="1654"/>
      <c r="AK1220" s="1089">
        <v>231000</v>
      </c>
      <c r="AL1220" s="1087">
        <f>AK1220*X1220</f>
        <v>693000</v>
      </c>
      <c r="AM1220" s="1652"/>
      <c r="AN1220" s="1652"/>
      <c r="AO1220" s="1653"/>
      <c r="AP1220" s="1640"/>
      <c r="AQ1220" s="1653"/>
      <c r="AR1220" s="1640"/>
      <c r="AS1220" s="1640"/>
      <c r="AT1220" s="1652"/>
      <c r="AU1220" s="1654"/>
      <c r="AV1220" s="1655"/>
    </row>
    <row r="1221" spans="1:48" ht="49.5" customHeight="1">
      <c r="A1221" s="1640"/>
      <c r="B1221" s="1658" t="s">
        <v>12</v>
      </c>
      <c r="C1221" s="1659" t="s">
        <v>98</v>
      </c>
      <c r="D1221" s="1625"/>
      <c r="E1221" s="1743"/>
      <c r="F1221" s="1648"/>
      <c r="G1221" s="1625"/>
      <c r="H1221" s="1625"/>
      <c r="I1221" s="1629"/>
      <c r="J1221" s="1747"/>
      <c r="K1221" s="1631"/>
      <c r="L1221" s="1245"/>
      <c r="M1221" s="1320"/>
      <c r="N1221" s="1632" t="s">
        <v>12</v>
      </c>
      <c r="O1221" s="1726" t="s">
        <v>1335</v>
      </c>
      <c r="P1221" s="1634">
        <v>1</v>
      </c>
      <c r="Q1221" s="1632">
        <v>31.27</v>
      </c>
      <c r="R1221" s="1646"/>
      <c r="S1221" s="1625"/>
      <c r="T1221" s="1634"/>
      <c r="U1221" s="1749">
        <v>2</v>
      </c>
      <c r="V1221" s="1636" t="s">
        <v>10</v>
      </c>
      <c r="W1221" s="1714"/>
      <c r="X1221" s="1650">
        <v>5</v>
      </c>
      <c r="Y1221" s="1623"/>
      <c r="Z1221" s="1672">
        <f>SUM(W1221:Y1221)</f>
        <v>5</v>
      </c>
      <c r="AA1221" s="1625"/>
      <c r="AB1221" s="1628"/>
      <c r="AC1221" s="1640"/>
      <c r="AD1221" s="1640"/>
      <c r="AE1221" s="1640"/>
      <c r="AF1221" s="1085"/>
      <c r="AG1221" s="1652"/>
      <c r="AH1221" s="1653">
        <v>400000</v>
      </c>
      <c r="AI1221" s="1089">
        <f>AH1221*Q1221*0.7</f>
        <v>8755600</v>
      </c>
      <c r="AJ1221" s="1654"/>
      <c r="AK1221" s="1529">
        <v>35000</v>
      </c>
      <c r="AL1221" s="1090">
        <f>AK1221*X1221</f>
        <v>175000</v>
      </c>
      <c r="AM1221" s="1652"/>
      <c r="AN1221" s="1652"/>
      <c r="AO1221" s="1653"/>
      <c r="AP1221" s="1640"/>
      <c r="AQ1221" s="1653"/>
      <c r="AR1221" s="1640"/>
      <c r="AS1221" s="1640"/>
      <c r="AT1221" s="1652"/>
      <c r="AU1221" s="1654"/>
      <c r="AV1221" s="1655"/>
    </row>
    <row r="1222" spans="1:48" ht="16.5" customHeight="1">
      <c r="A1222" s="1640"/>
      <c r="B1222" s="1646" t="s">
        <v>8</v>
      </c>
      <c r="C1222" s="1716" t="s">
        <v>1334</v>
      </c>
      <c r="D1222" s="1625"/>
      <c r="E1222" s="1743"/>
      <c r="F1222" s="1648"/>
      <c r="G1222" s="1625"/>
      <c r="H1222" s="1625"/>
      <c r="I1222" s="1629"/>
      <c r="J1222" s="1747"/>
      <c r="K1222" s="1631"/>
      <c r="L1222" s="1245"/>
      <c r="M1222" s="1320"/>
      <c r="N1222" s="1632" t="s">
        <v>8</v>
      </c>
      <c r="O1222" s="1726" t="s">
        <v>17</v>
      </c>
      <c r="P1222" s="1634">
        <v>1</v>
      </c>
      <c r="Q1222" s="1632"/>
      <c r="R1222" s="1646"/>
      <c r="S1222" s="1625"/>
      <c r="T1222" s="1634"/>
      <c r="U1222" s="1749">
        <v>3</v>
      </c>
      <c r="V1222" s="1636" t="s">
        <v>142</v>
      </c>
      <c r="W1222" s="1714">
        <v>3</v>
      </c>
      <c r="X1222" s="1650"/>
      <c r="Y1222" s="1623"/>
      <c r="Z1222" s="1672">
        <f>SUM(W1222:Y1222)</f>
        <v>3</v>
      </c>
      <c r="AA1222" s="1625"/>
      <c r="AB1222" s="1628"/>
      <c r="AC1222" s="1640"/>
      <c r="AD1222" s="1640"/>
      <c r="AE1222" s="1640"/>
      <c r="AF1222" s="1085"/>
      <c r="AG1222" s="1652"/>
      <c r="AH1222" s="1653">
        <v>2500000</v>
      </c>
      <c r="AI1222" s="1089">
        <f>AH1222*P1222*0.5</f>
        <v>1250000</v>
      </c>
      <c r="AJ1222" s="1654"/>
      <c r="AK1222" s="1529">
        <v>250000</v>
      </c>
      <c r="AL1222" s="1090">
        <f t="shared" si="108"/>
        <v>750000</v>
      </c>
      <c r="AM1222" s="1652"/>
      <c r="AN1222" s="1652"/>
      <c r="AO1222" s="1653"/>
      <c r="AP1222" s="1640"/>
      <c r="AQ1222" s="1653"/>
      <c r="AR1222" s="1640"/>
      <c r="AS1222" s="1640"/>
      <c r="AT1222" s="1652"/>
      <c r="AU1222" s="1654"/>
      <c r="AV1222" s="1655"/>
    </row>
    <row r="1223" spans="1:48" ht="16.5" customHeight="1">
      <c r="A1223" s="1640"/>
      <c r="B1223" s="1665"/>
      <c r="C1223" s="1666"/>
      <c r="D1223" s="1625"/>
      <c r="E1223" s="1743"/>
      <c r="F1223" s="1648"/>
      <c r="G1223" s="1625" t="s">
        <v>18</v>
      </c>
      <c r="H1223" s="1625" t="s">
        <v>19</v>
      </c>
      <c r="I1223" s="1629"/>
      <c r="J1223" s="1747"/>
      <c r="K1223" s="1631"/>
      <c r="L1223" s="1245"/>
      <c r="M1223" s="1320"/>
      <c r="N1223" s="1632" t="s">
        <v>54</v>
      </c>
      <c r="O1223" s="1726" t="s">
        <v>11</v>
      </c>
      <c r="P1223" s="1634">
        <v>1</v>
      </c>
      <c r="Q1223" s="1632"/>
      <c r="R1223" s="1646"/>
      <c r="S1223" s="1625"/>
      <c r="T1223" s="1634"/>
      <c r="U1223" s="1749">
        <v>4</v>
      </c>
      <c r="V1223" s="1750" t="s">
        <v>143</v>
      </c>
      <c r="W1223" s="1656"/>
      <c r="X1223" s="1656">
        <v>2</v>
      </c>
      <c r="Y1223" s="1657"/>
      <c r="Z1223" s="1751">
        <f>SUM(W1223:Y1223)</f>
        <v>2</v>
      </c>
      <c r="AA1223" s="1625"/>
      <c r="AB1223" s="1628"/>
      <c r="AC1223" s="1640"/>
      <c r="AD1223" s="1640"/>
      <c r="AE1223" s="1640"/>
      <c r="AF1223" s="1085"/>
      <c r="AG1223" s="1652"/>
      <c r="AH1223" s="1653">
        <v>2500000</v>
      </c>
      <c r="AI1223" s="1089">
        <f>AH1223*P1223*0.75</f>
        <v>1875000</v>
      </c>
      <c r="AJ1223" s="1654"/>
      <c r="AK1223" s="1529">
        <v>6650</v>
      </c>
      <c r="AL1223" s="1090">
        <f>AK1223*X1223</f>
        <v>13300</v>
      </c>
      <c r="AM1223" s="1652"/>
      <c r="AN1223" s="1652"/>
      <c r="AO1223" s="1653"/>
      <c r="AP1223" s="1640"/>
      <c r="AQ1223" s="1653"/>
      <c r="AR1223" s="1640"/>
      <c r="AS1223" s="1640"/>
      <c r="AT1223" s="1652"/>
      <c r="AU1223" s="1654"/>
      <c r="AV1223" s="1655"/>
    </row>
    <row r="1224" spans="1:48" ht="16.5" customHeight="1">
      <c r="A1224" s="1640"/>
      <c r="B1224" s="1738"/>
      <c r="C1224" s="1666"/>
      <c r="D1224" s="1625"/>
      <c r="E1224" s="1743"/>
      <c r="F1224" s="1648"/>
      <c r="G1224" s="1625"/>
      <c r="H1224" s="1667"/>
      <c r="I1224" s="1629"/>
      <c r="J1224" s="1747"/>
      <c r="K1224" s="1631"/>
      <c r="L1224" s="1245"/>
      <c r="M1224" s="1320"/>
      <c r="N1224" s="1632" t="s">
        <v>53</v>
      </c>
      <c r="O1224" s="1748" t="s">
        <v>7</v>
      </c>
      <c r="P1224" s="1634">
        <v>1</v>
      </c>
      <c r="Q1224" s="1632">
        <v>32.950000000000003</v>
      </c>
      <c r="R1224" s="1646"/>
      <c r="S1224" s="1625"/>
      <c r="T1224" s="1634"/>
      <c r="U1224" s="1752"/>
      <c r="V1224" s="1750"/>
      <c r="W1224" s="1656"/>
      <c r="X1224" s="1656"/>
      <c r="Y1224" s="1657"/>
      <c r="Z1224" s="1753"/>
      <c r="AA1224" s="1625"/>
      <c r="AB1224" s="1633"/>
      <c r="AC1224" s="1634"/>
      <c r="AD1224" s="1640"/>
      <c r="AE1224" s="1640"/>
      <c r="AF1224" s="1085"/>
      <c r="AG1224" s="1652"/>
      <c r="AH1224" s="1653">
        <v>300000</v>
      </c>
      <c r="AI1224" s="1089">
        <f>AH1224*Q1224*0.7</f>
        <v>6919500</v>
      </c>
      <c r="AJ1224" s="1654"/>
      <c r="AK1224" s="1529"/>
      <c r="AL1224" s="1090"/>
      <c r="AM1224" s="1652"/>
      <c r="AN1224" s="1652"/>
      <c r="AO1224" s="1653"/>
      <c r="AP1224" s="1640"/>
      <c r="AQ1224" s="1653"/>
      <c r="AR1224" s="1640"/>
      <c r="AS1224" s="1640"/>
      <c r="AT1224" s="1652"/>
      <c r="AU1224" s="1654"/>
      <c r="AV1224" s="1655"/>
    </row>
    <row r="1225" spans="1:48" ht="16.5" customHeight="1">
      <c r="A1225" s="1673"/>
      <c r="B1225" s="1738"/>
      <c r="C1225" s="1675"/>
      <c r="D1225" s="1676"/>
      <c r="E1225" s="1677"/>
      <c r="F1225" s="1678"/>
      <c r="G1225" s="1676"/>
      <c r="H1225" s="1679"/>
      <c r="I1225" s="1680"/>
      <c r="J1225" s="1754"/>
      <c r="K1225" s="1682"/>
      <c r="L1225" s="1270"/>
      <c r="M1225" s="1549"/>
      <c r="N1225" s="1683" t="s">
        <v>51</v>
      </c>
      <c r="O1225" s="1755" t="s">
        <v>121</v>
      </c>
      <c r="P1225" s="1685">
        <v>1</v>
      </c>
      <c r="Q1225" s="1683">
        <v>10</v>
      </c>
      <c r="R1225" s="1686"/>
      <c r="S1225" s="1676"/>
      <c r="T1225" s="1685"/>
      <c r="U1225" s="1756"/>
      <c r="V1225" s="1757"/>
      <c r="W1225" s="1758"/>
      <c r="X1225" s="1758"/>
      <c r="Y1225" s="1759"/>
      <c r="Z1225" s="1760"/>
      <c r="AA1225" s="1676"/>
      <c r="AB1225" s="1684"/>
      <c r="AC1225" s="1685"/>
      <c r="AD1225" s="1673"/>
      <c r="AE1225" s="1673"/>
      <c r="AF1225" s="1115"/>
      <c r="AG1225" s="1694"/>
      <c r="AH1225" s="1695">
        <v>350000</v>
      </c>
      <c r="AI1225" s="1119">
        <f>AH1225*Q1225*0.5</f>
        <v>1750000</v>
      </c>
      <c r="AJ1225" s="1696"/>
      <c r="AK1225" s="1604"/>
      <c r="AL1225" s="1120"/>
      <c r="AM1225" s="1694"/>
      <c r="AN1225" s="1694"/>
      <c r="AO1225" s="1695"/>
      <c r="AP1225" s="1673"/>
      <c r="AQ1225" s="1695"/>
      <c r="AR1225" s="1673"/>
      <c r="AS1225" s="1673"/>
      <c r="AT1225" s="1694"/>
      <c r="AU1225" s="1696"/>
      <c r="AV1225" s="1697"/>
    </row>
    <row r="1226" spans="1:48" ht="33" customHeight="1">
      <c r="A1226" s="1698">
        <v>94</v>
      </c>
      <c r="B1226" s="1699" t="s">
        <v>25</v>
      </c>
      <c r="C1226" s="1700" t="s">
        <v>1333</v>
      </c>
      <c r="D1226" s="1702"/>
      <c r="E1226" s="1742"/>
      <c r="F1226" s="1730" t="s">
        <v>1332</v>
      </c>
      <c r="G1226" s="1704" t="s">
        <v>25</v>
      </c>
      <c r="H1226" s="1705" t="s">
        <v>42</v>
      </c>
      <c r="I1226" s="1706">
        <v>140</v>
      </c>
      <c r="J1226" s="1630" t="s">
        <v>41</v>
      </c>
      <c r="K1226" s="1722" t="s">
        <v>1331</v>
      </c>
      <c r="L1226" s="1245"/>
      <c r="M1226" s="1320"/>
      <c r="N1226" s="1707" t="s">
        <v>25</v>
      </c>
      <c r="O1226" s="1723" t="s">
        <v>62</v>
      </c>
      <c r="P1226" s="1709">
        <v>1</v>
      </c>
      <c r="Q1226" s="1707">
        <v>84</v>
      </c>
      <c r="R1226" s="1699" t="s">
        <v>25</v>
      </c>
      <c r="S1226" s="1702" t="s">
        <v>24</v>
      </c>
      <c r="T1226" s="1709">
        <v>3</v>
      </c>
      <c r="U1226" s="1710">
        <v>1</v>
      </c>
      <c r="V1226" s="1711" t="s">
        <v>58</v>
      </c>
      <c r="W1226" s="1712">
        <v>6</v>
      </c>
      <c r="X1226" s="1713"/>
      <c r="Y1226" s="1700">
        <v>4</v>
      </c>
      <c r="Z1226" s="1761">
        <f>SUM(W1226:Y1226)</f>
        <v>10</v>
      </c>
      <c r="AA1226" s="1701"/>
      <c r="AB1226" s="1705"/>
      <c r="AC1226" s="1641"/>
      <c r="AD1226" s="1641"/>
      <c r="AE1226" s="1641"/>
      <c r="AF1226" s="1056">
        <f>+Resum!F4</f>
        <v>204000</v>
      </c>
      <c r="AG1226" s="1086">
        <f>AF1226*I1226</f>
        <v>28560000</v>
      </c>
      <c r="AH1226" s="1642">
        <v>430000</v>
      </c>
      <c r="AI1226" s="1089">
        <f>AH1226*Q1226*0.25</f>
        <v>9030000</v>
      </c>
      <c r="AJ1226" s="1724">
        <f>SUM(AI1226:AI1229)</f>
        <v>18805000</v>
      </c>
      <c r="AK1226" s="1060">
        <v>50000</v>
      </c>
      <c r="AL1226" s="1090">
        <f t="shared" si="108"/>
        <v>300000</v>
      </c>
      <c r="AM1226" s="1644">
        <f>SUM(AL1226:AL1234)</f>
        <v>416070</v>
      </c>
      <c r="AN1226" s="1086">
        <f>AM1226+AJ1226+AG1226</f>
        <v>47781070</v>
      </c>
      <c r="AO1226" s="1642"/>
      <c r="AP1226" s="1136">
        <v>0</v>
      </c>
      <c r="AQ1226" s="1087">
        <v>0</v>
      </c>
      <c r="AR1226" s="1136">
        <f>AG1226*5%</f>
        <v>1428000</v>
      </c>
      <c r="AS1226" s="1087">
        <f>0.5%*(AG1226)*(3)</f>
        <v>428400</v>
      </c>
      <c r="AT1226" s="1086">
        <f>+AS1226+AR1226+AQ1226+AP1226+AO1226</f>
        <v>1856400</v>
      </c>
      <c r="AU1226" s="1137">
        <f>ROUND(AT1226+AN1226,-3)</f>
        <v>49637000</v>
      </c>
      <c r="AV1226" s="1645"/>
    </row>
    <row r="1227" spans="1:48" ht="16.5" customHeight="1">
      <c r="A1227" s="1640"/>
      <c r="B1227" s="1646" t="s">
        <v>16</v>
      </c>
      <c r="C1227" s="1647" t="s">
        <v>1330</v>
      </c>
      <c r="D1227" s="1625"/>
      <c r="E1227" s="1743"/>
      <c r="F1227" s="1648"/>
      <c r="G1227" s="1625" t="s">
        <v>16</v>
      </c>
      <c r="H1227" s="1625" t="s">
        <v>22</v>
      </c>
      <c r="I1227" s="1629"/>
      <c r="J1227" s="1630"/>
      <c r="K1227" s="1631"/>
      <c r="L1227" s="1245"/>
      <c r="M1227" s="1320"/>
      <c r="N1227" s="1632" t="s">
        <v>16</v>
      </c>
      <c r="O1227" s="1748" t="s">
        <v>21</v>
      </c>
      <c r="P1227" s="1634">
        <v>1</v>
      </c>
      <c r="Q1227" s="1632">
        <v>4</v>
      </c>
      <c r="R1227" s="1646"/>
      <c r="S1227" s="1625"/>
      <c r="T1227" s="1634"/>
      <c r="U1227" s="1635">
        <v>2</v>
      </c>
      <c r="V1227" s="1636" t="s">
        <v>109</v>
      </c>
      <c r="W1227" s="1714">
        <v>2</v>
      </c>
      <c r="X1227" s="1650"/>
      <c r="Y1227" s="1623"/>
      <c r="Z1227" s="1672">
        <f>SUM(W1227:Y1227)</f>
        <v>2</v>
      </c>
      <c r="AA1227" s="1625"/>
      <c r="AB1227" s="1628"/>
      <c r="AC1227" s="1640"/>
      <c r="AD1227" s="1640"/>
      <c r="AE1227" s="1640"/>
      <c r="AF1227" s="1085"/>
      <c r="AG1227" s="1652"/>
      <c r="AH1227" s="1653">
        <v>100000</v>
      </c>
      <c r="AI1227" s="1089">
        <f>AH1227*Q1227*0.25</f>
        <v>100000</v>
      </c>
      <c r="AJ1227" s="1654"/>
      <c r="AK1227" s="1300">
        <v>40000</v>
      </c>
      <c r="AL1227" s="1090">
        <f t="shared" si="108"/>
        <v>80000</v>
      </c>
      <c r="AM1227" s="1652"/>
      <c r="AN1227" s="1652"/>
      <c r="AO1227" s="1653"/>
      <c r="AP1227" s="1640"/>
      <c r="AQ1227" s="1653"/>
      <c r="AR1227" s="1640"/>
      <c r="AS1227" s="1640"/>
      <c r="AT1227" s="1652"/>
      <c r="AU1227" s="1654"/>
      <c r="AV1227" s="1655"/>
    </row>
    <row r="1228" spans="1:48" ht="16.5" customHeight="1">
      <c r="A1228" s="1640"/>
      <c r="B1228" s="1646" t="s">
        <v>18</v>
      </c>
      <c r="C1228" s="1623" t="s">
        <v>124</v>
      </c>
      <c r="D1228" s="1625"/>
      <c r="E1228" s="1743"/>
      <c r="F1228" s="1648"/>
      <c r="G1228" s="1625" t="s">
        <v>18</v>
      </c>
      <c r="H1228" s="1625" t="s">
        <v>19</v>
      </c>
      <c r="I1228" s="1629"/>
      <c r="J1228" s="1630"/>
      <c r="K1228" s="1631"/>
      <c r="L1228" s="1245"/>
      <c r="M1228" s="1320"/>
      <c r="N1228" s="1632" t="s">
        <v>18</v>
      </c>
      <c r="O1228" s="1748" t="s">
        <v>11</v>
      </c>
      <c r="P1228" s="1634">
        <v>1</v>
      </c>
      <c r="Q1228" s="1632"/>
      <c r="R1228" s="1665"/>
      <c r="S1228" s="1738"/>
      <c r="T1228" s="1634"/>
      <c r="U1228" s="1715">
        <v>3</v>
      </c>
      <c r="V1228" s="1762" t="s">
        <v>807</v>
      </c>
      <c r="W1228" s="1763">
        <v>1</v>
      </c>
      <c r="X1228" s="1656"/>
      <c r="Y1228" s="1661"/>
      <c r="Z1228" s="1672">
        <f>SUM(W1228:Y1228)</f>
        <v>1</v>
      </c>
      <c r="AA1228" s="1625"/>
      <c r="AB1228" s="1628"/>
      <c r="AC1228" s="1640"/>
      <c r="AD1228" s="1640"/>
      <c r="AE1228" s="1640"/>
      <c r="AF1228" s="1085"/>
      <c r="AG1228" s="1652"/>
      <c r="AH1228" s="1653">
        <v>2500000</v>
      </c>
      <c r="AI1228" s="1089">
        <f>AH1228*P1228*0.75</f>
        <v>1875000</v>
      </c>
      <c r="AJ1228" s="1654"/>
      <c r="AK1228" s="1529">
        <v>1770</v>
      </c>
      <c r="AL1228" s="1090">
        <f t="shared" si="108"/>
        <v>1770</v>
      </c>
      <c r="AM1228" s="1652"/>
      <c r="AN1228" s="1652"/>
      <c r="AO1228" s="1653"/>
      <c r="AP1228" s="1640"/>
      <c r="AQ1228" s="1653"/>
      <c r="AR1228" s="1640"/>
      <c r="AS1228" s="1640"/>
      <c r="AT1228" s="1652"/>
      <c r="AU1228" s="1654"/>
      <c r="AV1228" s="1655"/>
    </row>
    <row r="1229" spans="1:48" ht="49.5" customHeight="1">
      <c r="A1229" s="1640"/>
      <c r="B1229" s="1658" t="s">
        <v>12</v>
      </c>
      <c r="C1229" s="1659" t="s">
        <v>1329</v>
      </c>
      <c r="D1229" s="1625"/>
      <c r="E1229" s="1743"/>
      <c r="F1229" s="1648"/>
      <c r="G1229" s="1625"/>
      <c r="H1229" s="1625"/>
      <c r="I1229" s="1629"/>
      <c r="J1229" s="1630"/>
      <c r="K1229" s="1631"/>
      <c r="L1229" s="1245"/>
      <c r="M1229" s="1320"/>
      <c r="N1229" s="1632" t="s">
        <v>12</v>
      </c>
      <c r="O1229" s="1726" t="s">
        <v>7</v>
      </c>
      <c r="P1229" s="1634"/>
      <c r="Q1229" s="1634">
        <v>52</v>
      </c>
      <c r="R1229" s="1665"/>
      <c r="S1229" s="1666"/>
      <c r="T1229" s="1741"/>
      <c r="U1229" s="1764"/>
      <c r="V1229" s="1640"/>
      <c r="W1229" s="1650"/>
      <c r="X1229" s="1650"/>
      <c r="Y1229" s="1765"/>
      <c r="Z1229" s="1651"/>
      <c r="AA1229" s="1646"/>
      <c r="AB1229" s="1628"/>
      <c r="AC1229" s="1640"/>
      <c r="AD1229" s="1640"/>
      <c r="AE1229" s="1640"/>
      <c r="AF1229" s="1085"/>
      <c r="AG1229" s="1652"/>
      <c r="AH1229" s="1653">
        <v>300000</v>
      </c>
      <c r="AI1229" s="1089">
        <f>AH1229*Q1229*0.5</f>
        <v>7800000</v>
      </c>
      <c r="AJ1229" s="1654"/>
      <c r="AK1229" s="1529"/>
      <c r="AL1229" s="1090"/>
      <c r="AM1229" s="1652"/>
      <c r="AN1229" s="1652"/>
      <c r="AO1229" s="1653"/>
      <c r="AP1229" s="1640"/>
      <c r="AQ1229" s="1653"/>
      <c r="AR1229" s="1640"/>
      <c r="AS1229" s="1640"/>
      <c r="AT1229" s="1652"/>
      <c r="AU1229" s="1654"/>
      <c r="AV1229" s="1655"/>
    </row>
    <row r="1230" spans="1:48" ht="16.5" customHeight="1">
      <c r="A1230" s="1640"/>
      <c r="B1230" s="1646" t="s">
        <v>8</v>
      </c>
      <c r="C1230" s="1716" t="s">
        <v>1328</v>
      </c>
      <c r="D1230" s="1625"/>
      <c r="E1230" s="1743"/>
      <c r="F1230" s="1648"/>
      <c r="G1230" s="1625"/>
      <c r="H1230" s="1625"/>
      <c r="I1230" s="1629"/>
      <c r="J1230" s="1630"/>
      <c r="K1230" s="1631"/>
      <c r="L1230" s="1245"/>
      <c r="M1230" s="1320"/>
      <c r="N1230" s="1632"/>
      <c r="O1230" s="1633"/>
      <c r="P1230" s="1634"/>
      <c r="Q1230" s="1632"/>
      <c r="R1230" s="1646" t="s">
        <v>16</v>
      </c>
      <c r="S1230" s="1625" t="s">
        <v>15</v>
      </c>
      <c r="T1230" s="1634">
        <v>4</v>
      </c>
      <c r="U1230" s="1715">
        <v>1</v>
      </c>
      <c r="V1230" s="1762" t="s">
        <v>1327</v>
      </c>
      <c r="W1230" s="1763">
        <v>1</v>
      </c>
      <c r="X1230" s="1656"/>
      <c r="Y1230" s="1661"/>
      <c r="Z1230" s="1672">
        <f>SUM(W1230:Y1230)</f>
        <v>1</v>
      </c>
      <c r="AA1230" s="1625"/>
      <c r="AB1230" s="1628"/>
      <c r="AC1230" s="1640"/>
      <c r="AD1230" s="1640"/>
      <c r="AE1230" s="1640"/>
      <c r="AF1230" s="1085"/>
      <c r="AG1230" s="1652"/>
      <c r="AH1230" s="1653"/>
      <c r="AI1230" s="1653"/>
      <c r="AJ1230" s="1654"/>
      <c r="AK1230" s="1529">
        <v>1800</v>
      </c>
      <c r="AL1230" s="1090">
        <f t="shared" si="108"/>
        <v>1800</v>
      </c>
      <c r="AM1230" s="1652"/>
      <c r="AN1230" s="1652"/>
      <c r="AO1230" s="1653"/>
      <c r="AP1230" s="1640"/>
      <c r="AQ1230" s="1653"/>
      <c r="AR1230" s="1640"/>
      <c r="AS1230" s="1640"/>
      <c r="AT1230" s="1652"/>
      <c r="AU1230" s="1654"/>
      <c r="AV1230" s="1655"/>
    </row>
    <row r="1231" spans="1:48" ht="16.5" customHeight="1">
      <c r="A1231" s="1640"/>
      <c r="B1231" s="1646"/>
      <c r="C1231" s="1623"/>
      <c r="D1231" s="1625"/>
      <c r="E1231" s="1743"/>
      <c r="F1231" s="1648"/>
      <c r="G1231" s="1625"/>
      <c r="H1231" s="1625"/>
      <c r="I1231" s="1629"/>
      <c r="J1231" s="1630"/>
      <c r="K1231" s="1631"/>
      <c r="L1231" s="1245"/>
      <c r="M1231" s="1320"/>
      <c r="N1231" s="1632"/>
      <c r="O1231" s="1633"/>
      <c r="P1231" s="1634"/>
      <c r="Q1231" s="1632"/>
      <c r="R1231" s="1646"/>
      <c r="S1231" s="1625"/>
      <c r="T1231" s="1634"/>
      <c r="U1231" s="1715">
        <v>2</v>
      </c>
      <c r="V1231" s="1762" t="s">
        <v>1120</v>
      </c>
      <c r="W1231" s="1763"/>
      <c r="X1231" s="1656">
        <v>2</v>
      </c>
      <c r="Y1231" s="1661"/>
      <c r="Z1231" s="1672">
        <f>SUM(W1231:Y1231)</f>
        <v>2</v>
      </c>
      <c r="AA1231" s="1625"/>
      <c r="AB1231" s="1628"/>
      <c r="AC1231" s="1640"/>
      <c r="AD1231" s="1640"/>
      <c r="AE1231" s="1640"/>
      <c r="AF1231" s="1085"/>
      <c r="AG1231" s="1652"/>
      <c r="AH1231" s="1653"/>
      <c r="AI1231" s="1653"/>
      <c r="AJ1231" s="1654"/>
      <c r="AK1231" s="1529"/>
      <c r="AL1231" s="1090">
        <f t="shared" si="108"/>
        <v>0</v>
      </c>
      <c r="AM1231" s="1652"/>
      <c r="AN1231" s="1652"/>
      <c r="AO1231" s="1653"/>
      <c r="AP1231" s="1640"/>
      <c r="AQ1231" s="1653"/>
      <c r="AR1231" s="1640"/>
      <c r="AS1231" s="1640"/>
      <c r="AT1231" s="1652"/>
      <c r="AU1231" s="1654"/>
      <c r="AV1231" s="1655"/>
    </row>
    <row r="1232" spans="1:48" ht="16.5" customHeight="1">
      <c r="A1232" s="1640"/>
      <c r="B1232" s="1646"/>
      <c r="C1232" s="1623"/>
      <c r="D1232" s="1625"/>
      <c r="E1232" s="1743"/>
      <c r="F1232" s="1648"/>
      <c r="G1232" s="1625"/>
      <c r="H1232" s="1625"/>
      <c r="I1232" s="1629"/>
      <c r="J1232" s="1630"/>
      <c r="K1232" s="1631"/>
      <c r="L1232" s="1245"/>
      <c r="M1232" s="1320"/>
      <c r="N1232" s="1632"/>
      <c r="O1232" s="1633"/>
      <c r="P1232" s="1634"/>
      <c r="Q1232" s="1632"/>
      <c r="R1232" s="1646"/>
      <c r="S1232" s="1625"/>
      <c r="T1232" s="1634"/>
      <c r="U1232" s="1715">
        <v>3</v>
      </c>
      <c r="V1232" s="1762" t="s">
        <v>144</v>
      </c>
      <c r="W1232" s="1763"/>
      <c r="X1232" s="1656">
        <v>2</v>
      </c>
      <c r="Y1232" s="1661"/>
      <c r="Z1232" s="1672">
        <f>SUM(W1232:Y1232)</f>
        <v>2</v>
      </c>
      <c r="AA1232" s="1625"/>
      <c r="AB1232" s="1628"/>
      <c r="AC1232" s="1640"/>
      <c r="AD1232" s="1640"/>
      <c r="AE1232" s="1640"/>
      <c r="AF1232" s="1085"/>
      <c r="AG1232" s="1652"/>
      <c r="AH1232" s="1653"/>
      <c r="AI1232" s="1653"/>
      <c r="AJ1232" s="1654"/>
      <c r="AK1232" s="1529">
        <v>13250</v>
      </c>
      <c r="AL1232" s="1090">
        <f>AK1232*X1232</f>
        <v>26500</v>
      </c>
      <c r="AM1232" s="1652"/>
      <c r="AN1232" s="1652"/>
      <c r="AO1232" s="1653"/>
      <c r="AP1232" s="1640"/>
      <c r="AQ1232" s="1653"/>
      <c r="AR1232" s="1640"/>
      <c r="AS1232" s="1640"/>
      <c r="AT1232" s="1652"/>
      <c r="AU1232" s="1654"/>
      <c r="AV1232" s="1655"/>
    </row>
    <row r="1233" spans="1:48" ht="16.5" customHeight="1">
      <c r="A1233" s="1640"/>
      <c r="B1233" s="1665"/>
      <c r="C1233" s="1666"/>
      <c r="D1233" s="1625"/>
      <c r="E1233" s="1743"/>
      <c r="F1233" s="1648"/>
      <c r="G1233" s="1625"/>
      <c r="H1233" s="1667"/>
      <c r="I1233" s="1629"/>
      <c r="J1233" s="1630"/>
      <c r="K1233" s="1631"/>
      <c r="L1233" s="1245"/>
      <c r="M1233" s="1320"/>
      <c r="N1233" s="1738"/>
      <c r="O1233" s="1740"/>
      <c r="P1233" s="1741"/>
      <c r="Q1233" s="1741"/>
      <c r="R1233" s="1646"/>
      <c r="S1233" s="1625"/>
      <c r="T1233" s="1634"/>
      <c r="U1233" s="1715">
        <v>4</v>
      </c>
      <c r="V1233" s="1636" t="s">
        <v>242</v>
      </c>
      <c r="W1233" s="1714"/>
      <c r="X1233" s="1650"/>
      <c r="Y1233" s="1623">
        <v>3</v>
      </c>
      <c r="Z1233" s="1672">
        <f>SUM(W1233:Y1233)</f>
        <v>3</v>
      </c>
      <c r="AA1233" s="1625"/>
      <c r="AB1233" s="1628"/>
      <c r="AC1233" s="1640"/>
      <c r="AD1233" s="1640"/>
      <c r="AE1233" s="1640"/>
      <c r="AF1233" s="1085"/>
      <c r="AG1233" s="1652"/>
      <c r="AH1233" s="1653"/>
      <c r="AI1233" s="1653"/>
      <c r="AJ1233" s="1654"/>
      <c r="AK1233" s="1529">
        <v>2000</v>
      </c>
      <c r="AL1233" s="1090">
        <f>AK1233*Y1233</f>
        <v>6000</v>
      </c>
      <c r="AM1233" s="1652"/>
      <c r="AN1233" s="1652"/>
      <c r="AO1233" s="1653"/>
      <c r="AP1233" s="1640"/>
      <c r="AQ1233" s="1653"/>
      <c r="AR1233" s="1640"/>
      <c r="AS1233" s="1640"/>
      <c r="AT1233" s="1652"/>
      <c r="AU1233" s="1654"/>
      <c r="AV1233" s="1655"/>
    </row>
    <row r="1234" spans="1:48" ht="16.5" customHeight="1">
      <c r="A1234" s="1673"/>
      <c r="B1234" s="1674"/>
      <c r="C1234" s="1675"/>
      <c r="D1234" s="1676"/>
      <c r="E1234" s="1677"/>
      <c r="F1234" s="1678"/>
      <c r="G1234" s="1676"/>
      <c r="H1234" s="1679"/>
      <c r="I1234" s="1680"/>
      <c r="J1234" s="1681"/>
      <c r="K1234" s="1682"/>
      <c r="L1234" s="1245"/>
      <c r="M1234" s="1320"/>
      <c r="N1234" s="1683"/>
      <c r="O1234" s="1684"/>
      <c r="P1234" s="1685"/>
      <c r="Q1234" s="1683"/>
      <c r="R1234" s="1686"/>
      <c r="S1234" s="1676"/>
      <c r="T1234" s="1685"/>
      <c r="U1234" s="1717"/>
      <c r="V1234" s="1718"/>
      <c r="W1234" s="1719"/>
      <c r="X1234" s="1720"/>
      <c r="Y1234" s="1721"/>
      <c r="Z1234" s="1693"/>
      <c r="AA1234" s="1676"/>
      <c r="AB1234" s="1727"/>
      <c r="AC1234" s="1673"/>
      <c r="AD1234" s="1673"/>
      <c r="AE1234" s="1673"/>
      <c r="AF1234" s="1115"/>
      <c r="AG1234" s="1694"/>
      <c r="AH1234" s="1695"/>
      <c r="AI1234" s="1695"/>
      <c r="AJ1234" s="1696"/>
      <c r="AK1234" s="1604"/>
      <c r="AL1234" s="1120"/>
      <c r="AM1234" s="1694"/>
      <c r="AN1234" s="1694"/>
      <c r="AO1234" s="1695"/>
      <c r="AP1234" s="1673"/>
      <c r="AQ1234" s="1695"/>
      <c r="AR1234" s="1673"/>
      <c r="AS1234" s="1673"/>
      <c r="AT1234" s="1694"/>
      <c r="AU1234" s="1696"/>
      <c r="AV1234" s="1697"/>
    </row>
    <row r="1235" spans="1:48" ht="33" customHeight="1">
      <c r="A1235" s="1698">
        <v>95</v>
      </c>
      <c r="B1235" s="1699" t="s">
        <v>25</v>
      </c>
      <c r="C1235" s="1700" t="s">
        <v>1165</v>
      </c>
      <c r="D1235" s="1702"/>
      <c r="E1235" s="1742"/>
      <c r="F1235" s="1730" t="s">
        <v>1326</v>
      </c>
      <c r="G1235" s="1704" t="s">
        <v>25</v>
      </c>
      <c r="H1235" s="1705" t="s">
        <v>42</v>
      </c>
      <c r="I1235" s="1706">
        <v>729</v>
      </c>
      <c r="J1235" s="1630" t="s">
        <v>41</v>
      </c>
      <c r="K1235" s="1722" t="s">
        <v>1325</v>
      </c>
      <c r="L1235" s="1373"/>
      <c r="M1235" s="1317"/>
      <c r="N1235" s="1632" t="s">
        <v>25</v>
      </c>
      <c r="O1235" s="1624" t="s">
        <v>1324</v>
      </c>
      <c r="P1235" s="1634">
        <v>1</v>
      </c>
      <c r="Q1235" s="1632">
        <v>73.64</v>
      </c>
      <c r="R1235" s="1699" t="s">
        <v>25</v>
      </c>
      <c r="S1235" s="1702" t="s">
        <v>24</v>
      </c>
      <c r="T1235" s="1709">
        <v>1</v>
      </c>
      <c r="U1235" s="1710">
        <v>1</v>
      </c>
      <c r="V1235" s="1711" t="s">
        <v>58</v>
      </c>
      <c r="W1235" s="1712">
        <v>3</v>
      </c>
      <c r="X1235" s="1713"/>
      <c r="Y1235" s="1700"/>
      <c r="Z1235" s="1761">
        <f>SUM(W1235:Y1235)</f>
        <v>3</v>
      </c>
      <c r="AA1235" s="1701"/>
      <c r="AB1235" s="1705"/>
      <c r="AC1235" s="1641"/>
      <c r="AD1235" s="1710"/>
      <c r="AE1235" s="1766"/>
      <c r="AF1235" s="1056">
        <f>+Resum!F4</f>
        <v>204000</v>
      </c>
      <c r="AG1235" s="1086">
        <f>AF1235*I1235</f>
        <v>148716000</v>
      </c>
      <c r="AH1235" s="1058"/>
      <c r="AI1235" s="1058"/>
      <c r="AJ1235" s="1767"/>
      <c r="AK1235" s="1300">
        <v>225000</v>
      </c>
      <c r="AL1235" s="1090">
        <f t="shared" si="108"/>
        <v>675000</v>
      </c>
      <c r="AM1235" s="1057">
        <f>SUM(AL1235:AL1249)</f>
        <v>3218300</v>
      </c>
      <c r="AN1235" s="1086">
        <f>AM1235+AJ1235+AG1235</f>
        <v>151934300</v>
      </c>
      <c r="AO1235" s="1058"/>
      <c r="AP1235" s="1136">
        <f>AI1236*15%</f>
        <v>0</v>
      </c>
      <c r="AQ1235" s="1087">
        <v>0</v>
      </c>
      <c r="AR1235" s="1136">
        <f>(AG1235+AI1235)*5%</f>
        <v>7435800</v>
      </c>
      <c r="AS1235" s="1087">
        <f>0.5%*(AG1235+AI1235)*(3)</f>
        <v>2230740</v>
      </c>
      <c r="AT1235" s="1086">
        <f>+AS1235+AR1235+AQ1235+AP1235+AO1235</f>
        <v>9666540</v>
      </c>
      <c r="AU1235" s="1137">
        <f>ROUND(AT1235+AN1235,-3)</f>
        <v>161601000</v>
      </c>
      <c r="AV1235" s="1645"/>
    </row>
    <row r="1236" spans="1:48" ht="16.5" customHeight="1">
      <c r="A1236" s="1640"/>
      <c r="B1236" s="1646" t="s">
        <v>16</v>
      </c>
      <c r="C1236" s="1647" t="s">
        <v>1162</v>
      </c>
      <c r="D1236" s="1625"/>
      <c r="E1236" s="1743"/>
      <c r="F1236" s="1648"/>
      <c r="G1236" s="1625" t="s">
        <v>16</v>
      </c>
      <c r="H1236" s="1625" t="s">
        <v>22</v>
      </c>
      <c r="I1236" s="1629"/>
      <c r="J1236" s="1630"/>
      <c r="K1236" s="1631"/>
      <c r="L1236" s="1245"/>
      <c r="M1236" s="1320"/>
      <c r="N1236" s="1632" t="s">
        <v>16</v>
      </c>
      <c r="O1236" s="1726" t="s">
        <v>21</v>
      </c>
      <c r="P1236" s="1634">
        <v>1</v>
      </c>
      <c r="Q1236" s="1632">
        <v>15.62</v>
      </c>
      <c r="R1236" s="1646"/>
      <c r="S1236" s="1625"/>
      <c r="T1236" s="1634"/>
      <c r="U1236" s="1635"/>
      <c r="V1236" s="1636"/>
      <c r="W1236" s="1714"/>
      <c r="X1236" s="1650"/>
      <c r="Y1236" s="1623"/>
      <c r="Z1236" s="1672"/>
      <c r="AA1236" s="1625"/>
      <c r="AB1236" s="1628"/>
      <c r="AC1236" s="1640"/>
      <c r="AD1236" s="1635"/>
      <c r="AE1236" s="1764"/>
      <c r="AF1236" s="1085"/>
      <c r="AG1236" s="1086"/>
      <c r="AH1236" s="1087"/>
      <c r="AI1236" s="1087"/>
      <c r="AJ1236" s="1768"/>
      <c r="AK1236" s="1089"/>
      <c r="AL1236" s="1090"/>
      <c r="AM1236" s="1086"/>
      <c r="AN1236" s="1086"/>
      <c r="AO1236" s="1087"/>
      <c r="AP1236" s="1764"/>
      <c r="AQ1236" s="1087"/>
      <c r="AR1236" s="1764"/>
      <c r="AS1236" s="1764"/>
      <c r="AT1236" s="1086"/>
      <c r="AU1236" s="1768"/>
      <c r="AV1236" s="1655"/>
    </row>
    <row r="1237" spans="1:48" ht="33" customHeight="1">
      <c r="A1237" s="1640"/>
      <c r="B1237" s="1646" t="s">
        <v>18</v>
      </c>
      <c r="C1237" s="1623" t="s">
        <v>38</v>
      </c>
      <c r="D1237" s="1625"/>
      <c r="E1237" s="1743"/>
      <c r="F1237" s="1648"/>
      <c r="G1237" s="1625" t="s">
        <v>18</v>
      </c>
      <c r="H1237" s="1625" t="s">
        <v>19</v>
      </c>
      <c r="I1237" s="1629"/>
      <c r="J1237" s="1630"/>
      <c r="K1237" s="1631"/>
      <c r="L1237" s="1245"/>
      <c r="M1237" s="1320"/>
      <c r="N1237" s="1632" t="s">
        <v>18</v>
      </c>
      <c r="O1237" s="1726" t="s">
        <v>62</v>
      </c>
      <c r="P1237" s="1634">
        <v>1</v>
      </c>
      <c r="Q1237" s="1632">
        <v>71.400000000000006</v>
      </c>
      <c r="R1237" s="1646" t="s">
        <v>16</v>
      </c>
      <c r="S1237" s="1625" t="s">
        <v>15</v>
      </c>
      <c r="T1237" s="1634">
        <v>4</v>
      </c>
      <c r="U1237" s="1715">
        <v>1</v>
      </c>
      <c r="V1237" s="1636" t="s">
        <v>14</v>
      </c>
      <c r="W1237" s="1769">
        <v>2</v>
      </c>
      <c r="X1237" s="1770"/>
      <c r="Y1237" s="1623"/>
      <c r="Z1237" s="1672">
        <f>SUM(W1237:Y1237)</f>
        <v>2</v>
      </c>
      <c r="AA1237" s="1625"/>
      <c r="AB1237" s="1628"/>
      <c r="AC1237" s="1640"/>
      <c r="AD1237" s="1635"/>
      <c r="AE1237" s="1764"/>
      <c r="AF1237" s="1085"/>
      <c r="AG1237" s="1086"/>
      <c r="AH1237" s="1087"/>
      <c r="AI1237" s="1087"/>
      <c r="AJ1237" s="1768"/>
      <c r="AK1237" s="1089">
        <v>350000</v>
      </c>
      <c r="AL1237" s="1087">
        <f t="shared" si="108"/>
        <v>700000</v>
      </c>
      <c r="AM1237" s="1086"/>
      <c r="AN1237" s="1086"/>
      <c r="AO1237" s="1087"/>
      <c r="AP1237" s="1764"/>
      <c r="AQ1237" s="1087"/>
      <c r="AR1237" s="1764"/>
      <c r="AS1237" s="1764"/>
      <c r="AT1237" s="1086"/>
      <c r="AU1237" s="1768"/>
      <c r="AV1237" s="1655"/>
    </row>
    <row r="1238" spans="1:48" ht="66" customHeight="1">
      <c r="A1238" s="1640"/>
      <c r="B1238" s="1658" t="s">
        <v>12</v>
      </c>
      <c r="C1238" s="1659" t="s">
        <v>1161</v>
      </c>
      <c r="D1238" s="1625"/>
      <c r="E1238" s="1743"/>
      <c r="F1238" s="1648"/>
      <c r="G1238" s="1625"/>
      <c r="H1238" s="1625"/>
      <c r="I1238" s="1629"/>
      <c r="J1238" s="1630"/>
      <c r="K1238" s="1631"/>
      <c r="L1238" s="1245"/>
      <c r="M1238" s="1320"/>
      <c r="N1238" s="1632" t="s">
        <v>12</v>
      </c>
      <c r="O1238" s="1726" t="s">
        <v>21</v>
      </c>
      <c r="P1238" s="1634">
        <v>1</v>
      </c>
      <c r="Q1238" s="1632">
        <v>14</v>
      </c>
      <c r="R1238" s="1646"/>
      <c r="S1238" s="1625"/>
      <c r="T1238" s="1634"/>
      <c r="U1238" s="1715"/>
      <c r="V1238" s="1636" t="s">
        <v>14</v>
      </c>
      <c r="W1238" s="1769"/>
      <c r="X1238" s="1770">
        <v>3</v>
      </c>
      <c r="Y1238" s="1623"/>
      <c r="Z1238" s="1672">
        <f>SUM(W1238:Y1238)</f>
        <v>3</v>
      </c>
      <c r="AA1238" s="1625"/>
      <c r="AB1238" s="1628"/>
      <c r="AC1238" s="1640"/>
      <c r="AD1238" s="1635"/>
      <c r="AE1238" s="1764"/>
      <c r="AF1238" s="1085"/>
      <c r="AG1238" s="1086"/>
      <c r="AH1238" s="1087"/>
      <c r="AI1238" s="1087"/>
      <c r="AJ1238" s="1768"/>
      <c r="AK1238" s="1089">
        <v>231000</v>
      </c>
      <c r="AL1238" s="1087">
        <f>AK1238*X1238</f>
        <v>693000</v>
      </c>
      <c r="AM1238" s="1086"/>
      <c r="AN1238" s="1086"/>
      <c r="AO1238" s="1087"/>
      <c r="AP1238" s="1764"/>
      <c r="AQ1238" s="1087"/>
      <c r="AR1238" s="1764"/>
      <c r="AS1238" s="1764"/>
      <c r="AT1238" s="1086"/>
      <c r="AU1238" s="1768"/>
      <c r="AV1238" s="1655"/>
    </row>
    <row r="1239" spans="1:48" ht="33" customHeight="1">
      <c r="A1239" s="1640"/>
      <c r="B1239" s="1646" t="s">
        <v>8</v>
      </c>
      <c r="C1239" s="1716" t="s">
        <v>1160</v>
      </c>
      <c r="D1239" s="1625"/>
      <c r="E1239" s="1743"/>
      <c r="F1239" s="1648"/>
      <c r="G1239" s="1625"/>
      <c r="H1239" s="1625"/>
      <c r="I1239" s="1629"/>
      <c r="J1239" s="1630"/>
      <c r="K1239" s="1631"/>
      <c r="L1239" s="1245"/>
      <c r="M1239" s="1320"/>
      <c r="N1239" s="1632" t="s">
        <v>8</v>
      </c>
      <c r="O1239" s="1726" t="s">
        <v>191</v>
      </c>
      <c r="P1239" s="1634">
        <v>1</v>
      </c>
      <c r="Q1239" s="1632">
        <v>88.05</v>
      </c>
      <c r="R1239" s="1646"/>
      <c r="S1239" s="1625"/>
      <c r="T1239" s="1634"/>
      <c r="U1239" s="1715">
        <v>2</v>
      </c>
      <c r="V1239" s="1636" t="s">
        <v>10</v>
      </c>
      <c r="W1239" s="1769">
        <v>3</v>
      </c>
      <c r="X1239" s="1770"/>
      <c r="Y1239" s="1623"/>
      <c r="Z1239" s="1672">
        <f>SUM(W1239:Y1239)</f>
        <v>3</v>
      </c>
      <c r="AA1239" s="1625"/>
      <c r="AB1239" s="1628"/>
      <c r="AC1239" s="1640"/>
      <c r="AD1239" s="1635"/>
      <c r="AE1239" s="1764"/>
      <c r="AF1239" s="1085"/>
      <c r="AG1239" s="1086"/>
      <c r="AH1239" s="1087"/>
      <c r="AI1239" s="1087"/>
      <c r="AJ1239" s="1768"/>
      <c r="AK1239" s="1089">
        <v>50000</v>
      </c>
      <c r="AL1239" s="1090">
        <f t="shared" si="108"/>
        <v>150000</v>
      </c>
      <c r="AM1239" s="1086"/>
      <c r="AN1239" s="1086"/>
      <c r="AO1239" s="1087"/>
      <c r="AP1239" s="1764"/>
      <c r="AQ1239" s="1087"/>
      <c r="AR1239" s="1764"/>
      <c r="AS1239" s="1764"/>
      <c r="AT1239" s="1086"/>
      <c r="AU1239" s="1768"/>
      <c r="AV1239" s="1655"/>
    </row>
    <row r="1240" spans="1:48" ht="16.5" customHeight="1">
      <c r="A1240" s="1640"/>
      <c r="B1240" s="1646"/>
      <c r="C1240" s="1623"/>
      <c r="D1240" s="1625"/>
      <c r="E1240" s="1743"/>
      <c r="F1240" s="1648"/>
      <c r="G1240" s="1625"/>
      <c r="H1240" s="1625"/>
      <c r="I1240" s="1629"/>
      <c r="J1240" s="1630"/>
      <c r="K1240" s="1631"/>
      <c r="L1240" s="1245"/>
      <c r="M1240" s="1320"/>
      <c r="N1240" s="1632" t="s">
        <v>54</v>
      </c>
      <c r="O1240" s="1726" t="s">
        <v>21</v>
      </c>
      <c r="P1240" s="1634">
        <v>1</v>
      </c>
      <c r="Q1240" s="1632">
        <v>17</v>
      </c>
      <c r="R1240" s="1646"/>
      <c r="S1240" s="1625"/>
      <c r="T1240" s="1634"/>
      <c r="U1240" s="1715">
        <v>3</v>
      </c>
      <c r="V1240" s="1636" t="s">
        <v>4</v>
      </c>
      <c r="W1240" s="1769"/>
      <c r="X1240" s="1770">
        <v>2</v>
      </c>
      <c r="Y1240" s="1623"/>
      <c r="Z1240" s="1672">
        <f>SUM(W1240:Y1240)</f>
        <v>2</v>
      </c>
      <c r="AA1240" s="1625"/>
      <c r="AB1240" s="1628"/>
      <c r="AC1240" s="1640"/>
      <c r="AD1240" s="1635"/>
      <c r="AE1240" s="1764"/>
      <c r="AF1240" s="1085"/>
      <c r="AG1240" s="1086"/>
      <c r="AH1240" s="1087"/>
      <c r="AI1240" s="1087"/>
      <c r="AJ1240" s="1768"/>
      <c r="AK1240" s="1089">
        <v>150</v>
      </c>
      <c r="AL1240" s="1090">
        <f>AK1240*X1240</f>
        <v>300</v>
      </c>
      <c r="AM1240" s="1086"/>
      <c r="AN1240" s="1086"/>
      <c r="AO1240" s="1087"/>
      <c r="AP1240" s="1764"/>
      <c r="AQ1240" s="1087"/>
      <c r="AR1240" s="1764"/>
      <c r="AS1240" s="1764"/>
      <c r="AT1240" s="1086"/>
      <c r="AU1240" s="1768"/>
      <c r="AV1240" s="1655"/>
    </row>
    <row r="1241" spans="1:48" ht="16.5" customHeight="1">
      <c r="A1241" s="1640"/>
      <c r="B1241" s="1646"/>
      <c r="C1241" s="1623"/>
      <c r="D1241" s="1625"/>
      <c r="E1241" s="1743"/>
      <c r="F1241" s="1648"/>
      <c r="G1241" s="1625"/>
      <c r="H1241" s="1625"/>
      <c r="I1241" s="1629"/>
      <c r="J1241" s="1630"/>
      <c r="K1241" s="1631"/>
      <c r="L1241" s="1245"/>
      <c r="M1241" s="1320"/>
      <c r="N1241" s="1632" t="s">
        <v>53</v>
      </c>
      <c r="O1241" s="1726" t="s">
        <v>52</v>
      </c>
      <c r="P1241" s="1634">
        <v>1</v>
      </c>
      <c r="Q1241" s="1632">
        <v>15.89</v>
      </c>
      <c r="R1241" s="1646"/>
      <c r="S1241" s="1625"/>
      <c r="T1241" s="1634"/>
      <c r="U1241" s="1715">
        <v>4</v>
      </c>
      <c r="V1241" s="1636" t="s">
        <v>142</v>
      </c>
      <c r="W1241" s="1769">
        <v>4</v>
      </c>
      <c r="X1241" s="1771"/>
      <c r="Y1241" s="1623"/>
      <c r="Z1241" s="1672"/>
      <c r="AA1241" s="1625"/>
      <c r="AB1241" s="1628"/>
      <c r="AC1241" s="1640"/>
      <c r="AD1241" s="1635"/>
      <c r="AE1241" s="1764"/>
      <c r="AF1241" s="1085"/>
      <c r="AG1241" s="1086"/>
      <c r="AH1241" s="1087">
        <v>0</v>
      </c>
      <c r="AI1241" s="1087"/>
      <c r="AJ1241" s="1768"/>
      <c r="AK1241" s="1089">
        <v>250000</v>
      </c>
      <c r="AL1241" s="1090">
        <f t="shared" si="108"/>
        <v>1000000</v>
      </c>
      <c r="AM1241" s="1086"/>
      <c r="AN1241" s="1086"/>
      <c r="AO1241" s="1087"/>
      <c r="AP1241" s="1764"/>
      <c r="AQ1241" s="1087"/>
      <c r="AR1241" s="1764"/>
      <c r="AS1241" s="1764"/>
      <c r="AT1241" s="1086"/>
      <c r="AU1241" s="1768"/>
      <c r="AV1241" s="1655"/>
    </row>
    <row r="1242" spans="1:48" ht="16.5" customHeight="1">
      <c r="A1242" s="1640"/>
      <c r="B1242" s="1646"/>
      <c r="C1242" s="1623"/>
      <c r="D1242" s="1625"/>
      <c r="E1242" s="1743"/>
      <c r="F1242" s="1648"/>
      <c r="G1242" s="1625"/>
      <c r="H1242" s="1625"/>
      <c r="I1242" s="1629"/>
      <c r="J1242" s="1630"/>
      <c r="K1242" s="1631"/>
      <c r="L1242" s="1245"/>
      <c r="M1242" s="1320"/>
      <c r="N1242" s="1632" t="s">
        <v>51</v>
      </c>
      <c r="O1242" s="1726" t="s">
        <v>59</v>
      </c>
      <c r="P1242" s="1634">
        <v>1</v>
      </c>
      <c r="Q1242" s="1632">
        <v>45.26</v>
      </c>
      <c r="R1242" s="1646"/>
      <c r="S1242" s="1625"/>
      <c r="T1242" s="1634"/>
      <c r="U1242" s="1715"/>
      <c r="V1242" s="1636"/>
      <c r="W1242" s="1772"/>
      <c r="X1242" s="1771"/>
      <c r="Y1242" s="1623"/>
      <c r="Z1242" s="1672"/>
      <c r="AA1242" s="1625"/>
      <c r="AB1242" s="1628"/>
      <c r="AC1242" s="1640"/>
      <c r="AD1242" s="1635"/>
      <c r="AE1242" s="1764"/>
      <c r="AF1242" s="1085"/>
      <c r="AG1242" s="1086"/>
      <c r="AH1242" s="1087">
        <v>0</v>
      </c>
      <c r="AI1242" s="1087"/>
      <c r="AJ1242" s="1768"/>
      <c r="AK1242" s="1089"/>
      <c r="AL1242" s="1090"/>
      <c r="AM1242" s="1086"/>
      <c r="AN1242" s="1086"/>
      <c r="AO1242" s="1087"/>
      <c r="AP1242" s="1764"/>
      <c r="AQ1242" s="1087"/>
      <c r="AR1242" s="1764"/>
      <c r="AS1242" s="1764"/>
      <c r="AT1242" s="1086"/>
      <c r="AU1242" s="1768"/>
      <c r="AV1242" s="1655"/>
    </row>
    <row r="1243" spans="1:48" ht="33" customHeight="1">
      <c r="A1243" s="1640"/>
      <c r="B1243" s="1646"/>
      <c r="C1243" s="1623"/>
      <c r="D1243" s="1625"/>
      <c r="E1243" s="1743"/>
      <c r="F1243" s="1648"/>
      <c r="G1243" s="1625"/>
      <c r="H1243" s="1625"/>
      <c r="I1243" s="1629"/>
      <c r="J1243" s="1630"/>
      <c r="K1243" s="1631"/>
      <c r="L1243" s="1245"/>
      <c r="M1243" s="1320"/>
      <c r="N1243" s="1632" t="s">
        <v>154</v>
      </c>
      <c r="O1243" s="1726" t="s">
        <v>62</v>
      </c>
      <c r="P1243" s="1634">
        <v>1</v>
      </c>
      <c r="Q1243" s="1632">
        <v>40.799999999999997</v>
      </c>
      <c r="R1243" s="1646"/>
      <c r="S1243" s="1625"/>
      <c r="T1243" s="1634"/>
      <c r="U1243" s="1715"/>
      <c r="V1243" s="1636"/>
      <c r="W1243" s="1772"/>
      <c r="X1243" s="1771"/>
      <c r="Y1243" s="1623"/>
      <c r="Z1243" s="1672"/>
      <c r="AA1243" s="1625"/>
      <c r="AB1243" s="1628"/>
      <c r="AC1243" s="1640"/>
      <c r="AD1243" s="1635"/>
      <c r="AE1243" s="1764"/>
      <c r="AF1243" s="1085"/>
      <c r="AG1243" s="1086"/>
      <c r="AH1243" s="1087"/>
      <c r="AI1243" s="1087"/>
      <c r="AJ1243" s="1768"/>
      <c r="AK1243" s="1089"/>
      <c r="AL1243" s="1090"/>
      <c r="AM1243" s="1086"/>
      <c r="AN1243" s="1086"/>
      <c r="AO1243" s="1087"/>
      <c r="AP1243" s="1764"/>
      <c r="AQ1243" s="1087"/>
      <c r="AR1243" s="1764"/>
      <c r="AS1243" s="1764"/>
      <c r="AT1243" s="1086"/>
      <c r="AU1243" s="1768"/>
      <c r="AV1243" s="1655"/>
    </row>
    <row r="1244" spans="1:48" ht="16.5" customHeight="1">
      <c r="A1244" s="1640"/>
      <c r="B1244" s="1646"/>
      <c r="C1244" s="1623"/>
      <c r="D1244" s="1625"/>
      <c r="E1244" s="1743"/>
      <c r="F1244" s="1648"/>
      <c r="G1244" s="1625"/>
      <c r="H1244" s="1625"/>
      <c r="I1244" s="1629"/>
      <c r="J1244" s="1630"/>
      <c r="K1244" s="1631"/>
      <c r="L1244" s="1245"/>
      <c r="M1244" s="1320"/>
      <c r="N1244" s="1632" t="s">
        <v>172</v>
      </c>
      <c r="O1244" s="1726" t="s">
        <v>52</v>
      </c>
      <c r="P1244" s="1634">
        <v>1</v>
      </c>
      <c r="Q1244" s="1632">
        <v>8.75</v>
      </c>
      <c r="R1244" s="1646"/>
      <c r="S1244" s="1625"/>
      <c r="T1244" s="1634"/>
      <c r="U1244" s="1715"/>
      <c r="V1244" s="1636"/>
      <c r="W1244" s="1772"/>
      <c r="X1244" s="1771"/>
      <c r="Y1244" s="1623"/>
      <c r="Z1244" s="1672"/>
      <c r="AA1244" s="1625"/>
      <c r="AB1244" s="1628"/>
      <c r="AC1244" s="1640"/>
      <c r="AD1244" s="1635"/>
      <c r="AE1244" s="1764"/>
      <c r="AF1244" s="1085"/>
      <c r="AG1244" s="1086"/>
      <c r="AH1244" s="1087">
        <v>0</v>
      </c>
      <c r="AI1244" s="1087"/>
      <c r="AJ1244" s="1768"/>
      <c r="AK1244" s="1089"/>
      <c r="AL1244" s="1090"/>
      <c r="AM1244" s="1086"/>
      <c r="AN1244" s="1086"/>
      <c r="AO1244" s="1087"/>
      <c r="AP1244" s="1764"/>
      <c r="AQ1244" s="1087"/>
      <c r="AR1244" s="1764"/>
      <c r="AS1244" s="1764"/>
      <c r="AT1244" s="1086"/>
      <c r="AU1244" s="1768"/>
      <c r="AV1244" s="1655"/>
    </row>
    <row r="1245" spans="1:48" ht="16.5" customHeight="1">
      <c r="A1245" s="1640"/>
      <c r="B1245" s="1646"/>
      <c r="C1245" s="1623"/>
      <c r="D1245" s="1625"/>
      <c r="E1245" s="1743"/>
      <c r="F1245" s="1648"/>
      <c r="G1245" s="1625"/>
      <c r="H1245" s="1625"/>
      <c r="I1245" s="1629"/>
      <c r="J1245" s="1630"/>
      <c r="K1245" s="1631"/>
      <c r="L1245" s="1245"/>
      <c r="M1245" s="1320"/>
      <c r="N1245" s="1632" t="s">
        <v>187</v>
      </c>
      <c r="O1245" s="1726" t="s">
        <v>59</v>
      </c>
      <c r="P1245" s="1634">
        <v>1</v>
      </c>
      <c r="Q1245" s="1632">
        <v>65.27</v>
      </c>
      <c r="R1245" s="1646"/>
      <c r="S1245" s="1625"/>
      <c r="T1245" s="1634"/>
      <c r="U1245" s="1715"/>
      <c r="V1245" s="1636"/>
      <c r="W1245" s="1772"/>
      <c r="X1245" s="1771"/>
      <c r="Y1245" s="1623"/>
      <c r="Z1245" s="1672"/>
      <c r="AA1245" s="1625"/>
      <c r="AB1245" s="1628"/>
      <c r="AC1245" s="1640"/>
      <c r="AD1245" s="1635"/>
      <c r="AE1245" s="1764"/>
      <c r="AF1245" s="1085"/>
      <c r="AG1245" s="1086"/>
      <c r="AH1245" s="1087">
        <v>0</v>
      </c>
      <c r="AI1245" s="1087"/>
      <c r="AJ1245" s="1768"/>
      <c r="AK1245" s="1089"/>
      <c r="AL1245" s="1090"/>
      <c r="AM1245" s="1086"/>
      <c r="AN1245" s="1086"/>
      <c r="AO1245" s="1087"/>
      <c r="AP1245" s="1764"/>
      <c r="AQ1245" s="1087"/>
      <c r="AR1245" s="1764"/>
      <c r="AS1245" s="1764"/>
      <c r="AT1245" s="1086"/>
      <c r="AU1245" s="1768"/>
      <c r="AV1245" s="1655"/>
    </row>
    <row r="1246" spans="1:48" ht="16.5" customHeight="1">
      <c r="A1246" s="1640"/>
      <c r="B1246" s="1646"/>
      <c r="C1246" s="1623"/>
      <c r="D1246" s="1625"/>
      <c r="E1246" s="1743"/>
      <c r="F1246" s="1648"/>
      <c r="G1246" s="1625"/>
      <c r="H1246" s="1625"/>
      <c r="I1246" s="1629"/>
      <c r="J1246" s="1630"/>
      <c r="K1246" s="1631"/>
      <c r="L1246" s="1245"/>
      <c r="M1246" s="1320"/>
      <c r="N1246" s="1632" t="s">
        <v>185</v>
      </c>
      <c r="O1246" s="1726" t="s">
        <v>1199</v>
      </c>
      <c r="P1246" s="1634">
        <v>1</v>
      </c>
      <c r="Q1246" s="1632">
        <v>33</v>
      </c>
      <c r="R1246" s="1646"/>
      <c r="S1246" s="1625"/>
      <c r="T1246" s="1634"/>
      <c r="U1246" s="1715"/>
      <c r="V1246" s="1636"/>
      <c r="W1246" s="1772"/>
      <c r="X1246" s="1771"/>
      <c r="Y1246" s="1623"/>
      <c r="Z1246" s="1672"/>
      <c r="AA1246" s="1625"/>
      <c r="AB1246" s="1628"/>
      <c r="AC1246" s="1640"/>
      <c r="AD1246" s="1635"/>
      <c r="AE1246" s="1764"/>
      <c r="AF1246" s="1085"/>
      <c r="AG1246" s="1086"/>
      <c r="AH1246" s="1087"/>
      <c r="AI1246" s="1087"/>
      <c r="AJ1246" s="1768"/>
      <c r="AK1246" s="1089"/>
      <c r="AL1246" s="1090"/>
      <c r="AM1246" s="1086"/>
      <c r="AN1246" s="1086"/>
      <c r="AO1246" s="1087"/>
      <c r="AP1246" s="1764"/>
      <c r="AQ1246" s="1087"/>
      <c r="AR1246" s="1764"/>
      <c r="AS1246" s="1764"/>
      <c r="AT1246" s="1086"/>
      <c r="AU1246" s="1768"/>
      <c r="AV1246" s="1655"/>
    </row>
    <row r="1247" spans="1:48" ht="16.5" customHeight="1">
      <c r="A1247" s="1640"/>
      <c r="B1247" s="1646"/>
      <c r="C1247" s="1623"/>
      <c r="D1247" s="1625"/>
      <c r="E1247" s="1743"/>
      <c r="F1247" s="1648"/>
      <c r="G1247" s="1625"/>
      <c r="H1247" s="1625"/>
      <c r="I1247" s="1629"/>
      <c r="J1247" s="1630"/>
      <c r="K1247" s="1631"/>
      <c r="L1247" s="1245"/>
      <c r="M1247" s="1320"/>
      <c r="N1247" s="1632" t="s">
        <v>336</v>
      </c>
      <c r="O1247" s="1726" t="s">
        <v>17</v>
      </c>
      <c r="P1247" s="1634">
        <v>4</v>
      </c>
      <c r="Q1247" s="1632"/>
      <c r="R1247" s="1646"/>
      <c r="S1247" s="1625"/>
      <c r="T1247" s="1634"/>
      <c r="U1247" s="1715"/>
      <c r="V1247" s="1636"/>
      <c r="W1247" s="1772"/>
      <c r="X1247" s="1771"/>
      <c r="Y1247" s="1623"/>
      <c r="Z1247" s="1672"/>
      <c r="AA1247" s="1625"/>
      <c r="AB1247" s="1628"/>
      <c r="AC1247" s="1640"/>
      <c r="AD1247" s="1635"/>
      <c r="AE1247" s="1764"/>
      <c r="AF1247" s="1085"/>
      <c r="AG1247" s="1086"/>
      <c r="AH1247" s="1087"/>
      <c r="AI1247" s="1087"/>
      <c r="AJ1247" s="1768"/>
      <c r="AK1247" s="1089"/>
      <c r="AL1247" s="1090"/>
      <c r="AM1247" s="1086"/>
      <c r="AN1247" s="1086"/>
      <c r="AO1247" s="1087"/>
      <c r="AP1247" s="1764"/>
      <c r="AQ1247" s="1087"/>
      <c r="AR1247" s="1764"/>
      <c r="AS1247" s="1764"/>
      <c r="AT1247" s="1086"/>
      <c r="AU1247" s="1768"/>
      <c r="AV1247" s="1655"/>
    </row>
    <row r="1248" spans="1:48" ht="16.5" customHeight="1">
      <c r="A1248" s="1640"/>
      <c r="B1248" s="1665"/>
      <c r="C1248" s="1666"/>
      <c r="D1248" s="1625"/>
      <c r="E1248" s="1743"/>
      <c r="F1248" s="1648"/>
      <c r="G1248" s="1625"/>
      <c r="H1248" s="1667"/>
      <c r="I1248" s="1629"/>
      <c r="J1248" s="1630"/>
      <c r="K1248" s="1631"/>
      <c r="L1248" s="1245"/>
      <c r="M1248" s="1320"/>
      <c r="N1248" s="1632" t="s">
        <v>335</v>
      </c>
      <c r="O1248" s="1726" t="s">
        <v>11</v>
      </c>
      <c r="P1248" s="1634">
        <v>3</v>
      </c>
      <c r="Q1248" s="1632"/>
      <c r="R1248" s="1646"/>
      <c r="S1248" s="1625"/>
      <c r="T1248" s="1634"/>
      <c r="U1248" s="1715"/>
      <c r="V1248" s="1636"/>
      <c r="W1248" s="1714"/>
      <c r="X1248" s="1650"/>
      <c r="Y1248" s="1623"/>
      <c r="Z1248" s="1672"/>
      <c r="AA1248" s="1625"/>
      <c r="AB1248" s="1633"/>
      <c r="AC1248" s="1634"/>
      <c r="AD1248" s="1635"/>
      <c r="AE1248" s="1764"/>
      <c r="AF1248" s="1085"/>
      <c r="AG1248" s="1086"/>
      <c r="AH1248" s="1087"/>
      <c r="AI1248" s="1087"/>
      <c r="AJ1248" s="1768"/>
      <c r="AK1248" s="1089"/>
      <c r="AL1248" s="1090"/>
      <c r="AM1248" s="1086"/>
      <c r="AN1248" s="1086"/>
      <c r="AO1248" s="1087"/>
      <c r="AP1248" s="1764"/>
      <c r="AQ1248" s="1087"/>
      <c r="AR1248" s="1764"/>
      <c r="AS1248" s="1764"/>
      <c r="AT1248" s="1086"/>
      <c r="AU1248" s="1768"/>
      <c r="AV1248" s="1655"/>
    </row>
    <row r="1249" spans="1:48" ht="16.5" customHeight="1">
      <c r="A1249" s="1673"/>
      <c r="B1249" s="1674"/>
      <c r="C1249" s="1675"/>
      <c r="D1249" s="1676"/>
      <c r="E1249" s="1677"/>
      <c r="F1249" s="1678"/>
      <c r="G1249" s="1676"/>
      <c r="H1249" s="1679"/>
      <c r="I1249" s="1680"/>
      <c r="J1249" s="1681"/>
      <c r="K1249" s="1682"/>
      <c r="L1249" s="1270"/>
      <c r="M1249" s="1549"/>
      <c r="N1249" s="1683" t="s">
        <v>334</v>
      </c>
      <c r="O1249" s="1728" t="s">
        <v>175</v>
      </c>
      <c r="P1249" s="1685"/>
      <c r="Q1249" s="1683" t="s">
        <v>1986</v>
      </c>
      <c r="R1249" s="1686"/>
      <c r="S1249" s="1676"/>
      <c r="T1249" s="1685"/>
      <c r="U1249" s="1717"/>
      <c r="V1249" s="1718"/>
      <c r="W1249" s="1719"/>
      <c r="X1249" s="1720"/>
      <c r="Y1249" s="1721"/>
      <c r="Z1249" s="1693"/>
      <c r="AA1249" s="1676"/>
      <c r="AB1249" s="1684"/>
      <c r="AC1249" s="1685"/>
      <c r="AD1249" s="1773"/>
      <c r="AE1249" s="1774"/>
      <c r="AF1249" s="1115"/>
      <c r="AG1249" s="1116"/>
      <c r="AH1249" s="1117"/>
      <c r="AI1249" s="1117"/>
      <c r="AJ1249" s="1775"/>
      <c r="AK1249" s="1119"/>
      <c r="AL1249" s="1120"/>
      <c r="AM1249" s="1116"/>
      <c r="AN1249" s="1116"/>
      <c r="AO1249" s="1117"/>
      <c r="AP1249" s="1774"/>
      <c r="AQ1249" s="1117"/>
      <c r="AR1249" s="1774"/>
      <c r="AS1249" s="1774"/>
      <c r="AT1249" s="1116"/>
      <c r="AU1249" s="1775"/>
      <c r="AV1249" s="1697"/>
    </row>
    <row r="1250" spans="1:48" ht="16.5" customHeight="1">
      <c r="A1250" s="1698">
        <v>96</v>
      </c>
      <c r="B1250" s="1699" t="s">
        <v>25</v>
      </c>
      <c r="C1250" s="1700" t="s">
        <v>1297</v>
      </c>
      <c r="D1250" s="1701"/>
      <c r="E1250" s="1702"/>
      <c r="F1250" s="1730" t="s">
        <v>1323</v>
      </c>
      <c r="G1250" s="1704" t="s">
        <v>25</v>
      </c>
      <c r="H1250" s="1705" t="s">
        <v>42</v>
      </c>
      <c r="I1250" s="1706">
        <v>207</v>
      </c>
      <c r="J1250" s="1630" t="s">
        <v>41</v>
      </c>
      <c r="K1250" s="1722" t="s">
        <v>1322</v>
      </c>
      <c r="L1250" s="1245"/>
      <c r="M1250" s="1320"/>
      <c r="N1250" s="1776" t="s">
        <v>25</v>
      </c>
      <c r="O1250" s="1777" t="s">
        <v>26</v>
      </c>
      <c r="P1250" s="1709">
        <v>1</v>
      </c>
      <c r="Q1250" s="1778">
        <v>126</v>
      </c>
      <c r="R1250" s="1699" t="s">
        <v>25</v>
      </c>
      <c r="S1250" s="1702" t="s">
        <v>24</v>
      </c>
      <c r="T1250" s="1709">
        <v>1</v>
      </c>
      <c r="U1250" s="1710">
        <v>1</v>
      </c>
      <c r="V1250" s="1779" t="s">
        <v>58</v>
      </c>
      <c r="W1250" s="1637">
        <v>4</v>
      </c>
      <c r="X1250" s="1637"/>
      <c r="Y1250" s="1638"/>
      <c r="Z1250" s="1639">
        <f>SUM(W1250:Y1250)</f>
        <v>4</v>
      </c>
      <c r="AA1250" s="1701"/>
      <c r="AB1250" s="1705"/>
      <c r="AC1250" s="1641"/>
      <c r="AD1250" s="1641"/>
      <c r="AE1250" s="1641"/>
      <c r="AF1250" s="1056">
        <f>Resum!F1</f>
        <v>356000</v>
      </c>
      <c r="AG1250" s="1086">
        <f>AF1250*I1250</f>
        <v>73692000</v>
      </c>
      <c r="AH1250" s="1642">
        <v>2530000</v>
      </c>
      <c r="AI1250" s="1089">
        <f>AH1250*Q1250*0.85</f>
        <v>270963000</v>
      </c>
      <c r="AJ1250" s="1724">
        <f>SUM(AI1250:AI1256)</f>
        <v>292328000</v>
      </c>
      <c r="AK1250" s="1300">
        <v>225000</v>
      </c>
      <c r="AL1250" s="1090">
        <f t="shared" si="108"/>
        <v>900000</v>
      </c>
      <c r="AM1250" s="1644">
        <f>SUM(AL1250:AL1256)</f>
        <v>2643000</v>
      </c>
      <c r="AN1250" s="1086">
        <f>AM1250+AJ1250+AG1250</f>
        <v>368663000</v>
      </c>
      <c r="AO1250" s="1642"/>
      <c r="AP1250" s="1136">
        <f>(AG1250+AI1250)*15%</f>
        <v>51698250</v>
      </c>
      <c r="AQ1250" s="1087">
        <f>(AG1250+AI1250)*1%</f>
        <v>3446550</v>
      </c>
      <c r="AR1250" s="1136">
        <f>(AG1250+AI1250)*5%</f>
        <v>17232750</v>
      </c>
      <c r="AS1250" s="1087">
        <f>0.5%*(AG1250+AI1250)*(3)</f>
        <v>5169825</v>
      </c>
      <c r="AT1250" s="1086">
        <f>+AS1250+AR1250+AQ1250+AP1250+AO1250</f>
        <v>77547375</v>
      </c>
      <c r="AU1250" s="1137">
        <f>ROUND(AT1250+AN1250,-3)</f>
        <v>446210000</v>
      </c>
      <c r="AV1250" s="1645"/>
    </row>
    <row r="1251" spans="1:48" ht="16.5" customHeight="1">
      <c r="A1251" s="1640"/>
      <c r="B1251" s="1646" t="s">
        <v>16</v>
      </c>
      <c r="C1251" s="1647" t="s">
        <v>1294</v>
      </c>
      <c r="D1251" s="1625"/>
      <c r="E1251" s="1633"/>
      <c r="F1251" s="1648"/>
      <c r="G1251" s="1625" t="s">
        <v>16</v>
      </c>
      <c r="H1251" s="1625" t="s">
        <v>22</v>
      </c>
      <c r="I1251" s="1629"/>
      <c r="J1251" s="1630"/>
      <c r="K1251" s="1631"/>
      <c r="L1251" s="1245"/>
      <c r="M1251" s="1320"/>
      <c r="N1251" s="1776" t="s">
        <v>16</v>
      </c>
      <c r="O1251" s="1737" t="s">
        <v>21</v>
      </c>
      <c r="P1251" s="1634">
        <v>1</v>
      </c>
      <c r="Q1251" s="1778">
        <v>12</v>
      </c>
      <c r="R1251" s="1646"/>
      <c r="S1251" s="1625"/>
      <c r="T1251" s="1634"/>
      <c r="U1251" s="1635"/>
      <c r="V1251" s="1636"/>
      <c r="W1251" s="1714"/>
      <c r="X1251" s="1650"/>
      <c r="Y1251" s="1623"/>
      <c r="Z1251" s="1672"/>
      <c r="AA1251" s="1625"/>
      <c r="AB1251" s="1628"/>
      <c r="AC1251" s="1640"/>
      <c r="AD1251" s="1640"/>
      <c r="AE1251" s="1640"/>
      <c r="AF1251" s="1085"/>
      <c r="AG1251" s="1652"/>
      <c r="AH1251" s="1653">
        <v>350000</v>
      </c>
      <c r="AI1251" s="1089">
        <f>AH1251*Q1251*0.8</f>
        <v>3360000</v>
      </c>
      <c r="AJ1251" s="1654"/>
      <c r="AK1251" s="1529"/>
      <c r="AL1251" s="1090">
        <f t="shared" si="108"/>
        <v>0</v>
      </c>
      <c r="AM1251" s="1652"/>
      <c r="AN1251" s="1652"/>
      <c r="AO1251" s="1653"/>
      <c r="AP1251" s="1640"/>
      <c r="AQ1251" s="1653"/>
      <c r="AR1251" s="1640"/>
      <c r="AS1251" s="1640"/>
      <c r="AT1251" s="1652"/>
      <c r="AU1251" s="1654"/>
      <c r="AV1251" s="1655"/>
    </row>
    <row r="1252" spans="1:48" ht="16.5" customHeight="1">
      <c r="A1252" s="1640"/>
      <c r="B1252" s="1646" t="s">
        <v>18</v>
      </c>
      <c r="C1252" s="1623" t="s">
        <v>60</v>
      </c>
      <c r="D1252" s="1625"/>
      <c r="E1252" s="1625"/>
      <c r="F1252" s="1648"/>
      <c r="G1252" s="1625" t="s">
        <v>18</v>
      </c>
      <c r="H1252" s="1625" t="s">
        <v>19</v>
      </c>
      <c r="I1252" s="1629"/>
      <c r="J1252" s="1630"/>
      <c r="K1252" s="1631"/>
      <c r="L1252" s="1245"/>
      <c r="M1252" s="1320"/>
      <c r="N1252" s="1776" t="s">
        <v>18</v>
      </c>
      <c r="O1252" s="1737" t="s">
        <v>1097</v>
      </c>
      <c r="P1252" s="1634">
        <v>1</v>
      </c>
      <c r="Q1252" s="1778">
        <v>3</v>
      </c>
      <c r="R1252" s="1646" t="s">
        <v>16</v>
      </c>
      <c r="S1252" s="1625" t="s">
        <v>15</v>
      </c>
      <c r="T1252" s="1634">
        <v>1</v>
      </c>
      <c r="U1252" s="1715">
        <v>1</v>
      </c>
      <c r="V1252" s="1750" t="s">
        <v>14</v>
      </c>
      <c r="W1252" s="1656">
        <v>3</v>
      </c>
      <c r="X1252" s="1656"/>
      <c r="Y1252" s="1657"/>
      <c r="Z1252" s="1672">
        <f>SUM(W1252:Y1252)</f>
        <v>3</v>
      </c>
      <c r="AA1252" s="1625"/>
      <c r="AB1252" s="1628"/>
      <c r="AC1252" s="1640"/>
      <c r="AD1252" s="1640"/>
      <c r="AE1252" s="1640"/>
      <c r="AF1252" s="1085"/>
      <c r="AG1252" s="1652"/>
      <c r="AH1252" s="1653">
        <v>500000</v>
      </c>
      <c r="AI1252" s="1089">
        <f>AH1252*Q1252*0.8</f>
        <v>1200000</v>
      </c>
      <c r="AJ1252" s="1654"/>
      <c r="AK1252" s="1089">
        <v>350000</v>
      </c>
      <c r="AL1252" s="1087">
        <f t="shared" si="108"/>
        <v>1050000</v>
      </c>
      <c r="AM1252" s="1652"/>
      <c r="AN1252" s="1652"/>
      <c r="AO1252" s="1653"/>
      <c r="AP1252" s="1640"/>
      <c r="AQ1252" s="1653"/>
      <c r="AR1252" s="1640"/>
      <c r="AS1252" s="1640"/>
      <c r="AT1252" s="1652"/>
      <c r="AU1252" s="1654"/>
      <c r="AV1252" s="1655"/>
    </row>
    <row r="1253" spans="1:48" ht="49.5" customHeight="1">
      <c r="A1253" s="1640"/>
      <c r="B1253" s="1658" t="s">
        <v>12</v>
      </c>
      <c r="C1253" s="1659" t="s">
        <v>1141</v>
      </c>
      <c r="D1253" s="1625"/>
      <c r="E1253" s="1628"/>
      <c r="F1253" s="1648"/>
      <c r="G1253" s="1625"/>
      <c r="H1253" s="1667"/>
      <c r="I1253" s="1629"/>
      <c r="J1253" s="1630"/>
      <c r="K1253" s="1631"/>
      <c r="L1253" s="1245"/>
      <c r="M1253" s="1320"/>
      <c r="N1253" s="1776" t="s">
        <v>12</v>
      </c>
      <c r="O1253" s="1737" t="s">
        <v>17</v>
      </c>
      <c r="P1253" s="1634">
        <v>1</v>
      </c>
      <c r="Q1253" s="1776"/>
      <c r="R1253" s="1646"/>
      <c r="S1253" s="1625"/>
      <c r="T1253" s="1765"/>
      <c r="U1253" s="1715"/>
      <c r="V1253" s="1750" t="s">
        <v>14</v>
      </c>
      <c r="W1253" s="1656"/>
      <c r="X1253" s="1656">
        <v>3</v>
      </c>
      <c r="Y1253" s="1657"/>
      <c r="Z1253" s="1672"/>
      <c r="AA1253" s="1625"/>
      <c r="AB1253" s="1628"/>
      <c r="AC1253" s="1640"/>
      <c r="AD1253" s="1640"/>
      <c r="AE1253" s="1640"/>
      <c r="AF1253" s="1085"/>
      <c r="AG1253" s="1652"/>
      <c r="AH1253" s="1653">
        <v>2500000</v>
      </c>
      <c r="AI1253" s="1089">
        <f>AH1253*P1253*0.5</f>
        <v>1250000</v>
      </c>
      <c r="AJ1253" s="1654"/>
      <c r="AK1253" s="1089">
        <v>231000</v>
      </c>
      <c r="AL1253" s="1087">
        <f>AK1253*X1253</f>
        <v>693000</v>
      </c>
      <c r="AM1253" s="1652"/>
      <c r="AN1253" s="1652"/>
      <c r="AO1253" s="1653"/>
      <c r="AP1253" s="1640"/>
      <c r="AQ1253" s="1653"/>
      <c r="AR1253" s="1640"/>
      <c r="AS1253" s="1640"/>
      <c r="AT1253" s="1652"/>
      <c r="AU1253" s="1654"/>
      <c r="AV1253" s="1655"/>
    </row>
    <row r="1254" spans="1:48" ht="16.5" customHeight="1">
      <c r="A1254" s="1640"/>
      <c r="B1254" s="1658" t="s">
        <v>8</v>
      </c>
      <c r="C1254" s="1780" t="s">
        <v>1292</v>
      </c>
      <c r="D1254" s="1625"/>
      <c r="E1254" s="1628"/>
      <c r="F1254" s="1648"/>
      <c r="G1254" s="1625"/>
      <c r="H1254" s="1667"/>
      <c r="I1254" s="1629"/>
      <c r="J1254" s="1630"/>
      <c r="K1254" s="1631"/>
      <c r="L1254" s="1245"/>
      <c r="M1254" s="1320"/>
      <c r="N1254" s="1776" t="s">
        <v>8</v>
      </c>
      <c r="O1254" s="1737" t="s">
        <v>11</v>
      </c>
      <c r="P1254" s="1634">
        <v>1</v>
      </c>
      <c r="Q1254" s="1776"/>
      <c r="R1254" s="1646"/>
      <c r="S1254" s="1625"/>
      <c r="T1254" s="1765"/>
      <c r="U1254" s="1715"/>
      <c r="V1254" s="1750"/>
      <c r="W1254" s="1656"/>
      <c r="X1254" s="1656"/>
      <c r="Y1254" s="1657"/>
      <c r="Z1254" s="1672"/>
      <c r="AA1254" s="1625"/>
      <c r="AB1254" s="1628"/>
      <c r="AC1254" s="1640"/>
      <c r="AD1254" s="1640"/>
      <c r="AE1254" s="1640"/>
      <c r="AF1254" s="1085"/>
      <c r="AG1254" s="1652"/>
      <c r="AH1254" s="1653">
        <v>2500000</v>
      </c>
      <c r="AI1254" s="1089">
        <f>AH1254*P1254*0.75</f>
        <v>1875000</v>
      </c>
      <c r="AJ1254" s="1654"/>
      <c r="AK1254" s="1529"/>
      <c r="AL1254" s="1090"/>
      <c r="AM1254" s="1652"/>
      <c r="AN1254" s="1652"/>
      <c r="AO1254" s="1653"/>
      <c r="AP1254" s="1640"/>
      <c r="AQ1254" s="1653"/>
      <c r="AR1254" s="1640"/>
      <c r="AS1254" s="1640"/>
      <c r="AT1254" s="1652"/>
      <c r="AU1254" s="1654"/>
      <c r="AV1254" s="1655"/>
    </row>
    <row r="1255" spans="1:48" ht="16.5" customHeight="1">
      <c r="A1255" s="1640"/>
      <c r="B1255" s="1658"/>
      <c r="C1255" s="1659"/>
      <c r="D1255" s="1625"/>
      <c r="E1255" s="1628"/>
      <c r="F1255" s="1648"/>
      <c r="G1255" s="1625"/>
      <c r="H1255" s="1667"/>
      <c r="I1255" s="1629"/>
      <c r="J1255" s="1630"/>
      <c r="K1255" s="1631"/>
      <c r="L1255" s="1245"/>
      <c r="M1255" s="1320"/>
      <c r="N1255" s="1776" t="s">
        <v>54</v>
      </c>
      <c r="O1255" s="1737" t="s">
        <v>175</v>
      </c>
      <c r="P1255" s="1634"/>
      <c r="Q1255" s="1776">
        <v>57</v>
      </c>
      <c r="R1255" s="1646"/>
      <c r="S1255" s="1625"/>
      <c r="T1255" s="1765"/>
      <c r="U1255" s="1715"/>
      <c r="V1255" s="1750"/>
      <c r="W1255" s="1656"/>
      <c r="X1255" s="1656"/>
      <c r="Y1255" s="1657"/>
      <c r="Z1255" s="1672"/>
      <c r="AA1255" s="1625"/>
      <c r="AB1255" s="1628"/>
      <c r="AC1255" s="1640"/>
      <c r="AD1255" s="1640"/>
      <c r="AE1255" s="1640"/>
      <c r="AF1255" s="1085"/>
      <c r="AG1255" s="1652"/>
      <c r="AH1255" s="1653">
        <v>300000</v>
      </c>
      <c r="AI1255" s="1089">
        <f>AH1255*Q1255*0.8</f>
        <v>13680000</v>
      </c>
      <c r="AJ1255" s="1654"/>
      <c r="AK1255" s="1529"/>
      <c r="AL1255" s="1090"/>
      <c r="AM1255" s="1652"/>
      <c r="AN1255" s="1652"/>
      <c r="AO1255" s="1653"/>
      <c r="AP1255" s="1640"/>
      <c r="AQ1255" s="1653"/>
      <c r="AR1255" s="1640"/>
      <c r="AS1255" s="1640"/>
      <c r="AT1255" s="1652"/>
      <c r="AU1255" s="1654"/>
      <c r="AV1255" s="1655"/>
    </row>
    <row r="1256" spans="1:48" ht="16.5" customHeight="1">
      <c r="A1256" s="1673"/>
      <c r="B1256" s="1674"/>
      <c r="C1256" s="1675"/>
      <c r="D1256" s="1676"/>
      <c r="E1256" s="1728"/>
      <c r="F1256" s="1678"/>
      <c r="G1256" s="1676"/>
      <c r="H1256" s="1679"/>
      <c r="I1256" s="1680"/>
      <c r="J1256" s="1681"/>
      <c r="K1256" s="1682"/>
      <c r="L1256" s="1245"/>
      <c r="M1256" s="1320"/>
      <c r="N1256" s="1683"/>
      <c r="O1256" s="1781"/>
      <c r="P1256" s="1685"/>
      <c r="Q1256" s="1776"/>
      <c r="R1256" s="1686"/>
      <c r="S1256" s="1676"/>
      <c r="T1256" s="1782"/>
      <c r="U1256" s="1717"/>
      <c r="V1256" s="1757"/>
      <c r="W1256" s="1758"/>
      <c r="X1256" s="1758"/>
      <c r="Y1256" s="1759"/>
      <c r="Z1256" s="1693"/>
      <c r="AA1256" s="1676"/>
      <c r="AB1256" s="1727"/>
      <c r="AC1256" s="1673"/>
      <c r="AD1256" s="1673"/>
      <c r="AE1256" s="1673"/>
      <c r="AF1256" s="1115"/>
      <c r="AG1256" s="1694"/>
      <c r="AH1256" s="1695"/>
      <c r="AI1256" s="1695"/>
      <c r="AJ1256" s="1696"/>
      <c r="AK1256" s="1604"/>
      <c r="AL1256" s="1120"/>
      <c r="AM1256" s="1694"/>
      <c r="AN1256" s="1694"/>
      <c r="AO1256" s="1695"/>
      <c r="AP1256" s="1673"/>
      <c r="AQ1256" s="1695"/>
      <c r="AR1256" s="1673"/>
      <c r="AS1256" s="1673"/>
      <c r="AT1256" s="1694"/>
      <c r="AU1256" s="1696"/>
      <c r="AV1256" s="1697"/>
    </row>
    <row r="1257" spans="1:48" ht="16.5" customHeight="1">
      <c r="A1257" s="1698">
        <v>97</v>
      </c>
      <c r="B1257" s="1699" t="s">
        <v>25</v>
      </c>
      <c r="C1257" s="1700" t="s">
        <v>1321</v>
      </c>
      <c r="D1257" s="1701"/>
      <c r="E1257" s="1702"/>
      <c r="F1257" s="1730" t="s">
        <v>1320</v>
      </c>
      <c r="G1257" s="1704" t="s">
        <v>25</v>
      </c>
      <c r="H1257" s="1705" t="s">
        <v>42</v>
      </c>
      <c r="I1257" s="1706">
        <v>619</v>
      </c>
      <c r="J1257" s="1783" t="s">
        <v>28</v>
      </c>
      <c r="K1257" s="1722" t="s">
        <v>1319</v>
      </c>
      <c r="L1257" s="1373"/>
      <c r="M1257" s="1317"/>
      <c r="N1257" s="1776" t="s">
        <v>25</v>
      </c>
      <c r="O1257" s="1723" t="s">
        <v>26</v>
      </c>
      <c r="P1257" s="1709">
        <v>1</v>
      </c>
      <c r="Q1257" s="1707">
        <v>476.2</v>
      </c>
      <c r="R1257" s="1699" t="s">
        <v>25</v>
      </c>
      <c r="S1257" s="1702" t="s">
        <v>24</v>
      </c>
      <c r="T1257" s="1784"/>
      <c r="U1257" s="1710"/>
      <c r="V1257" s="1779"/>
      <c r="W1257" s="1637"/>
      <c r="X1257" s="1637"/>
      <c r="Y1257" s="1638"/>
      <c r="Z1257" s="1672"/>
      <c r="AA1257" s="1701"/>
      <c r="AB1257" s="1705"/>
      <c r="AC1257" s="1641"/>
      <c r="AD1257" s="1641"/>
      <c r="AE1257" s="1641"/>
      <c r="AF1257" s="1056">
        <f>Resum!F1</f>
        <v>356000</v>
      </c>
      <c r="AG1257" s="1086">
        <f>AF1257*I1257</f>
        <v>220364000</v>
      </c>
      <c r="AH1257" s="1642"/>
      <c r="AI1257" s="1642"/>
      <c r="AJ1257" s="1643"/>
      <c r="AK1257" s="1725"/>
      <c r="AL1257" s="1090"/>
      <c r="AM1257" s="1644">
        <f>SUM(AL1259:AL1261)</f>
        <v>1362000</v>
      </c>
      <c r="AN1257" s="1086">
        <f>AM1257+AJ1257+AG1257</f>
        <v>221726000</v>
      </c>
      <c r="AO1257" s="1642"/>
      <c r="AP1257" s="1136">
        <f>AI1258*15%</f>
        <v>0</v>
      </c>
      <c r="AQ1257" s="1087">
        <v>0</v>
      </c>
      <c r="AR1257" s="1136">
        <f>(AG1257+AI1257)*5%</f>
        <v>11018200</v>
      </c>
      <c r="AS1257" s="1087">
        <f>0.5%*(AG1257+AI1257)*(3)</f>
        <v>3305460</v>
      </c>
      <c r="AT1257" s="1086">
        <f>+AS1257+AR1257+AQ1257+AP1257+AO1257</f>
        <v>14323660</v>
      </c>
      <c r="AU1257" s="1137">
        <f>ROUND(AT1257+AN1257,-3)</f>
        <v>236050000</v>
      </c>
      <c r="AV1257" s="1645"/>
    </row>
    <row r="1258" spans="1:48" ht="33" customHeight="1">
      <c r="A1258" s="1640"/>
      <c r="B1258" s="1646" t="s">
        <v>16</v>
      </c>
      <c r="C1258" s="1647" t="s">
        <v>405</v>
      </c>
      <c r="D1258" s="1625"/>
      <c r="E1258" s="1633"/>
      <c r="F1258" s="1648"/>
      <c r="G1258" s="1625" t="s">
        <v>16</v>
      </c>
      <c r="H1258" s="1625" t="s">
        <v>22</v>
      </c>
      <c r="I1258" s="1629"/>
      <c r="J1258" s="1630"/>
      <c r="K1258" s="1631"/>
      <c r="L1258" s="1245"/>
      <c r="M1258" s="1320"/>
      <c r="N1258" s="1776" t="s">
        <v>16</v>
      </c>
      <c r="O1258" s="1726" t="s">
        <v>1318</v>
      </c>
      <c r="P1258" s="1634">
        <v>1</v>
      </c>
      <c r="Q1258" s="1632">
        <v>62.7</v>
      </c>
      <c r="R1258" s="1646"/>
      <c r="S1258" s="1625"/>
      <c r="T1258" s="1634"/>
      <c r="U1258" s="1635"/>
      <c r="V1258" s="1750"/>
      <c r="W1258" s="1656"/>
      <c r="X1258" s="1656"/>
      <c r="Y1258" s="1657"/>
      <c r="Z1258" s="1672"/>
      <c r="AA1258" s="1625"/>
      <c r="AB1258" s="1628"/>
      <c r="AC1258" s="1640"/>
      <c r="AD1258" s="1640"/>
      <c r="AE1258" s="1640"/>
      <c r="AF1258" s="1085"/>
      <c r="AG1258" s="1652"/>
      <c r="AH1258" s="1653"/>
      <c r="AI1258" s="1653"/>
      <c r="AJ1258" s="1654"/>
      <c r="AK1258" s="1529"/>
      <c r="AL1258" s="1090"/>
      <c r="AM1258" s="1652"/>
      <c r="AN1258" s="1652"/>
      <c r="AO1258" s="1653"/>
      <c r="AP1258" s="1640"/>
      <c r="AQ1258" s="1653"/>
      <c r="AR1258" s="1640"/>
      <c r="AS1258" s="1640"/>
      <c r="AT1258" s="1652"/>
      <c r="AU1258" s="1654"/>
      <c r="AV1258" s="1655"/>
    </row>
    <row r="1259" spans="1:48" ht="16.5" customHeight="1">
      <c r="A1259" s="1640"/>
      <c r="B1259" s="1646" t="s">
        <v>18</v>
      </c>
      <c r="C1259" s="1623" t="s">
        <v>404</v>
      </c>
      <c r="D1259" s="1625"/>
      <c r="E1259" s="1625"/>
      <c r="F1259" s="1648"/>
      <c r="G1259" s="1625" t="s">
        <v>18</v>
      </c>
      <c r="H1259" s="1625" t="s">
        <v>19</v>
      </c>
      <c r="I1259" s="1629"/>
      <c r="J1259" s="1630"/>
      <c r="K1259" s="1631"/>
      <c r="L1259" s="1245"/>
      <c r="M1259" s="1320"/>
      <c r="N1259" s="1776" t="s">
        <v>18</v>
      </c>
      <c r="O1259" s="1726" t="s">
        <v>395</v>
      </c>
      <c r="P1259" s="1634">
        <v>1</v>
      </c>
      <c r="Q1259" s="1634">
        <v>44.25</v>
      </c>
      <c r="R1259" s="1738" t="s">
        <v>16</v>
      </c>
      <c r="S1259" s="1738" t="s">
        <v>15</v>
      </c>
      <c r="T1259" s="1765">
        <v>3</v>
      </c>
      <c r="U1259" s="1715">
        <v>1</v>
      </c>
      <c r="V1259" s="1762" t="s">
        <v>14</v>
      </c>
      <c r="W1259" s="1714"/>
      <c r="X1259" s="1650">
        <v>2</v>
      </c>
      <c r="Y1259" s="1623"/>
      <c r="Z1259" s="1672">
        <f>SUM(W1259:Y1259)</f>
        <v>2</v>
      </c>
      <c r="AA1259" s="1625"/>
      <c r="AB1259" s="1628"/>
      <c r="AC1259" s="1640"/>
      <c r="AD1259" s="1640"/>
      <c r="AE1259" s="1640"/>
      <c r="AF1259" s="1085"/>
      <c r="AG1259" s="1652"/>
      <c r="AH1259" s="1653"/>
      <c r="AI1259" s="1653"/>
      <c r="AJ1259" s="1654"/>
      <c r="AK1259" s="1089">
        <v>231000</v>
      </c>
      <c r="AL1259" s="1087">
        <f>AK1259*X1259</f>
        <v>462000</v>
      </c>
      <c r="AM1259" s="1652"/>
      <c r="AN1259" s="1652"/>
      <c r="AO1259" s="1653"/>
      <c r="AP1259" s="1640"/>
      <c r="AQ1259" s="1653"/>
      <c r="AR1259" s="1640"/>
      <c r="AS1259" s="1640"/>
      <c r="AT1259" s="1652"/>
      <c r="AU1259" s="1654"/>
      <c r="AV1259" s="1655"/>
    </row>
    <row r="1260" spans="1:48" ht="49.5" customHeight="1">
      <c r="A1260" s="1640"/>
      <c r="B1260" s="1658" t="s">
        <v>12</v>
      </c>
      <c r="C1260" s="1659" t="s">
        <v>1317</v>
      </c>
      <c r="D1260" s="1625"/>
      <c r="E1260" s="1625"/>
      <c r="F1260" s="1648"/>
      <c r="G1260" s="1625"/>
      <c r="H1260" s="1625"/>
      <c r="I1260" s="1629"/>
      <c r="J1260" s="1630"/>
      <c r="K1260" s="1631"/>
      <c r="L1260" s="1245"/>
      <c r="M1260" s="1320"/>
      <c r="N1260" s="1776" t="s">
        <v>12</v>
      </c>
      <c r="O1260" s="1726" t="s">
        <v>733</v>
      </c>
      <c r="P1260" s="1634">
        <v>1</v>
      </c>
      <c r="Q1260" s="1634"/>
      <c r="R1260" s="1738"/>
      <c r="S1260" s="1738"/>
      <c r="T1260" s="1765"/>
      <c r="U1260" s="1715">
        <v>2</v>
      </c>
      <c r="V1260" s="1762" t="s">
        <v>142</v>
      </c>
      <c r="W1260" s="1714">
        <v>3</v>
      </c>
      <c r="X1260" s="1650"/>
      <c r="Y1260" s="1623"/>
      <c r="Z1260" s="1672">
        <f>SUM(W1260:Y1260)</f>
        <v>3</v>
      </c>
      <c r="AA1260" s="1625"/>
      <c r="AB1260" s="1628"/>
      <c r="AC1260" s="1640"/>
      <c r="AD1260" s="1640"/>
      <c r="AE1260" s="1640"/>
      <c r="AF1260" s="1085"/>
      <c r="AG1260" s="1652"/>
      <c r="AH1260" s="1653"/>
      <c r="AI1260" s="1653"/>
      <c r="AJ1260" s="1654"/>
      <c r="AK1260" s="1529">
        <v>250000</v>
      </c>
      <c r="AL1260" s="1090">
        <f t="shared" si="108"/>
        <v>750000</v>
      </c>
      <c r="AM1260" s="1652"/>
      <c r="AN1260" s="1652"/>
      <c r="AO1260" s="1653"/>
      <c r="AP1260" s="1640"/>
      <c r="AQ1260" s="1653"/>
      <c r="AR1260" s="1640"/>
      <c r="AS1260" s="1640"/>
      <c r="AT1260" s="1652"/>
      <c r="AU1260" s="1654"/>
      <c r="AV1260" s="1655"/>
    </row>
    <row r="1261" spans="1:48" ht="16.5" customHeight="1">
      <c r="A1261" s="1640"/>
      <c r="B1261" s="1646" t="s">
        <v>8</v>
      </c>
      <c r="C1261" s="1716" t="s">
        <v>402</v>
      </c>
      <c r="D1261" s="1625"/>
      <c r="E1261" s="1625"/>
      <c r="F1261" s="1648"/>
      <c r="G1261" s="1625"/>
      <c r="H1261" s="1625"/>
      <c r="I1261" s="1629"/>
      <c r="J1261" s="1630"/>
      <c r="K1261" s="1631"/>
      <c r="L1261" s="1245"/>
      <c r="M1261" s="1320"/>
      <c r="N1261" s="1776" t="s">
        <v>8</v>
      </c>
      <c r="O1261" s="1726" t="s">
        <v>11</v>
      </c>
      <c r="P1261" s="1634">
        <v>1</v>
      </c>
      <c r="Q1261" s="1634"/>
      <c r="R1261" s="1738"/>
      <c r="S1261" s="1738"/>
      <c r="T1261" s="1765"/>
      <c r="U1261" s="1715">
        <v>3</v>
      </c>
      <c r="V1261" s="1762" t="s">
        <v>10</v>
      </c>
      <c r="W1261" s="1714">
        <v>3</v>
      </c>
      <c r="X1261" s="1650"/>
      <c r="Y1261" s="1623"/>
      <c r="Z1261" s="1672">
        <f>SUM(W1261:Y1261)</f>
        <v>3</v>
      </c>
      <c r="AA1261" s="1625"/>
      <c r="AB1261" s="1628"/>
      <c r="AC1261" s="1640"/>
      <c r="AD1261" s="1640"/>
      <c r="AE1261" s="1640"/>
      <c r="AF1261" s="1085"/>
      <c r="AG1261" s="1652"/>
      <c r="AH1261" s="1653"/>
      <c r="AI1261" s="1653"/>
      <c r="AJ1261" s="1654"/>
      <c r="AK1261" s="1529">
        <v>50000</v>
      </c>
      <c r="AL1261" s="1090">
        <f t="shared" si="108"/>
        <v>150000</v>
      </c>
      <c r="AM1261" s="1652"/>
      <c r="AN1261" s="1652"/>
      <c r="AO1261" s="1653"/>
      <c r="AP1261" s="1640"/>
      <c r="AQ1261" s="1653"/>
      <c r="AR1261" s="1640"/>
      <c r="AS1261" s="1640"/>
      <c r="AT1261" s="1652"/>
      <c r="AU1261" s="1654"/>
      <c r="AV1261" s="1655"/>
    </row>
    <row r="1262" spans="1:48" ht="16.5" customHeight="1">
      <c r="A1262" s="1640"/>
      <c r="B1262" s="1646"/>
      <c r="C1262" s="1716"/>
      <c r="D1262" s="1625"/>
      <c r="E1262" s="1625"/>
      <c r="F1262" s="1648"/>
      <c r="G1262" s="1625"/>
      <c r="H1262" s="1625"/>
      <c r="I1262" s="1629"/>
      <c r="J1262" s="1630"/>
      <c r="K1262" s="1631"/>
      <c r="L1262" s="1245"/>
      <c r="M1262" s="1320"/>
      <c r="N1262" s="1776" t="s">
        <v>54</v>
      </c>
      <c r="O1262" s="1726" t="s">
        <v>447</v>
      </c>
      <c r="P1262" s="1634"/>
      <c r="Q1262" s="1634">
        <v>18.5</v>
      </c>
      <c r="R1262" s="1738"/>
      <c r="S1262" s="1738"/>
      <c r="T1262" s="1765"/>
      <c r="U1262" s="1715"/>
      <c r="V1262" s="1762"/>
      <c r="W1262" s="1714"/>
      <c r="X1262" s="1650"/>
      <c r="Y1262" s="1623"/>
      <c r="Z1262" s="1672"/>
      <c r="AA1262" s="1625"/>
      <c r="AB1262" s="1628"/>
      <c r="AC1262" s="1640"/>
      <c r="AD1262" s="1640"/>
      <c r="AE1262" s="1640"/>
      <c r="AF1262" s="1085"/>
      <c r="AG1262" s="1652"/>
      <c r="AH1262" s="1653"/>
      <c r="AI1262" s="1653"/>
      <c r="AJ1262" s="1654"/>
      <c r="AK1262" s="1529"/>
      <c r="AL1262" s="1090"/>
      <c r="AM1262" s="1652"/>
      <c r="AN1262" s="1652"/>
      <c r="AO1262" s="1653"/>
      <c r="AP1262" s="1640"/>
      <c r="AQ1262" s="1653"/>
      <c r="AR1262" s="1640"/>
      <c r="AS1262" s="1640"/>
      <c r="AT1262" s="1652"/>
      <c r="AU1262" s="1654"/>
      <c r="AV1262" s="1655"/>
    </row>
    <row r="1263" spans="1:48" ht="33" customHeight="1">
      <c r="A1263" s="1640"/>
      <c r="B1263" s="1646"/>
      <c r="C1263" s="1716"/>
      <c r="D1263" s="1625"/>
      <c r="E1263" s="1625"/>
      <c r="F1263" s="1648"/>
      <c r="G1263" s="1625"/>
      <c r="H1263" s="1625"/>
      <c r="I1263" s="1629"/>
      <c r="J1263" s="1630"/>
      <c r="K1263" s="1631"/>
      <c r="L1263" s="1245"/>
      <c r="M1263" s="1320"/>
      <c r="N1263" s="1776" t="s">
        <v>53</v>
      </c>
      <c r="O1263" s="1726" t="s">
        <v>1137</v>
      </c>
      <c r="P1263" s="1634">
        <v>1</v>
      </c>
      <c r="Q1263" s="1634">
        <v>8</v>
      </c>
      <c r="R1263" s="1738"/>
      <c r="S1263" s="1738"/>
      <c r="T1263" s="1765"/>
      <c r="U1263" s="1715"/>
      <c r="V1263" s="1762"/>
      <c r="W1263" s="1714"/>
      <c r="X1263" s="1650"/>
      <c r="Y1263" s="1623"/>
      <c r="Z1263" s="1672"/>
      <c r="AA1263" s="1625"/>
      <c r="AB1263" s="1628"/>
      <c r="AC1263" s="1640"/>
      <c r="AD1263" s="1640"/>
      <c r="AE1263" s="1640"/>
      <c r="AF1263" s="1085"/>
      <c r="AG1263" s="1652"/>
      <c r="AH1263" s="1653"/>
      <c r="AI1263" s="1653"/>
      <c r="AJ1263" s="1654"/>
      <c r="AK1263" s="1529"/>
      <c r="AL1263" s="1090"/>
      <c r="AM1263" s="1652"/>
      <c r="AN1263" s="1652"/>
      <c r="AO1263" s="1653"/>
      <c r="AP1263" s="1640"/>
      <c r="AQ1263" s="1653"/>
      <c r="AR1263" s="1640"/>
      <c r="AS1263" s="1640"/>
      <c r="AT1263" s="1652"/>
      <c r="AU1263" s="1654"/>
      <c r="AV1263" s="1655"/>
    </row>
    <row r="1264" spans="1:48" ht="16.5" customHeight="1">
      <c r="A1264" s="1640"/>
      <c r="B1264" s="1646"/>
      <c r="C1264" s="1716"/>
      <c r="D1264" s="1625"/>
      <c r="E1264" s="1625"/>
      <c r="F1264" s="1648"/>
      <c r="G1264" s="1625"/>
      <c r="H1264" s="1625"/>
      <c r="I1264" s="1629"/>
      <c r="J1264" s="1630"/>
      <c r="K1264" s="1631"/>
      <c r="L1264" s="1245"/>
      <c r="M1264" s="1320"/>
      <c r="N1264" s="1776" t="s">
        <v>51</v>
      </c>
      <c r="O1264" s="1726" t="s">
        <v>1316</v>
      </c>
      <c r="P1264" s="1634">
        <v>1</v>
      </c>
      <c r="Q1264" s="1634">
        <v>64.75</v>
      </c>
      <c r="R1264" s="1738"/>
      <c r="S1264" s="1738"/>
      <c r="T1264" s="1765"/>
      <c r="U1264" s="1715"/>
      <c r="V1264" s="1762"/>
      <c r="W1264" s="1714"/>
      <c r="X1264" s="1650"/>
      <c r="Y1264" s="1623"/>
      <c r="Z1264" s="1672"/>
      <c r="AA1264" s="1625"/>
      <c r="AB1264" s="1628"/>
      <c r="AC1264" s="1640"/>
      <c r="AD1264" s="1640"/>
      <c r="AE1264" s="1640"/>
      <c r="AF1264" s="1085"/>
      <c r="AG1264" s="1652"/>
      <c r="AH1264" s="1653"/>
      <c r="AI1264" s="1653"/>
      <c r="AJ1264" s="1654"/>
      <c r="AK1264" s="1529"/>
      <c r="AL1264" s="1090"/>
      <c r="AM1264" s="1652"/>
      <c r="AN1264" s="1652"/>
      <c r="AO1264" s="1653"/>
      <c r="AP1264" s="1640"/>
      <c r="AQ1264" s="1653"/>
      <c r="AR1264" s="1640"/>
      <c r="AS1264" s="1640"/>
      <c r="AT1264" s="1652"/>
      <c r="AU1264" s="1654"/>
      <c r="AV1264" s="1655"/>
    </row>
    <row r="1265" spans="1:48" ht="16.5" customHeight="1">
      <c r="A1265" s="1640"/>
      <c r="B1265" s="1665"/>
      <c r="C1265" s="1666"/>
      <c r="D1265" s="1625"/>
      <c r="E1265" s="1628"/>
      <c r="F1265" s="1648"/>
      <c r="G1265" s="1625"/>
      <c r="H1265" s="1667"/>
      <c r="I1265" s="1629"/>
      <c r="J1265" s="1630"/>
      <c r="K1265" s="1631"/>
      <c r="L1265" s="1245"/>
      <c r="M1265" s="1320"/>
      <c r="N1265" s="1776" t="s">
        <v>154</v>
      </c>
      <c r="O1265" s="1726" t="s">
        <v>1315</v>
      </c>
      <c r="P1265" s="1634"/>
      <c r="Q1265" s="1632">
        <v>55.56</v>
      </c>
      <c r="R1265" s="1646"/>
      <c r="S1265" s="1625"/>
      <c r="T1265" s="1765"/>
      <c r="U1265" s="1635"/>
      <c r="V1265" s="1636"/>
      <c r="W1265" s="1714"/>
      <c r="X1265" s="1650"/>
      <c r="Y1265" s="1623"/>
      <c r="Z1265" s="1672"/>
      <c r="AA1265" s="1625"/>
      <c r="AB1265" s="1633"/>
      <c r="AC1265" s="1634"/>
      <c r="AD1265" s="1640"/>
      <c r="AE1265" s="1640"/>
      <c r="AF1265" s="1085"/>
      <c r="AG1265" s="1652"/>
      <c r="AH1265" s="1653"/>
      <c r="AI1265" s="1653"/>
      <c r="AJ1265" s="1654"/>
      <c r="AK1265" s="1529"/>
      <c r="AL1265" s="1090"/>
      <c r="AM1265" s="1652"/>
      <c r="AN1265" s="1652"/>
      <c r="AO1265" s="1653"/>
      <c r="AP1265" s="1640"/>
      <c r="AQ1265" s="1653"/>
      <c r="AR1265" s="1640"/>
      <c r="AS1265" s="1640"/>
      <c r="AT1265" s="1652"/>
      <c r="AU1265" s="1654"/>
      <c r="AV1265" s="1655"/>
    </row>
    <row r="1266" spans="1:48" ht="16.5" customHeight="1">
      <c r="A1266" s="1673"/>
      <c r="B1266" s="1674"/>
      <c r="C1266" s="1675"/>
      <c r="D1266" s="1676"/>
      <c r="E1266" s="1677"/>
      <c r="F1266" s="1678"/>
      <c r="G1266" s="1676"/>
      <c r="H1266" s="1679"/>
      <c r="I1266" s="1680"/>
      <c r="J1266" s="1681"/>
      <c r="K1266" s="1682"/>
      <c r="L1266" s="1270"/>
      <c r="M1266" s="1549"/>
      <c r="N1266" s="1683" t="s">
        <v>172</v>
      </c>
      <c r="O1266" s="1728" t="s">
        <v>1314</v>
      </c>
      <c r="P1266" s="1685">
        <v>1</v>
      </c>
      <c r="Q1266" s="1683">
        <v>64.849999999999994</v>
      </c>
      <c r="R1266" s="1686"/>
      <c r="S1266" s="1676"/>
      <c r="T1266" s="1782"/>
      <c r="U1266" s="1773"/>
      <c r="V1266" s="1718"/>
      <c r="W1266" s="1719"/>
      <c r="X1266" s="1720"/>
      <c r="Y1266" s="1721"/>
      <c r="Z1266" s="1693"/>
      <c r="AA1266" s="1676"/>
      <c r="AB1266" s="1684"/>
      <c r="AC1266" s="1685"/>
      <c r="AD1266" s="1673"/>
      <c r="AE1266" s="1673"/>
      <c r="AF1266" s="1115"/>
      <c r="AG1266" s="1694"/>
      <c r="AH1266" s="1695"/>
      <c r="AI1266" s="1695"/>
      <c r="AJ1266" s="1696"/>
      <c r="AK1266" s="1604"/>
      <c r="AL1266" s="1120"/>
      <c r="AM1266" s="1694"/>
      <c r="AN1266" s="1694"/>
      <c r="AO1266" s="1695"/>
      <c r="AP1266" s="1673"/>
      <c r="AQ1266" s="1695"/>
      <c r="AR1266" s="1673"/>
      <c r="AS1266" s="1673"/>
      <c r="AT1266" s="1694"/>
      <c r="AU1266" s="1696"/>
      <c r="AV1266" s="1697"/>
    </row>
    <row r="1267" spans="1:48" ht="16.5" customHeight="1">
      <c r="A1267" s="1698">
        <v>98</v>
      </c>
      <c r="B1267" s="1699" t="s">
        <v>25</v>
      </c>
      <c r="C1267" s="1700" t="s">
        <v>1313</v>
      </c>
      <c r="D1267" s="1701"/>
      <c r="E1267" s="1702"/>
      <c r="F1267" s="1730" t="s">
        <v>1312</v>
      </c>
      <c r="G1267" s="1704" t="s">
        <v>25</v>
      </c>
      <c r="H1267" s="1705" t="s">
        <v>42</v>
      </c>
      <c r="I1267" s="1706">
        <v>510</v>
      </c>
      <c r="J1267" s="1630" t="s">
        <v>41</v>
      </c>
      <c r="K1267" s="1722" t="s">
        <v>1311</v>
      </c>
      <c r="L1267" s="1245"/>
      <c r="M1267" s="1320"/>
      <c r="N1267" s="1707" t="s">
        <v>25</v>
      </c>
      <c r="O1267" s="1723" t="s">
        <v>26</v>
      </c>
      <c r="P1267" s="1709">
        <v>1</v>
      </c>
      <c r="Q1267" s="1709">
        <v>97.26</v>
      </c>
      <c r="R1267" s="1699" t="s">
        <v>25</v>
      </c>
      <c r="S1267" s="1702" t="s">
        <v>24</v>
      </c>
      <c r="T1267" s="1784">
        <v>1</v>
      </c>
      <c r="U1267" s="1766">
        <v>1</v>
      </c>
      <c r="V1267" s="1711" t="s">
        <v>58</v>
      </c>
      <c r="W1267" s="1713">
        <v>3</v>
      </c>
      <c r="X1267" s="1713"/>
      <c r="Y1267" s="1785"/>
      <c r="Z1267" s="1761">
        <f>SUM(W1267:Y1267)</f>
        <v>3</v>
      </c>
      <c r="AA1267" s="1701"/>
      <c r="AB1267" s="1705"/>
      <c r="AC1267" s="1641"/>
      <c r="AD1267" s="1641"/>
      <c r="AE1267" s="1641"/>
      <c r="AF1267" s="1056">
        <f>Resum!F1</f>
        <v>356000</v>
      </c>
      <c r="AG1267" s="1086">
        <f>AF1267*I1267</f>
        <v>181560000</v>
      </c>
      <c r="AH1267" s="1642">
        <v>2200000</v>
      </c>
      <c r="AI1267" s="1089">
        <f>AH1267*Q1267*0.75</f>
        <v>160479000</v>
      </c>
      <c r="AJ1267" s="1724">
        <f>SUM(AI1267:AI1274)</f>
        <v>181790200</v>
      </c>
      <c r="AK1267" s="1300">
        <v>225000</v>
      </c>
      <c r="AL1267" s="1090">
        <f t="shared" si="108"/>
        <v>675000</v>
      </c>
      <c r="AM1267" s="1644">
        <f>SUM(AL1267:AL1275)</f>
        <v>5198000</v>
      </c>
      <c r="AN1267" s="1086">
        <f>AM1267+AJ1267+AG1267</f>
        <v>368548200</v>
      </c>
      <c r="AO1267" s="1642"/>
      <c r="AP1267" s="1136">
        <f>(121752000+AI1267)*15%</f>
        <v>42334650</v>
      </c>
      <c r="AQ1267" s="1087">
        <f>(AG1267+AI1267)*1%</f>
        <v>3420390</v>
      </c>
      <c r="AR1267" s="1136">
        <f>(AG1267+AI1267)*5%</f>
        <v>17101950</v>
      </c>
      <c r="AS1267" s="1087">
        <f>0.5%*(AG1267+AI1267)*(3)</f>
        <v>5130585</v>
      </c>
      <c r="AT1267" s="1086">
        <f>+AS1267+AR1267+AQ1267+AP1267+AO1267</f>
        <v>67987575</v>
      </c>
      <c r="AU1267" s="1137">
        <f>ROUND(AT1267+AN1267,-3)</f>
        <v>436536000</v>
      </c>
      <c r="AV1267" s="1645"/>
    </row>
    <row r="1268" spans="1:48" ht="16.5" customHeight="1">
      <c r="A1268" s="1640"/>
      <c r="B1268" s="1646" t="s">
        <v>16</v>
      </c>
      <c r="C1268" s="1647" t="s">
        <v>1310</v>
      </c>
      <c r="D1268" s="1625"/>
      <c r="E1268" s="1633"/>
      <c r="F1268" s="1648"/>
      <c r="G1268" s="1625" t="s">
        <v>16</v>
      </c>
      <c r="H1268" s="1625" t="s">
        <v>22</v>
      </c>
      <c r="I1268" s="1629"/>
      <c r="J1268" s="1630"/>
      <c r="K1268" s="1631"/>
      <c r="L1268" s="1245"/>
      <c r="M1268" s="1320"/>
      <c r="N1268" s="1632" t="s">
        <v>16</v>
      </c>
      <c r="O1268" s="1726" t="s">
        <v>21</v>
      </c>
      <c r="P1268" s="1634">
        <v>3</v>
      </c>
      <c r="Q1268" s="1634">
        <v>15.68</v>
      </c>
      <c r="R1268" s="1646"/>
      <c r="S1268" s="1625"/>
      <c r="T1268" s="1786"/>
      <c r="U1268" s="1764"/>
      <c r="V1268" s="1636" t="s">
        <v>58</v>
      </c>
      <c r="W1268" s="1650"/>
      <c r="X1268" s="1650">
        <v>3</v>
      </c>
      <c r="Y1268" s="1765"/>
      <c r="Z1268" s="1651"/>
      <c r="AA1268" s="1625"/>
      <c r="AB1268" s="1628"/>
      <c r="AC1268" s="1640"/>
      <c r="AD1268" s="1640"/>
      <c r="AE1268" s="1640"/>
      <c r="AF1268" s="1085"/>
      <c r="AG1268" s="1652"/>
      <c r="AH1268" s="1653">
        <v>350000</v>
      </c>
      <c r="AI1268" s="1089">
        <f>AH1268*P1268*0.65</f>
        <v>682500</v>
      </c>
      <c r="AJ1268" s="1654"/>
      <c r="AK1268" s="1529">
        <v>150000</v>
      </c>
      <c r="AL1268" s="1090">
        <f>AK1268*X1268</f>
        <v>450000</v>
      </c>
      <c r="AM1268" s="1652"/>
      <c r="AN1268" s="1652"/>
      <c r="AO1268" s="1653"/>
      <c r="AP1268" s="1640"/>
      <c r="AQ1268" s="1653"/>
      <c r="AR1268" s="1640"/>
      <c r="AS1268" s="1640"/>
      <c r="AT1268" s="1652"/>
      <c r="AU1268" s="1654"/>
      <c r="AV1268" s="1655"/>
    </row>
    <row r="1269" spans="1:48" ht="33" customHeight="1">
      <c r="A1269" s="1640"/>
      <c r="B1269" s="1646" t="s">
        <v>18</v>
      </c>
      <c r="C1269" s="1623" t="s">
        <v>60</v>
      </c>
      <c r="D1269" s="1625"/>
      <c r="E1269" s="1625"/>
      <c r="F1269" s="1648"/>
      <c r="G1269" s="1625" t="s">
        <v>18</v>
      </c>
      <c r="H1269" s="1625" t="s">
        <v>19</v>
      </c>
      <c r="I1269" s="1629"/>
      <c r="J1269" s="1630"/>
      <c r="K1269" s="1631"/>
      <c r="L1269" s="1245"/>
      <c r="M1269" s="1320"/>
      <c r="N1269" s="1632" t="s">
        <v>18</v>
      </c>
      <c r="O1269" s="1726" t="s">
        <v>274</v>
      </c>
      <c r="P1269" s="1634">
        <v>1</v>
      </c>
      <c r="Q1269" s="1634">
        <v>40.18</v>
      </c>
      <c r="R1269" s="1646" t="s">
        <v>16</v>
      </c>
      <c r="S1269" s="1625" t="s">
        <v>15</v>
      </c>
      <c r="T1269" s="1786">
        <v>3</v>
      </c>
      <c r="U1269" s="1764">
        <v>1</v>
      </c>
      <c r="V1269" s="1636" t="s">
        <v>14</v>
      </c>
      <c r="W1269" s="1650">
        <v>4</v>
      </c>
      <c r="X1269" s="1650"/>
      <c r="Y1269" s="1765"/>
      <c r="Z1269" s="1651">
        <f>SUM(W1269:Y1269)</f>
        <v>4</v>
      </c>
      <c r="AA1269" s="1625"/>
      <c r="AB1269" s="1628"/>
      <c r="AC1269" s="1640"/>
      <c r="AD1269" s="1640"/>
      <c r="AE1269" s="1640"/>
      <c r="AF1269" s="1085"/>
      <c r="AG1269" s="1652"/>
      <c r="AH1269" s="1653">
        <v>430000</v>
      </c>
      <c r="AI1269" s="1089">
        <f>AH1269*Q1269*0.5</f>
        <v>8638700</v>
      </c>
      <c r="AJ1269" s="1654"/>
      <c r="AK1269" s="1089">
        <v>350000</v>
      </c>
      <c r="AL1269" s="1087">
        <f t="shared" ref="AL1269:AL1333" si="109">AK1269*W1269</f>
        <v>1400000</v>
      </c>
      <c r="AM1269" s="1652"/>
      <c r="AN1269" s="1652"/>
      <c r="AO1269" s="1653"/>
      <c r="AP1269" s="1640"/>
      <c r="AQ1269" s="1653"/>
      <c r="AR1269" s="1640"/>
      <c r="AS1269" s="1640"/>
      <c r="AT1269" s="1652"/>
      <c r="AU1269" s="1654"/>
      <c r="AV1269" s="1655"/>
    </row>
    <row r="1270" spans="1:48" ht="49.5" customHeight="1">
      <c r="A1270" s="1640"/>
      <c r="B1270" s="1658" t="s">
        <v>12</v>
      </c>
      <c r="C1270" s="1659" t="s">
        <v>1141</v>
      </c>
      <c r="D1270" s="1625"/>
      <c r="E1270" s="1628"/>
      <c r="F1270" s="1648"/>
      <c r="G1270" s="1625"/>
      <c r="H1270" s="1667"/>
      <c r="I1270" s="1629"/>
      <c r="J1270" s="1630"/>
      <c r="K1270" s="1631"/>
      <c r="L1270" s="1245"/>
      <c r="M1270" s="1320"/>
      <c r="N1270" s="1632" t="s">
        <v>12</v>
      </c>
      <c r="O1270" s="1726" t="s">
        <v>17</v>
      </c>
      <c r="P1270" s="1634">
        <v>1</v>
      </c>
      <c r="Q1270" s="1651"/>
      <c r="R1270" s="1646"/>
      <c r="S1270" s="1625"/>
      <c r="T1270" s="1634"/>
      <c r="U1270" s="1764">
        <v>1</v>
      </c>
      <c r="V1270" s="1636" t="s">
        <v>14</v>
      </c>
      <c r="W1270" s="1650"/>
      <c r="X1270" s="1650">
        <v>3</v>
      </c>
      <c r="Y1270" s="1623"/>
      <c r="Z1270" s="1672">
        <f>SUM(W1270:Y1270)</f>
        <v>3</v>
      </c>
      <c r="AA1270" s="1625"/>
      <c r="AB1270" s="1628"/>
      <c r="AC1270" s="1640"/>
      <c r="AD1270" s="1640"/>
      <c r="AE1270" s="1640"/>
      <c r="AF1270" s="1085"/>
      <c r="AG1270" s="1652"/>
      <c r="AH1270" s="1653">
        <v>2500000</v>
      </c>
      <c r="AI1270" s="1089">
        <f>AH1270*P1270*0.5</f>
        <v>1250000</v>
      </c>
      <c r="AJ1270" s="1654"/>
      <c r="AK1270" s="1089">
        <v>231000</v>
      </c>
      <c r="AL1270" s="1087">
        <f>AK1270*X1270</f>
        <v>693000</v>
      </c>
      <c r="AM1270" s="1652"/>
      <c r="AN1270" s="1652"/>
      <c r="AO1270" s="1653"/>
      <c r="AP1270" s="1640"/>
      <c r="AQ1270" s="1653"/>
      <c r="AR1270" s="1640"/>
      <c r="AS1270" s="1640"/>
      <c r="AT1270" s="1652"/>
      <c r="AU1270" s="1654"/>
      <c r="AV1270" s="1655"/>
    </row>
    <row r="1271" spans="1:48" ht="16.5" customHeight="1">
      <c r="A1271" s="1640"/>
      <c r="B1271" s="1646" t="s">
        <v>8</v>
      </c>
      <c r="C1271" s="1716" t="s">
        <v>1309</v>
      </c>
      <c r="D1271" s="1625"/>
      <c r="E1271" s="1628"/>
      <c r="F1271" s="1648"/>
      <c r="G1271" s="1625"/>
      <c r="H1271" s="1667"/>
      <c r="I1271" s="1629"/>
      <c r="J1271" s="1630"/>
      <c r="K1271" s="1631"/>
      <c r="L1271" s="1245"/>
      <c r="M1271" s="1320"/>
      <c r="N1271" s="1632" t="s">
        <v>8</v>
      </c>
      <c r="O1271" s="1726" t="s">
        <v>11</v>
      </c>
      <c r="P1271" s="1634">
        <v>1</v>
      </c>
      <c r="Q1271" s="1651"/>
      <c r="R1271" s="1646"/>
      <c r="S1271" s="1625"/>
      <c r="T1271" s="1634"/>
      <c r="U1271" s="1715">
        <v>2</v>
      </c>
      <c r="V1271" s="1636" t="s">
        <v>10</v>
      </c>
      <c r="W1271" s="1714">
        <v>3</v>
      </c>
      <c r="X1271" s="1650"/>
      <c r="Y1271" s="1623"/>
      <c r="Z1271" s="1672">
        <f>SUM(W1271:Y1271)</f>
        <v>3</v>
      </c>
      <c r="AA1271" s="1625"/>
      <c r="AB1271" s="1628"/>
      <c r="AC1271" s="1640"/>
      <c r="AD1271" s="1640"/>
      <c r="AE1271" s="1640"/>
      <c r="AF1271" s="1085"/>
      <c r="AG1271" s="1652"/>
      <c r="AH1271" s="1653">
        <v>2500000</v>
      </c>
      <c r="AI1271" s="1089">
        <f>AH1271*P1271*0.75</f>
        <v>1875000</v>
      </c>
      <c r="AJ1271" s="1654"/>
      <c r="AK1271" s="1529">
        <v>50000</v>
      </c>
      <c r="AL1271" s="1090">
        <f t="shared" si="109"/>
        <v>150000</v>
      </c>
      <c r="AM1271" s="1652"/>
      <c r="AN1271" s="1652"/>
      <c r="AO1271" s="1653"/>
      <c r="AP1271" s="1640"/>
      <c r="AQ1271" s="1653"/>
      <c r="AR1271" s="1640"/>
      <c r="AS1271" s="1640"/>
      <c r="AT1271" s="1652"/>
      <c r="AU1271" s="1654"/>
      <c r="AV1271" s="1655"/>
    </row>
    <row r="1272" spans="1:48" ht="16.5" customHeight="1">
      <c r="A1272" s="1640"/>
      <c r="B1272" s="1646"/>
      <c r="C1272" s="1716"/>
      <c r="D1272" s="1625"/>
      <c r="E1272" s="1628"/>
      <c r="F1272" s="1648"/>
      <c r="G1272" s="1625"/>
      <c r="H1272" s="1667"/>
      <c r="I1272" s="1629"/>
      <c r="J1272" s="1630"/>
      <c r="K1272" s="1631"/>
      <c r="L1272" s="1245"/>
      <c r="M1272" s="1320"/>
      <c r="N1272" s="1632" t="s">
        <v>54</v>
      </c>
      <c r="O1272" s="1726" t="s">
        <v>189</v>
      </c>
      <c r="P1272" s="1634">
        <v>1</v>
      </c>
      <c r="Q1272" s="1651">
        <v>39.5</v>
      </c>
      <c r="R1272" s="1646"/>
      <c r="S1272" s="1625"/>
      <c r="T1272" s="1634"/>
      <c r="U1272" s="1715">
        <v>3</v>
      </c>
      <c r="V1272" s="1636" t="s">
        <v>142</v>
      </c>
      <c r="W1272" s="1714">
        <v>6</v>
      </c>
      <c r="X1272" s="1650"/>
      <c r="Y1272" s="1623"/>
      <c r="Z1272" s="1672"/>
      <c r="AA1272" s="1625"/>
      <c r="AB1272" s="1628"/>
      <c r="AC1272" s="1640"/>
      <c r="AD1272" s="1640"/>
      <c r="AE1272" s="1640"/>
      <c r="AF1272" s="1085"/>
      <c r="AG1272" s="1652"/>
      <c r="AH1272" s="1653">
        <v>300000</v>
      </c>
      <c r="AI1272" s="1089">
        <f>AH1272*Q1272*0.5</f>
        <v>5925000</v>
      </c>
      <c r="AJ1272" s="1654"/>
      <c r="AK1272" s="1529">
        <v>250000</v>
      </c>
      <c r="AL1272" s="1090">
        <f t="shared" si="109"/>
        <v>1500000</v>
      </c>
      <c r="AM1272" s="1652"/>
      <c r="AN1272" s="1652"/>
      <c r="AO1272" s="1653"/>
      <c r="AP1272" s="1640"/>
      <c r="AQ1272" s="1653"/>
      <c r="AR1272" s="1640"/>
      <c r="AS1272" s="1640"/>
      <c r="AT1272" s="1652"/>
      <c r="AU1272" s="1654"/>
      <c r="AV1272" s="1655"/>
    </row>
    <row r="1273" spans="1:48" ht="16.5" customHeight="1">
      <c r="A1273" s="1640"/>
      <c r="B1273" s="1646"/>
      <c r="C1273" s="1716"/>
      <c r="D1273" s="1625"/>
      <c r="E1273" s="1628"/>
      <c r="F1273" s="1648"/>
      <c r="G1273" s="1625"/>
      <c r="H1273" s="1667"/>
      <c r="I1273" s="1629"/>
      <c r="J1273" s="1630"/>
      <c r="K1273" s="1631"/>
      <c r="L1273" s="1245"/>
      <c r="M1273" s="1320"/>
      <c r="N1273" s="1632" t="s">
        <v>53</v>
      </c>
      <c r="O1273" s="1726" t="s">
        <v>121</v>
      </c>
      <c r="P1273" s="1634">
        <v>1</v>
      </c>
      <c r="Q1273" s="1651">
        <v>17.2</v>
      </c>
      <c r="R1273" s="1646"/>
      <c r="S1273" s="1625"/>
      <c r="T1273" s="1634"/>
      <c r="U1273" s="1715"/>
      <c r="V1273" s="1636" t="s">
        <v>142</v>
      </c>
      <c r="W1273" s="1714"/>
      <c r="X1273" s="1650">
        <v>2</v>
      </c>
      <c r="Y1273" s="1623"/>
      <c r="Z1273" s="1672"/>
      <c r="AA1273" s="1625"/>
      <c r="AB1273" s="1628"/>
      <c r="AC1273" s="1640"/>
      <c r="AD1273" s="1640"/>
      <c r="AE1273" s="1640"/>
      <c r="AF1273" s="1085"/>
      <c r="AG1273" s="1652"/>
      <c r="AH1273" s="1653">
        <v>300000</v>
      </c>
      <c r="AI1273" s="1089">
        <f>AH1273*Q1273*0.5</f>
        <v>2580000</v>
      </c>
      <c r="AJ1273" s="1654"/>
      <c r="AK1273" s="1529">
        <v>165000</v>
      </c>
      <c r="AL1273" s="1090">
        <f>AK1273*X1273</f>
        <v>330000</v>
      </c>
      <c r="AM1273" s="1652"/>
      <c r="AN1273" s="1652"/>
      <c r="AO1273" s="1653"/>
      <c r="AP1273" s="1640"/>
      <c r="AQ1273" s="1653"/>
      <c r="AR1273" s="1640"/>
      <c r="AS1273" s="1640"/>
      <c r="AT1273" s="1652"/>
      <c r="AU1273" s="1654"/>
      <c r="AV1273" s="1655"/>
    </row>
    <row r="1274" spans="1:48" ht="16.5" customHeight="1">
      <c r="A1274" s="1640"/>
      <c r="B1274" s="1646"/>
      <c r="C1274" s="1716"/>
      <c r="D1274" s="1625"/>
      <c r="E1274" s="1628"/>
      <c r="F1274" s="1648"/>
      <c r="G1274" s="1625"/>
      <c r="H1274" s="1667"/>
      <c r="I1274" s="1629"/>
      <c r="J1274" s="1630"/>
      <c r="K1274" s="1631"/>
      <c r="L1274" s="1245"/>
      <c r="M1274" s="1320"/>
      <c r="N1274" s="1632" t="s">
        <v>51</v>
      </c>
      <c r="O1274" s="1726" t="s">
        <v>184</v>
      </c>
      <c r="P1274" s="1634">
        <v>1</v>
      </c>
      <c r="Q1274" s="1651">
        <v>7.2</v>
      </c>
      <c r="R1274" s="1646"/>
      <c r="S1274" s="1625"/>
      <c r="T1274" s="1634"/>
      <c r="U1274" s="1715"/>
      <c r="V1274" s="1636"/>
      <c r="W1274" s="1714"/>
      <c r="X1274" s="1650"/>
      <c r="Y1274" s="1623"/>
      <c r="Z1274" s="1672"/>
      <c r="AA1274" s="1625"/>
      <c r="AB1274" s="1628"/>
      <c r="AC1274" s="1640"/>
      <c r="AD1274" s="1640"/>
      <c r="AE1274" s="1640"/>
      <c r="AF1274" s="1085"/>
      <c r="AG1274" s="1652"/>
      <c r="AH1274" s="1653">
        <v>100000</v>
      </c>
      <c r="AI1274" s="1089">
        <f>AH1274*Q1274*0.5</f>
        <v>360000</v>
      </c>
      <c r="AJ1274" s="1654"/>
      <c r="AK1274" s="1529"/>
      <c r="AL1274" s="1090"/>
      <c r="AM1274" s="1652"/>
      <c r="AN1274" s="1652"/>
      <c r="AO1274" s="1653"/>
      <c r="AP1274" s="1640"/>
      <c r="AQ1274" s="1653"/>
      <c r="AR1274" s="1640"/>
      <c r="AS1274" s="1640"/>
      <c r="AT1274" s="1652"/>
      <c r="AU1274" s="1654"/>
      <c r="AV1274" s="1655"/>
    </row>
    <row r="1275" spans="1:48" ht="16.5" customHeight="1">
      <c r="A1275" s="1673"/>
      <c r="B1275" s="1674"/>
      <c r="C1275" s="1675"/>
      <c r="D1275" s="1676"/>
      <c r="E1275" s="1677"/>
      <c r="F1275" s="1678"/>
      <c r="G1275" s="1676"/>
      <c r="H1275" s="1679"/>
      <c r="I1275" s="1680"/>
      <c r="J1275" s="1681"/>
      <c r="K1275" s="1682"/>
      <c r="L1275" s="1245"/>
      <c r="M1275" s="1320"/>
      <c r="N1275" s="1683"/>
      <c r="O1275" s="1684"/>
      <c r="P1275" s="1685"/>
      <c r="Q1275" s="1787"/>
      <c r="R1275" s="1646"/>
      <c r="S1275" s="1625"/>
      <c r="T1275" s="1634"/>
      <c r="U1275" s="1715"/>
      <c r="V1275" s="1636"/>
      <c r="W1275" s="1714"/>
      <c r="X1275" s="1650"/>
      <c r="Y1275" s="1623"/>
      <c r="Z1275" s="1672"/>
      <c r="AA1275" s="1625"/>
      <c r="AB1275" s="1628"/>
      <c r="AC1275" s="1640"/>
      <c r="AD1275" s="1673"/>
      <c r="AE1275" s="1673"/>
      <c r="AF1275" s="1115"/>
      <c r="AG1275" s="1694"/>
      <c r="AH1275" s="1695"/>
      <c r="AI1275" s="1695"/>
      <c r="AJ1275" s="1696"/>
      <c r="AK1275" s="1604"/>
      <c r="AL1275" s="1120"/>
      <c r="AM1275" s="1694"/>
      <c r="AN1275" s="1694"/>
      <c r="AO1275" s="1695"/>
      <c r="AP1275" s="1673"/>
      <c r="AQ1275" s="1695"/>
      <c r="AR1275" s="1673"/>
      <c r="AS1275" s="1673"/>
      <c r="AT1275" s="1694"/>
      <c r="AU1275" s="1696"/>
      <c r="AV1275" s="1697"/>
    </row>
    <row r="1276" spans="1:48" ht="16.5" customHeight="1">
      <c r="A1276" s="1698">
        <v>99</v>
      </c>
      <c r="B1276" s="1699" t="s">
        <v>25</v>
      </c>
      <c r="C1276" s="1700" t="s">
        <v>1308</v>
      </c>
      <c r="D1276" s="1701"/>
      <c r="E1276" s="1702"/>
      <c r="F1276" s="1730" t="s">
        <v>1307</v>
      </c>
      <c r="G1276" s="1704" t="s">
        <v>25</v>
      </c>
      <c r="H1276" s="1705" t="s">
        <v>42</v>
      </c>
      <c r="I1276" s="1706">
        <v>1135</v>
      </c>
      <c r="J1276" s="1630" t="s">
        <v>41</v>
      </c>
      <c r="K1276" s="1722" t="s">
        <v>1306</v>
      </c>
      <c r="L1276" s="1373"/>
      <c r="M1276" s="1317"/>
      <c r="N1276" s="1707" t="s">
        <v>25</v>
      </c>
      <c r="O1276" s="1726" t="s">
        <v>26</v>
      </c>
      <c r="P1276" s="1634"/>
      <c r="Q1276" s="1632">
        <v>130.21</v>
      </c>
      <c r="R1276" s="1699" t="s">
        <v>25</v>
      </c>
      <c r="S1276" s="1702" t="s">
        <v>24</v>
      </c>
      <c r="T1276" s="1788">
        <v>1</v>
      </c>
      <c r="U1276" s="1789">
        <v>1</v>
      </c>
      <c r="V1276" s="1704" t="s">
        <v>58</v>
      </c>
      <c r="W1276" s="1713">
        <v>3</v>
      </c>
      <c r="X1276" s="1712"/>
      <c r="Y1276" s="1785"/>
      <c r="Z1276" s="1790">
        <f>SUM(W1276:Y1276)</f>
        <v>3</v>
      </c>
      <c r="AA1276" s="1791"/>
      <c r="AB1276" s="1792"/>
      <c r="AC1276" s="1641"/>
      <c r="AD1276" s="1640"/>
      <c r="AE1276" s="1640"/>
      <c r="AF1276" s="1085">
        <f>Resum!F1</f>
        <v>356000</v>
      </c>
      <c r="AG1276" s="1086">
        <f>AF1276*I1276</f>
        <v>404060000</v>
      </c>
      <c r="AH1276" s="1653">
        <v>2530000</v>
      </c>
      <c r="AI1276" s="1089">
        <f>AH1276*Q1276*0.75</f>
        <v>247073475</v>
      </c>
      <c r="AJ1276" s="1793">
        <f>SUM(AI1276:AI1284)</f>
        <v>469145725</v>
      </c>
      <c r="AK1276" s="1300">
        <v>225000</v>
      </c>
      <c r="AL1276" s="1090">
        <f t="shared" si="109"/>
        <v>675000</v>
      </c>
      <c r="AM1276" s="1652">
        <f>SUM(AL1276:AL1285)</f>
        <v>3568000</v>
      </c>
      <c r="AN1276" s="1086">
        <f>AM1276+AJ1276+AG1276</f>
        <v>876773725</v>
      </c>
      <c r="AO1276" s="1653"/>
      <c r="AP1276" s="1136">
        <f>(286224000+AI1276)*15%</f>
        <v>79994621.25</v>
      </c>
      <c r="AQ1276" s="1087">
        <f>(AG1276+AI1276)*1%</f>
        <v>6511334.75</v>
      </c>
      <c r="AR1276" s="1136">
        <f>(AG1276+AI1276)*5%</f>
        <v>32556673.75</v>
      </c>
      <c r="AS1276" s="1087">
        <f>0.5%*(AG1276+AI1276)*(3)</f>
        <v>9767002.125</v>
      </c>
      <c r="AT1276" s="1086">
        <f>+AS1276+AR1276+AQ1276+AP1276+AO1276</f>
        <v>128829631.875</v>
      </c>
      <c r="AU1276" s="1137">
        <f>ROUND(AT1276+AN1276,-3)</f>
        <v>1005603000</v>
      </c>
      <c r="AV1276" s="1655"/>
    </row>
    <row r="1277" spans="1:48" ht="16.5" customHeight="1">
      <c r="A1277" s="1640"/>
      <c r="B1277" s="1646" t="s">
        <v>16</v>
      </c>
      <c r="C1277" s="1647" t="s">
        <v>1305</v>
      </c>
      <c r="D1277" s="1625"/>
      <c r="E1277" s="1633"/>
      <c r="F1277" s="1648"/>
      <c r="G1277" s="1625" t="s">
        <v>16</v>
      </c>
      <c r="H1277" s="1625" t="s">
        <v>22</v>
      </c>
      <c r="I1277" s="1629"/>
      <c r="J1277" s="1630"/>
      <c r="K1277" s="1631"/>
      <c r="L1277" s="1245"/>
      <c r="M1277" s="1320"/>
      <c r="N1277" s="1632" t="s">
        <v>16</v>
      </c>
      <c r="O1277" s="1726" t="s">
        <v>21</v>
      </c>
      <c r="P1277" s="1634"/>
      <c r="Q1277" s="1632">
        <v>14.1</v>
      </c>
      <c r="R1277" s="1646"/>
      <c r="S1277" s="1625"/>
      <c r="T1277" s="1794"/>
      <c r="U1277" s="1764"/>
      <c r="V1277" s="1795"/>
      <c r="W1277" s="1650"/>
      <c r="X1277" s="1714"/>
      <c r="Y1277" s="1765"/>
      <c r="Z1277" s="1632"/>
      <c r="AA1277" s="1646"/>
      <c r="AB1277" s="1659"/>
      <c r="AC1277" s="1640"/>
      <c r="AD1277" s="1640"/>
      <c r="AE1277" s="1640"/>
      <c r="AF1277" s="1085"/>
      <c r="AG1277" s="1652"/>
      <c r="AH1277" s="1653">
        <v>350000</v>
      </c>
      <c r="AI1277" s="1089">
        <f>AH1277*Q1277*0.75</f>
        <v>3701250</v>
      </c>
      <c r="AJ1277" s="1654"/>
      <c r="AK1277" s="1529"/>
      <c r="AL1277" s="1090"/>
      <c r="AM1277" s="1652"/>
      <c r="AN1277" s="1652"/>
      <c r="AO1277" s="1653"/>
      <c r="AP1277" s="1640"/>
      <c r="AQ1277" s="1653"/>
      <c r="AR1277" s="1640"/>
      <c r="AS1277" s="1640"/>
      <c r="AT1277" s="1652"/>
      <c r="AU1277" s="1654"/>
      <c r="AV1277" s="1655"/>
    </row>
    <row r="1278" spans="1:48" ht="16.5" customHeight="1">
      <c r="A1278" s="1640"/>
      <c r="B1278" s="1646" t="s">
        <v>18</v>
      </c>
      <c r="C1278" s="1623" t="s">
        <v>124</v>
      </c>
      <c r="D1278" s="1625"/>
      <c r="E1278" s="1625"/>
      <c r="F1278" s="1648"/>
      <c r="G1278" s="1625" t="s">
        <v>18</v>
      </c>
      <c r="H1278" s="1625" t="s">
        <v>19</v>
      </c>
      <c r="I1278" s="1629"/>
      <c r="J1278" s="1630"/>
      <c r="K1278" s="1631"/>
      <c r="L1278" s="1245"/>
      <c r="M1278" s="1320"/>
      <c r="N1278" s="1632" t="s">
        <v>18</v>
      </c>
      <c r="O1278" s="1726" t="s">
        <v>26</v>
      </c>
      <c r="P1278" s="1634"/>
      <c r="Q1278" s="1632">
        <v>137.82</v>
      </c>
      <c r="R1278" s="1646" t="s">
        <v>16</v>
      </c>
      <c r="S1278" s="1625" t="s">
        <v>15</v>
      </c>
      <c r="T1278" s="1794">
        <v>3</v>
      </c>
      <c r="U1278" s="1764">
        <v>1</v>
      </c>
      <c r="V1278" s="1627" t="s">
        <v>14</v>
      </c>
      <c r="W1278" s="1650">
        <v>3</v>
      </c>
      <c r="X1278" s="1714"/>
      <c r="Y1278" s="1765"/>
      <c r="Z1278" s="1796">
        <f>SUM(W1278:Y1278)</f>
        <v>3</v>
      </c>
      <c r="AA1278" s="1646"/>
      <c r="AB1278" s="1659"/>
      <c r="AC1278" s="1640"/>
      <c r="AD1278" s="1640"/>
      <c r="AE1278" s="1640"/>
      <c r="AF1278" s="1085"/>
      <c r="AG1278" s="1652"/>
      <c r="AH1278" s="1653">
        <v>2200000</v>
      </c>
      <c r="AI1278" s="1089">
        <f>AH1278*Q1278*0.65</f>
        <v>197082600</v>
      </c>
      <c r="AJ1278" s="1654"/>
      <c r="AK1278" s="1089">
        <v>350000</v>
      </c>
      <c r="AL1278" s="1087">
        <f t="shared" si="109"/>
        <v>1050000</v>
      </c>
      <c r="AM1278" s="1652"/>
      <c r="AN1278" s="1652"/>
      <c r="AO1278" s="1653"/>
      <c r="AP1278" s="1640"/>
      <c r="AQ1278" s="1653"/>
      <c r="AR1278" s="1640"/>
      <c r="AS1278" s="1640"/>
      <c r="AT1278" s="1652"/>
      <c r="AU1278" s="1654"/>
      <c r="AV1278" s="1655"/>
    </row>
    <row r="1279" spans="1:48" ht="49.5" customHeight="1">
      <c r="A1279" s="1640"/>
      <c r="B1279" s="1646"/>
      <c r="C1279" s="1659" t="s">
        <v>1220</v>
      </c>
      <c r="D1279" s="1625"/>
      <c r="E1279" s="1625"/>
      <c r="F1279" s="1648"/>
      <c r="G1279" s="1625"/>
      <c r="H1279" s="1625"/>
      <c r="I1279" s="1629"/>
      <c r="J1279" s="1630"/>
      <c r="K1279" s="1631"/>
      <c r="L1279" s="1245"/>
      <c r="M1279" s="1320"/>
      <c r="N1279" s="1632" t="s">
        <v>12</v>
      </c>
      <c r="O1279" s="1726" t="s">
        <v>21</v>
      </c>
      <c r="P1279" s="1634"/>
      <c r="Q1279" s="1632">
        <v>8.94</v>
      </c>
      <c r="R1279" s="1646"/>
      <c r="S1279" s="1625"/>
      <c r="T1279" s="1794"/>
      <c r="U1279" s="1764"/>
      <c r="V1279" s="1627" t="s">
        <v>14</v>
      </c>
      <c r="W1279" s="1650"/>
      <c r="X1279" s="1714">
        <v>3</v>
      </c>
      <c r="Y1279" s="1765"/>
      <c r="Z1279" s="1796"/>
      <c r="AA1279" s="1646"/>
      <c r="AB1279" s="1659"/>
      <c r="AC1279" s="1640"/>
      <c r="AD1279" s="1640"/>
      <c r="AE1279" s="1640"/>
      <c r="AF1279" s="1085"/>
      <c r="AG1279" s="1652"/>
      <c r="AH1279" s="1653">
        <v>350000</v>
      </c>
      <c r="AI1279" s="1089">
        <f>AH1279*Q1279*0.6</f>
        <v>1877400</v>
      </c>
      <c r="AJ1279" s="1654"/>
      <c r="AK1279" s="1089">
        <v>231000</v>
      </c>
      <c r="AL1279" s="1087">
        <f>AK1279*X1279</f>
        <v>693000</v>
      </c>
      <c r="AM1279" s="1652"/>
      <c r="AN1279" s="1652"/>
      <c r="AO1279" s="1653"/>
      <c r="AP1279" s="1640"/>
      <c r="AQ1279" s="1653"/>
      <c r="AR1279" s="1640"/>
      <c r="AS1279" s="1640"/>
      <c r="AT1279" s="1652"/>
      <c r="AU1279" s="1654"/>
      <c r="AV1279" s="1655"/>
    </row>
    <row r="1280" spans="1:48" ht="16.5" customHeight="1">
      <c r="A1280" s="1640"/>
      <c r="B1280" s="1797" t="s">
        <v>12</v>
      </c>
      <c r="C1280" s="1716" t="s">
        <v>1304</v>
      </c>
      <c r="D1280" s="1625"/>
      <c r="E1280" s="1628"/>
      <c r="F1280" s="1648"/>
      <c r="G1280" s="1625"/>
      <c r="H1280" s="1667"/>
      <c r="I1280" s="1629"/>
      <c r="J1280" s="1630"/>
      <c r="K1280" s="1631"/>
      <c r="L1280" s="1245"/>
      <c r="M1280" s="1320"/>
      <c r="N1280" s="1632" t="s">
        <v>8</v>
      </c>
      <c r="O1280" s="1726" t="s">
        <v>52</v>
      </c>
      <c r="P1280" s="1634"/>
      <c r="Q1280" s="1632">
        <v>37.200000000000003</v>
      </c>
      <c r="R1280" s="1646"/>
      <c r="S1280" s="1623"/>
      <c r="T1280" s="1794"/>
      <c r="U1280" s="1798">
        <v>2</v>
      </c>
      <c r="V1280" s="1627" t="s">
        <v>10</v>
      </c>
      <c r="W1280" s="1650">
        <v>3</v>
      </c>
      <c r="X1280" s="1714"/>
      <c r="Y1280" s="1765"/>
      <c r="Z1280" s="1796">
        <f>SUM(W1280:Y1280)</f>
        <v>3</v>
      </c>
      <c r="AA1280" s="1646"/>
      <c r="AB1280" s="1659"/>
      <c r="AC1280" s="1640"/>
      <c r="AD1280" s="1640"/>
      <c r="AE1280" s="1640"/>
      <c r="AF1280" s="1085"/>
      <c r="AG1280" s="1652"/>
      <c r="AH1280" s="1087">
        <v>210000</v>
      </c>
      <c r="AI1280" s="1089">
        <f>AH1280*Q1280*0.5</f>
        <v>3906000.0000000005</v>
      </c>
      <c r="AJ1280" s="1654"/>
      <c r="AK1280" s="1529">
        <v>50000</v>
      </c>
      <c r="AL1280" s="1090">
        <f t="shared" si="109"/>
        <v>150000</v>
      </c>
      <c r="AM1280" s="1652"/>
      <c r="AN1280" s="1652"/>
      <c r="AO1280" s="1653"/>
      <c r="AP1280" s="1640"/>
      <c r="AQ1280" s="1653"/>
      <c r="AR1280" s="1640"/>
      <c r="AS1280" s="1640"/>
      <c r="AT1280" s="1652"/>
      <c r="AU1280" s="1654"/>
      <c r="AV1280" s="1655"/>
    </row>
    <row r="1281" spans="1:48" ht="16.5" customHeight="1">
      <c r="A1281" s="1640"/>
      <c r="B1281" s="1646" t="s">
        <v>8</v>
      </c>
      <c r="C1281" s="1716"/>
      <c r="D1281" s="1625"/>
      <c r="E1281" s="1628"/>
      <c r="F1281" s="1648"/>
      <c r="G1281" s="1625"/>
      <c r="H1281" s="1667"/>
      <c r="I1281" s="1629"/>
      <c r="J1281" s="1630"/>
      <c r="K1281" s="1631"/>
      <c r="L1281" s="1245"/>
      <c r="M1281" s="1320"/>
      <c r="N1281" s="1632" t="s">
        <v>54</v>
      </c>
      <c r="O1281" s="1726" t="s">
        <v>184</v>
      </c>
      <c r="P1281" s="1634"/>
      <c r="Q1281" s="1632">
        <v>7.2</v>
      </c>
      <c r="R1281" s="1646"/>
      <c r="S1281" s="1623"/>
      <c r="T1281" s="1794"/>
      <c r="U1281" s="1798">
        <v>3</v>
      </c>
      <c r="V1281" s="1627" t="s">
        <v>142</v>
      </c>
      <c r="W1281" s="1650">
        <v>4</v>
      </c>
      <c r="X1281" s="1714"/>
      <c r="Y1281" s="1765"/>
      <c r="Z1281" s="1796">
        <f>SUM(W1281:Y1281)</f>
        <v>4</v>
      </c>
      <c r="AA1281" s="1646"/>
      <c r="AB1281" s="1659"/>
      <c r="AC1281" s="1640"/>
      <c r="AD1281" s="1640"/>
      <c r="AE1281" s="1640"/>
      <c r="AF1281" s="1085"/>
      <c r="AG1281" s="1652"/>
      <c r="AH1281" s="1653">
        <v>100000</v>
      </c>
      <c r="AI1281" s="1089">
        <f>AH1281*Q1281*0.5</f>
        <v>360000</v>
      </c>
      <c r="AJ1281" s="1654"/>
      <c r="AK1281" s="1529">
        <v>250000</v>
      </c>
      <c r="AL1281" s="1090">
        <f t="shared" si="109"/>
        <v>1000000</v>
      </c>
      <c r="AM1281" s="1652"/>
      <c r="AN1281" s="1652"/>
      <c r="AO1281" s="1653"/>
      <c r="AP1281" s="1640"/>
      <c r="AQ1281" s="1653"/>
      <c r="AR1281" s="1640"/>
      <c r="AS1281" s="1640"/>
      <c r="AT1281" s="1652"/>
      <c r="AU1281" s="1654"/>
      <c r="AV1281" s="1655"/>
    </row>
    <row r="1282" spans="1:48" ht="16.5" customHeight="1">
      <c r="A1282" s="1640"/>
      <c r="B1282" s="1646"/>
      <c r="C1282" s="1716"/>
      <c r="D1282" s="1625"/>
      <c r="E1282" s="1628"/>
      <c r="F1282" s="1648"/>
      <c r="G1282" s="1625"/>
      <c r="H1282" s="1667"/>
      <c r="I1282" s="1629"/>
      <c r="J1282" s="1630"/>
      <c r="K1282" s="1631"/>
      <c r="L1282" s="1245"/>
      <c r="M1282" s="1320"/>
      <c r="N1282" s="1632" t="s">
        <v>53</v>
      </c>
      <c r="O1282" s="1726" t="s">
        <v>189</v>
      </c>
      <c r="P1282" s="1634"/>
      <c r="Q1282" s="1632">
        <v>59.3</v>
      </c>
      <c r="R1282" s="1646"/>
      <c r="S1282" s="1623"/>
      <c r="T1282" s="1794"/>
      <c r="U1282" s="1798"/>
      <c r="V1282" s="1627"/>
      <c r="W1282" s="1650"/>
      <c r="X1282" s="1714"/>
      <c r="Y1282" s="1765"/>
      <c r="Z1282" s="1796"/>
      <c r="AA1282" s="1646"/>
      <c r="AB1282" s="1659"/>
      <c r="AC1282" s="1640"/>
      <c r="AD1282" s="1640"/>
      <c r="AE1282" s="1640"/>
      <c r="AF1282" s="1085"/>
      <c r="AG1282" s="1652"/>
      <c r="AH1282" s="1653">
        <v>300000</v>
      </c>
      <c r="AI1282" s="1089">
        <f>AH1282*Q1282*0.5</f>
        <v>8895000</v>
      </c>
      <c r="AJ1282" s="1654"/>
      <c r="AK1282" s="1529"/>
      <c r="AL1282" s="1090"/>
      <c r="AM1282" s="1652"/>
      <c r="AN1282" s="1652"/>
      <c r="AO1282" s="1653"/>
      <c r="AP1282" s="1640"/>
      <c r="AQ1282" s="1653"/>
      <c r="AR1282" s="1640"/>
      <c r="AS1282" s="1640"/>
      <c r="AT1282" s="1652"/>
      <c r="AU1282" s="1654"/>
      <c r="AV1282" s="1655"/>
    </row>
    <row r="1283" spans="1:48" ht="16.5" customHeight="1">
      <c r="A1283" s="1640"/>
      <c r="B1283" s="1646"/>
      <c r="C1283" s="1716"/>
      <c r="D1283" s="1625"/>
      <c r="E1283" s="1628"/>
      <c r="F1283" s="1648"/>
      <c r="G1283" s="1625"/>
      <c r="H1283" s="1667"/>
      <c r="I1283" s="1629"/>
      <c r="J1283" s="1630"/>
      <c r="K1283" s="1631"/>
      <c r="L1283" s="1245"/>
      <c r="M1283" s="1320"/>
      <c r="N1283" s="1632" t="s">
        <v>51</v>
      </c>
      <c r="O1283" s="1726" t="s">
        <v>11</v>
      </c>
      <c r="P1283" s="1634">
        <v>2</v>
      </c>
      <c r="Q1283" s="1632"/>
      <c r="R1283" s="1646"/>
      <c r="S1283" s="1623"/>
      <c r="T1283" s="1794"/>
      <c r="U1283" s="1798"/>
      <c r="V1283" s="1627"/>
      <c r="W1283" s="1650"/>
      <c r="X1283" s="1714"/>
      <c r="Y1283" s="1765"/>
      <c r="Z1283" s="1796"/>
      <c r="AA1283" s="1646"/>
      <c r="AB1283" s="1659"/>
      <c r="AC1283" s="1640"/>
      <c r="AD1283" s="1640"/>
      <c r="AE1283" s="1640"/>
      <c r="AF1283" s="1085"/>
      <c r="AG1283" s="1652"/>
      <c r="AH1283" s="1653">
        <v>2500000</v>
      </c>
      <c r="AI1283" s="1089">
        <f>AH1283*P1283*0.75</f>
        <v>3750000</v>
      </c>
      <c r="AJ1283" s="1654"/>
      <c r="AK1283" s="1529"/>
      <c r="AL1283" s="1090"/>
      <c r="AM1283" s="1652"/>
      <c r="AN1283" s="1652"/>
      <c r="AO1283" s="1653"/>
      <c r="AP1283" s="1640"/>
      <c r="AQ1283" s="1653"/>
      <c r="AR1283" s="1640"/>
      <c r="AS1283" s="1640"/>
      <c r="AT1283" s="1652"/>
      <c r="AU1283" s="1654"/>
      <c r="AV1283" s="1655"/>
    </row>
    <row r="1284" spans="1:48" ht="16.5" customHeight="1">
      <c r="A1284" s="1640"/>
      <c r="B1284" s="1646"/>
      <c r="C1284" s="1716"/>
      <c r="D1284" s="1625"/>
      <c r="E1284" s="1628"/>
      <c r="F1284" s="1648"/>
      <c r="G1284" s="1625"/>
      <c r="H1284" s="1667"/>
      <c r="I1284" s="1629"/>
      <c r="J1284" s="1630"/>
      <c r="K1284" s="1631"/>
      <c r="L1284" s="1245"/>
      <c r="M1284" s="1320"/>
      <c r="N1284" s="1632" t="s">
        <v>154</v>
      </c>
      <c r="O1284" s="1726" t="s">
        <v>17</v>
      </c>
      <c r="P1284" s="1634">
        <v>2</v>
      </c>
      <c r="Q1284" s="1632"/>
      <c r="R1284" s="1646"/>
      <c r="S1284" s="1623"/>
      <c r="T1284" s="1794"/>
      <c r="U1284" s="1798"/>
      <c r="V1284" s="1627"/>
      <c r="W1284" s="1650"/>
      <c r="X1284" s="1714"/>
      <c r="Y1284" s="1765"/>
      <c r="Z1284" s="1796"/>
      <c r="AA1284" s="1646"/>
      <c r="AB1284" s="1659"/>
      <c r="AC1284" s="1640"/>
      <c r="AD1284" s="1640"/>
      <c r="AE1284" s="1640"/>
      <c r="AF1284" s="1085"/>
      <c r="AG1284" s="1652"/>
      <c r="AH1284" s="1653">
        <v>2500000</v>
      </c>
      <c r="AI1284" s="1089">
        <f>AH1284*P1284*0.5</f>
        <v>2500000</v>
      </c>
      <c r="AJ1284" s="1654"/>
      <c r="AK1284" s="1529"/>
      <c r="AL1284" s="1090"/>
      <c r="AM1284" s="1652"/>
      <c r="AN1284" s="1652"/>
      <c r="AO1284" s="1653"/>
      <c r="AP1284" s="1640"/>
      <c r="AQ1284" s="1653"/>
      <c r="AR1284" s="1640"/>
      <c r="AS1284" s="1640"/>
      <c r="AT1284" s="1652"/>
      <c r="AU1284" s="1654"/>
      <c r="AV1284" s="1655"/>
    </row>
    <row r="1285" spans="1:48" ht="16.5" customHeight="1">
      <c r="A1285" s="1673"/>
      <c r="B1285" s="1674"/>
      <c r="C1285" s="1675"/>
      <c r="D1285" s="1676"/>
      <c r="E1285" s="1677"/>
      <c r="F1285" s="1678"/>
      <c r="G1285" s="1676"/>
      <c r="H1285" s="1679"/>
      <c r="I1285" s="1680"/>
      <c r="J1285" s="1681"/>
      <c r="K1285" s="1682"/>
      <c r="L1285" s="1270"/>
      <c r="M1285" s="1549"/>
      <c r="N1285" s="1683"/>
      <c r="O1285" s="1684"/>
      <c r="P1285" s="1685"/>
      <c r="Q1285" s="1683"/>
      <c r="R1285" s="1686"/>
      <c r="S1285" s="1721"/>
      <c r="T1285" s="1799"/>
      <c r="U1285" s="1800"/>
      <c r="V1285" s="1801"/>
      <c r="W1285" s="1720"/>
      <c r="X1285" s="1719"/>
      <c r="Y1285" s="1782"/>
      <c r="Z1285" s="1802"/>
      <c r="AA1285" s="1686"/>
      <c r="AB1285" s="1803"/>
      <c r="AC1285" s="1673"/>
      <c r="AD1285" s="1673"/>
      <c r="AE1285" s="1673"/>
      <c r="AF1285" s="1115"/>
      <c r="AG1285" s="1694"/>
      <c r="AH1285" s="1695"/>
      <c r="AI1285" s="1695"/>
      <c r="AJ1285" s="1696"/>
      <c r="AK1285" s="1604"/>
      <c r="AL1285" s="1120"/>
      <c r="AM1285" s="1694"/>
      <c r="AN1285" s="1694"/>
      <c r="AO1285" s="1695"/>
      <c r="AP1285" s="1673"/>
      <c r="AQ1285" s="1695"/>
      <c r="AR1285" s="1673"/>
      <c r="AS1285" s="1673"/>
      <c r="AT1285" s="1694"/>
      <c r="AU1285" s="1696"/>
      <c r="AV1285" s="1697"/>
    </row>
    <row r="1286" spans="1:48" ht="16.5" customHeight="1">
      <c r="A1286" s="1698">
        <v>100</v>
      </c>
      <c r="B1286" s="1699" t="s">
        <v>25</v>
      </c>
      <c r="C1286" s="1700" t="s">
        <v>1303</v>
      </c>
      <c r="D1286" s="1701"/>
      <c r="E1286" s="1702"/>
      <c r="F1286" s="1730" t="s">
        <v>1302</v>
      </c>
      <c r="G1286" s="1704" t="s">
        <v>25</v>
      </c>
      <c r="H1286" s="1705" t="s">
        <v>42</v>
      </c>
      <c r="I1286" s="1706">
        <v>285</v>
      </c>
      <c r="J1286" s="1630" t="s">
        <v>41</v>
      </c>
      <c r="K1286" s="1722" t="s">
        <v>1301</v>
      </c>
      <c r="L1286" s="1245"/>
      <c r="M1286" s="1320"/>
      <c r="N1286" s="1707"/>
      <c r="O1286" s="1708"/>
      <c r="P1286" s="1709"/>
      <c r="Q1286" s="1707"/>
      <c r="R1286" s="1699" t="s">
        <v>25</v>
      </c>
      <c r="S1286" s="1702" t="s">
        <v>24</v>
      </c>
      <c r="T1286" s="1709">
        <v>1</v>
      </c>
      <c r="U1286" s="1710">
        <v>1</v>
      </c>
      <c r="V1286" s="1804" t="s">
        <v>58</v>
      </c>
      <c r="W1286" s="1712">
        <v>2</v>
      </c>
      <c r="X1286" s="1713"/>
      <c r="Y1286" s="1700"/>
      <c r="Z1286" s="1805">
        <f>SUM(W1286:Y1286)</f>
        <v>2</v>
      </c>
      <c r="AA1286" s="1701"/>
      <c r="AB1286" s="1705"/>
      <c r="AC1286" s="1641"/>
      <c r="AD1286" s="1641"/>
      <c r="AE1286" s="1641"/>
      <c r="AF1286" s="1056">
        <f>Resum!F1</f>
        <v>356000</v>
      </c>
      <c r="AG1286" s="1086">
        <f>AF1286*I1286</f>
        <v>101460000</v>
      </c>
      <c r="AH1286" s="1642"/>
      <c r="AI1286" s="1642"/>
      <c r="AJ1286" s="1643"/>
      <c r="AK1286" s="1300">
        <v>225000</v>
      </c>
      <c r="AL1286" s="1090">
        <f t="shared" si="109"/>
        <v>450000</v>
      </c>
      <c r="AM1286" s="1644">
        <f>SUM(AL1286:AL1292)</f>
        <v>2709950</v>
      </c>
      <c r="AN1286" s="1086">
        <f>AM1286+AJ1286+AG1286</f>
        <v>104169950</v>
      </c>
      <c r="AO1286" s="1642"/>
      <c r="AP1286" s="1136">
        <f>AI1287*15%</f>
        <v>0</v>
      </c>
      <c r="AQ1286" s="1087">
        <v>0</v>
      </c>
      <c r="AR1286" s="1136">
        <f>(AG1286+AI1286)*5%</f>
        <v>5073000</v>
      </c>
      <c r="AS1286" s="1087">
        <f>0.5%*(AG1286+AI1286)*(3)</f>
        <v>1521900</v>
      </c>
      <c r="AT1286" s="1086">
        <f>+AS1286+AR1286+AQ1286+AP1286+AO1286</f>
        <v>6594900</v>
      </c>
      <c r="AU1286" s="1137">
        <f>ROUND(AT1286+AN1286,-3)</f>
        <v>110765000</v>
      </c>
      <c r="AV1286" s="1645"/>
    </row>
    <row r="1287" spans="1:48" ht="16.5" customHeight="1">
      <c r="A1287" s="1640"/>
      <c r="B1287" s="1646" t="s">
        <v>16</v>
      </c>
      <c r="C1287" s="1647" t="s">
        <v>1300</v>
      </c>
      <c r="D1287" s="1625"/>
      <c r="E1287" s="1633"/>
      <c r="F1287" s="1648"/>
      <c r="G1287" s="1625" t="s">
        <v>16</v>
      </c>
      <c r="H1287" s="1625" t="s">
        <v>22</v>
      </c>
      <c r="I1287" s="1629"/>
      <c r="J1287" s="1630"/>
      <c r="K1287" s="1631"/>
      <c r="L1287" s="1245"/>
      <c r="M1287" s="1320"/>
      <c r="N1287" s="1632"/>
      <c r="O1287" s="1633"/>
      <c r="P1287" s="1634"/>
      <c r="Q1287" s="1632"/>
      <c r="R1287" s="1646"/>
      <c r="S1287" s="1625"/>
      <c r="T1287" s="1668"/>
      <c r="U1287" s="1798"/>
      <c r="V1287" s="1762"/>
      <c r="W1287" s="1733"/>
      <c r="X1287" s="1671"/>
      <c r="Y1287" s="1732"/>
      <c r="Z1287" s="1672"/>
      <c r="AA1287" s="1625"/>
      <c r="AB1287" s="1628"/>
      <c r="AC1287" s="1640"/>
      <c r="AD1287" s="1640"/>
      <c r="AE1287" s="1640"/>
      <c r="AF1287" s="1085"/>
      <c r="AG1287" s="1652"/>
      <c r="AH1287" s="1653"/>
      <c r="AI1287" s="1653"/>
      <c r="AJ1287" s="1654"/>
      <c r="AK1287" s="1529"/>
      <c r="AL1287" s="1090"/>
      <c r="AM1287" s="1652"/>
      <c r="AN1287" s="1652"/>
      <c r="AO1287" s="1653"/>
      <c r="AP1287" s="1640"/>
      <c r="AQ1287" s="1653"/>
      <c r="AR1287" s="1640"/>
      <c r="AS1287" s="1640"/>
      <c r="AT1287" s="1652"/>
      <c r="AU1287" s="1654"/>
      <c r="AV1287" s="1655"/>
    </row>
    <row r="1288" spans="1:48" ht="16.5" customHeight="1">
      <c r="A1288" s="1640"/>
      <c r="B1288" s="1646" t="s">
        <v>18</v>
      </c>
      <c r="C1288" s="1623" t="s">
        <v>124</v>
      </c>
      <c r="D1288" s="1625"/>
      <c r="E1288" s="1625"/>
      <c r="F1288" s="1648"/>
      <c r="G1288" s="1625" t="s">
        <v>18</v>
      </c>
      <c r="H1288" s="1625" t="s">
        <v>19</v>
      </c>
      <c r="I1288" s="1629"/>
      <c r="J1288" s="1630"/>
      <c r="K1288" s="1631"/>
      <c r="L1288" s="1245"/>
      <c r="M1288" s="1320"/>
      <c r="N1288" s="1632"/>
      <c r="O1288" s="1633"/>
      <c r="P1288" s="1634"/>
      <c r="Q1288" s="1632"/>
      <c r="R1288" s="1646" t="s">
        <v>435</v>
      </c>
      <c r="S1288" s="1625" t="s">
        <v>15</v>
      </c>
      <c r="T1288" s="1634">
        <v>4</v>
      </c>
      <c r="U1288" s="1715">
        <v>1</v>
      </c>
      <c r="V1288" s="1636" t="s">
        <v>14</v>
      </c>
      <c r="W1288" s="1714">
        <v>5</v>
      </c>
      <c r="X1288" s="1650"/>
      <c r="Y1288" s="1623"/>
      <c r="Z1288" s="1672">
        <f>SUM(W1288:Y1288)</f>
        <v>5</v>
      </c>
      <c r="AA1288" s="1625"/>
      <c r="AB1288" s="1628"/>
      <c r="AC1288" s="1640"/>
      <c r="AD1288" s="1640"/>
      <c r="AE1288" s="1640"/>
      <c r="AF1288" s="1085"/>
      <c r="AG1288" s="1652"/>
      <c r="AH1288" s="1653"/>
      <c r="AI1288" s="1653"/>
      <c r="AJ1288" s="1654"/>
      <c r="AK1288" s="1089">
        <v>350000</v>
      </c>
      <c r="AL1288" s="1087">
        <f t="shared" si="109"/>
        <v>1750000</v>
      </c>
      <c r="AM1288" s="1652"/>
      <c r="AN1288" s="1652"/>
      <c r="AO1288" s="1653"/>
      <c r="AP1288" s="1640"/>
      <c r="AQ1288" s="1653"/>
      <c r="AR1288" s="1640"/>
      <c r="AS1288" s="1640"/>
      <c r="AT1288" s="1652"/>
      <c r="AU1288" s="1654"/>
      <c r="AV1288" s="1655"/>
    </row>
    <row r="1289" spans="1:48" ht="66" customHeight="1">
      <c r="A1289" s="1640"/>
      <c r="B1289" s="1658" t="s">
        <v>12</v>
      </c>
      <c r="C1289" s="1659" t="s">
        <v>1299</v>
      </c>
      <c r="D1289" s="1625"/>
      <c r="E1289" s="1625"/>
      <c r="F1289" s="1648"/>
      <c r="G1289" s="1625"/>
      <c r="H1289" s="1625"/>
      <c r="I1289" s="1629"/>
      <c r="J1289" s="1630"/>
      <c r="K1289" s="1631"/>
      <c r="L1289" s="1245"/>
      <c r="M1289" s="1320"/>
      <c r="N1289" s="1632"/>
      <c r="O1289" s="1633"/>
      <c r="P1289" s="1634"/>
      <c r="Q1289" s="1632"/>
      <c r="R1289" s="1646"/>
      <c r="S1289" s="1625"/>
      <c r="T1289" s="1634"/>
      <c r="U1289" s="1715">
        <v>2</v>
      </c>
      <c r="V1289" s="1636" t="s">
        <v>10</v>
      </c>
      <c r="W1289" s="1714">
        <v>3</v>
      </c>
      <c r="X1289" s="1650"/>
      <c r="Y1289" s="1623"/>
      <c r="Z1289" s="1672">
        <f>SUM(W1289:Y1289)</f>
        <v>3</v>
      </c>
      <c r="AA1289" s="1625"/>
      <c r="AB1289" s="1628"/>
      <c r="AC1289" s="1640"/>
      <c r="AD1289" s="1640"/>
      <c r="AE1289" s="1640"/>
      <c r="AF1289" s="1085"/>
      <c r="AG1289" s="1652"/>
      <c r="AH1289" s="1653"/>
      <c r="AI1289" s="1653"/>
      <c r="AJ1289" s="1654"/>
      <c r="AK1289" s="1529">
        <v>50000</v>
      </c>
      <c r="AL1289" s="1090">
        <f t="shared" si="109"/>
        <v>150000</v>
      </c>
      <c r="AM1289" s="1652"/>
      <c r="AN1289" s="1652"/>
      <c r="AO1289" s="1653"/>
      <c r="AP1289" s="1640"/>
      <c r="AQ1289" s="1653"/>
      <c r="AR1289" s="1640"/>
      <c r="AS1289" s="1640"/>
      <c r="AT1289" s="1652"/>
      <c r="AU1289" s="1654"/>
      <c r="AV1289" s="1655"/>
    </row>
    <row r="1290" spans="1:48" ht="16.5" customHeight="1">
      <c r="A1290" s="1640"/>
      <c r="B1290" s="1646" t="s">
        <v>8</v>
      </c>
      <c r="C1290" s="1716" t="s">
        <v>1298</v>
      </c>
      <c r="D1290" s="1625"/>
      <c r="E1290" s="1625"/>
      <c r="F1290" s="1648"/>
      <c r="G1290" s="1625"/>
      <c r="H1290" s="1625"/>
      <c r="I1290" s="1629"/>
      <c r="J1290" s="1630"/>
      <c r="K1290" s="1631"/>
      <c r="L1290" s="1245"/>
      <c r="M1290" s="1320"/>
      <c r="N1290" s="1632"/>
      <c r="O1290" s="1633"/>
      <c r="P1290" s="1634"/>
      <c r="Q1290" s="1632"/>
      <c r="R1290" s="1646"/>
      <c r="S1290" s="1625"/>
      <c r="T1290" s="1634"/>
      <c r="U1290" s="1715">
        <v>3</v>
      </c>
      <c r="V1290" s="1636" t="s">
        <v>3</v>
      </c>
      <c r="W1290" s="1714">
        <v>4</v>
      </c>
      <c r="X1290" s="1650"/>
      <c r="Y1290" s="1623"/>
      <c r="Z1290" s="1672">
        <f>SUM(W1290:Y1290)</f>
        <v>4</v>
      </c>
      <c r="AA1290" s="1625"/>
      <c r="AB1290" s="1628"/>
      <c r="AC1290" s="1640"/>
      <c r="AD1290" s="1640"/>
      <c r="AE1290" s="1640"/>
      <c r="AF1290" s="1085"/>
      <c r="AG1290" s="1652"/>
      <c r="AH1290" s="1653"/>
      <c r="AI1290" s="1653"/>
      <c r="AJ1290" s="1654"/>
      <c r="AK1290" s="1089">
        <v>85000</v>
      </c>
      <c r="AL1290" s="1090">
        <f t="shared" si="109"/>
        <v>340000</v>
      </c>
      <c r="AM1290" s="1652"/>
      <c r="AN1290" s="1652"/>
      <c r="AO1290" s="1653"/>
      <c r="AP1290" s="1640"/>
      <c r="AQ1290" s="1653"/>
      <c r="AR1290" s="1640"/>
      <c r="AS1290" s="1640"/>
      <c r="AT1290" s="1652"/>
      <c r="AU1290" s="1654"/>
      <c r="AV1290" s="1655"/>
    </row>
    <row r="1291" spans="1:48" ht="16.5" customHeight="1">
      <c r="A1291" s="1640"/>
      <c r="B1291" s="1665"/>
      <c r="C1291" s="1666"/>
      <c r="D1291" s="1667"/>
      <c r="E1291" s="1628"/>
      <c r="F1291" s="1648"/>
      <c r="G1291" s="1625"/>
      <c r="H1291" s="1667"/>
      <c r="I1291" s="1629"/>
      <c r="J1291" s="1630"/>
      <c r="K1291" s="1631"/>
      <c r="L1291" s="1245"/>
      <c r="M1291" s="1320"/>
      <c r="N1291" s="1632"/>
      <c r="O1291" s="1633"/>
      <c r="P1291" s="1634"/>
      <c r="Q1291" s="1632"/>
      <c r="R1291" s="1646"/>
      <c r="S1291" s="1625"/>
      <c r="T1291" s="1634"/>
      <c r="U1291" s="1715">
        <v>4</v>
      </c>
      <c r="V1291" s="1636" t="s">
        <v>143</v>
      </c>
      <c r="W1291" s="1714"/>
      <c r="X1291" s="1650">
        <v>3</v>
      </c>
      <c r="Y1291" s="1623"/>
      <c r="Z1291" s="1672">
        <f>SUM(W1291:Y1291)</f>
        <v>3</v>
      </c>
      <c r="AA1291" s="1625"/>
      <c r="AB1291" s="1633"/>
      <c r="AC1291" s="1634"/>
      <c r="AD1291" s="1640"/>
      <c r="AE1291" s="1640"/>
      <c r="AF1291" s="1085"/>
      <c r="AG1291" s="1652"/>
      <c r="AH1291" s="1653"/>
      <c r="AI1291" s="1653"/>
      <c r="AJ1291" s="1654"/>
      <c r="AK1291" s="1529">
        <v>6650</v>
      </c>
      <c r="AL1291" s="1090">
        <f>AK1291*X1291</f>
        <v>19950</v>
      </c>
      <c r="AM1291" s="1652"/>
      <c r="AN1291" s="1652"/>
      <c r="AO1291" s="1653"/>
      <c r="AP1291" s="1640"/>
      <c r="AQ1291" s="1653"/>
      <c r="AR1291" s="1640"/>
      <c r="AS1291" s="1640"/>
      <c r="AT1291" s="1652"/>
      <c r="AU1291" s="1654"/>
      <c r="AV1291" s="1655"/>
    </row>
    <row r="1292" spans="1:48" ht="16.5" customHeight="1">
      <c r="A1292" s="1673"/>
      <c r="B1292" s="1674"/>
      <c r="C1292" s="1675"/>
      <c r="D1292" s="1676"/>
      <c r="E1292" s="1677"/>
      <c r="F1292" s="1678"/>
      <c r="G1292" s="1676"/>
      <c r="H1292" s="1679"/>
      <c r="I1292" s="1680"/>
      <c r="J1292" s="1681"/>
      <c r="K1292" s="1682"/>
      <c r="L1292" s="1245"/>
      <c r="M1292" s="1320"/>
      <c r="N1292" s="1683"/>
      <c r="O1292" s="1684"/>
      <c r="P1292" s="1685"/>
      <c r="Q1292" s="1683"/>
      <c r="R1292" s="1686"/>
      <c r="S1292" s="1676"/>
      <c r="T1292" s="1685"/>
      <c r="U1292" s="1717"/>
      <c r="V1292" s="1718"/>
      <c r="W1292" s="1719"/>
      <c r="X1292" s="1720"/>
      <c r="Y1292" s="1721"/>
      <c r="Z1292" s="1693"/>
      <c r="AA1292" s="1676"/>
      <c r="AB1292" s="1684"/>
      <c r="AC1292" s="1685"/>
      <c r="AD1292" s="1673"/>
      <c r="AE1292" s="1673"/>
      <c r="AF1292" s="1115"/>
      <c r="AG1292" s="1694"/>
      <c r="AH1292" s="1695"/>
      <c r="AI1292" s="1695"/>
      <c r="AJ1292" s="1696"/>
      <c r="AK1292" s="1604"/>
      <c r="AL1292" s="1120"/>
      <c r="AM1292" s="1694"/>
      <c r="AN1292" s="1694"/>
      <c r="AO1292" s="1695"/>
      <c r="AP1292" s="1673"/>
      <c r="AQ1292" s="1695"/>
      <c r="AR1292" s="1673"/>
      <c r="AS1292" s="1673"/>
      <c r="AT1292" s="1694"/>
      <c r="AU1292" s="1696"/>
      <c r="AV1292" s="1697"/>
    </row>
    <row r="1293" spans="1:48" ht="16.5" customHeight="1">
      <c r="A1293" s="1698">
        <v>101</v>
      </c>
      <c r="B1293" s="1699" t="s">
        <v>25</v>
      </c>
      <c r="C1293" s="1700" t="s">
        <v>1297</v>
      </c>
      <c r="D1293" s="1701"/>
      <c r="E1293" s="1702"/>
      <c r="F1293" s="1730" t="s">
        <v>1296</v>
      </c>
      <c r="G1293" s="1704" t="s">
        <v>25</v>
      </c>
      <c r="H1293" s="1705" t="s">
        <v>42</v>
      </c>
      <c r="I1293" s="1706">
        <v>485</v>
      </c>
      <c r="J1293" s="1783" t="s">
        <v>41</v>
      </c>
      <c r="K1293" s="1722" t="s">
        <v>1295</v>
      </c>
      <c r="L1293" s="1373"/>
      <c r="M1293" s="1317"/>
      <c r="N1293" s="1707" t="s">
        <v>25</v>
      </c>
      <c r="O1293" s="1723" t="s">
        <v>26</v>
      </c>
      <c r="P1293" s="1709">
        <v>1</v>
      </c>
      <c r="Q1293" s="2026">
        <v>118</v>
      </c>
      <c r="R1293" s="1699" t="s">
        <v>25</v>
      </c>
      <c r="S1293" s="1702" t="s">
        <v>24</v>
      </c>
      <c r="T1293" s="1709">
        <v>1</v>
      </c>
      <c r="U1293" s="1710">
        <v>1</v>
      </c>
      <c r="V1293" s="1711" t="s">
        <v>58</v>
      </c>
      <c r="W1293" s="1712">
        <v>1</v>
      </c>
      <c r="X1293" s="1713"/>
      <c r="Y1293" s="1700"/>
      <c r="Z1293" s="1761">
        <f>SUM(W1293:Y1293)</f>
        <v>1</v>
      </c>
      <c r="AA1293" s="1701"/>
      <c r="AB1293" s="1705"/>
      <c r="AC1293" s="1641"/>
      <c r="AD1293" s="1641"/>
      <c r="AE1293" s="1641"/>
      <c r="AF1293" s="1056">
        <f>Resum!F1</f>
        <v>356000</v>
      </c>
      <c r="AG1293" s="1057">
        <f>AF1293*I1293</f>
        <v>172660000</v>
      </c>
      <c r="AH1293" s="1642">
        <v>2200000</v>
      </c>
      <c r="AI1293" s="1060">
        <f>AH1293*Q1293*0.7</f>
        <v>181720000</v>
      </c>
      <c r="AJ1293" s="1724">
        <f>SUM(AI1293:AI1300)</f>
        <v>199800000</v>
      </c>
      <c r="AK1293" s="1336">
        <v>225000</v>
      </c>
      <c r="AL1293" s="1061">
        <f t="shared" si="109"/>
        <v>225000</v>
      </c>
      <c r="AM1293" s="1644">
        <f>SUM(AL1293:AL1302)</f>
        <v>1687500</v>
      </c>
      <c r="AN1293" s="1057">
        <f>AM1293+AJ1293+AG1293</f>
        <v>374147500</v>
      </c>
      <c r="AO1293" s="1642"/>
      <c r="AP1293" s="1548">
        <f>(135636000+AI1293)*15%</f>
        <v>47603400</v>
      </c>
      <c r="AQ1293" s="1058">
        <f>(AG1293+AI1293)*1%</f>
        <v>3543800</v>
      </c>
      <c r="AR1293" s="1548">
        <f>(AG1293+AI1293)*5%</f>
        <v>17719000</v>
      </c>
      <c r="AS1293" s="1058">
        <f>0.5%*(AG1293+AI1293)*(3)</f>
        <v>5315700</v>
      </c>
      <c r="AT1293" s="1057">
        <f>+AS1293+AR1293+AQ1293+AP1293+AO1293</f>
        <v>74181900</v>
      </c>
      <c r="AU1293" s="2015">
        <f>ROUND(AT1293+AN1293,-3)</f>
        <v>448329000</v>
      </c>
      <c r="AV1293" s="1645"/>
    </row>
    <row r="1294" spans="1:48" ht="16.5" customHeight="1">
      <c r="A1294" s="1640"/>
      <c r="B1294" s="1646" t="s">
        <v>16</v>
      </c>
      <c r="C1294" s="1647" t="s">
        <v>1294</v>
      </c>
      <c r="D1294" s="1625"/>
      <c r="E1294" s="1633"/>
      <c r="F1294" s="1648"/>
      <c r="G1294" s="1625" t="s">
        <v>16</v>
      </c>
      <c r="H1294" s="1625" t="s">
        <v>22</v>
      </c>
      <c r="I1294" s="1629"/>
      <c r="J1294" s="1630"/>
      <c r="K1294" s="1631"/>
      <c r="L1294" s="1245"/>
      <c r="M1294" s="1320"/>
      <c r="N1294" s="1632" t="s">
        <v>16</v>
      </c>
      <c r="O1294" s="1726" t="s">
        <v>21</v>
      </c>
      <c r="P1294" s="1634">
        <v>1</v>
      </c>
      <c r="Q1294" s="1806">
        <v>9</v>
      </c>
      <c r="R1294" s="1646"/>
      <c r="S1294" s="1625"/>
      <c r="T1294" s="1634"/>
      <c r="U1294" s="1635"/>
      <c r="V1294" s="1636"/>
      <c r="W1294" s="1714"/>
      <c r="X1294" s="1650"/>
      <c r="Y1294" s="1623"/>
      <c r="Z1294" s="1672"/>
      <c r="AA1294" s="1625"/>
      <c r="AB1294" s="1628"/>
      <c r="AC1294" s="1640"/>
      <c r="AD1294" s="1640"/>
      <c r="AE1294" s="1640"/>
      <c r="AF1294" s="1085"/>
      <c r="AG1294" s="1652"/>
      <c r="AH1294" s="1653">
        <v>200000</v>
      </c>
      <c r="AI1294" s="1089">
        <f>AH1294*Q1294*0.6</f>
        <v>1080000</v>
      </c>
      <c r="AJ1294" s="1654"/>
      <c r="AK1294" s="1529"/>
      <c r="AL1294" s="1090"/>
      <c r="AM1294" s="1652"/>
      <c r="AN1294" s="1652"/>
      <c r="AO1294" s="1653"/>
      <c r="AP1294" s="1640"/>
      <c r="AQ1294" s="1653"/>
      <c r="AR1294" s="1640"/>
      <c r="AS1294" s="1640"/>
      <c r="AT1294" s="1652"/>
      <c r="AU1294" s="1654"/>
      <c r="AV1294" s="1655"/>
    </row>
    <row r="1295" spans="1:48" ht="16.5" customHeight="1">
      <c r="A1295" s="1640"/>
      <c r="B1295" s="1646" t="s">
        <v>18</v>
      </c>
      <c r="C1295" s="1623" t="s">
        <v>60</v>
      </c>
      <c r="D1295" s="1625"/>
      <c r="E1295" s="1625"/>
      <c r="F1295" s="1648"/>
      <c r="G1295" s="1625" t="s">
        <v>18</v>
      </c>
      <c r="H1295" s="1625" t="s">
        <v>19</v>
      </c>
      <c r="I1295" s="1629"/>
      <c r="J1295" s="1630"/>
      <c r="K1295" s="1631"/>
      <c r="L1295" s="1245"/>
      <c r="M1295" s="1320"/>
      <c r="N1295" s="1632" t="s">
        <v>18</v>
      </c>
      <c r="O1295" s="1726" t="s">
        <v>1293</v>
      </c>
      <c r="P1295" s="1634">
        <v>1</v>
      </c>
      <c r="Q1295" s="1806">
        <v>15</v>
      </c>
      <c r="R1295" s="1646" t="s">
        <v>16</v>
      </c>
      <c r="S1295" s="1625" t="s">
        <v>15</v>
      </c>
      <c r="T1295" s="1634">
        <v>8</v>
      </c>
      <c r="U1295" s="1635">
        <v>1</v>
      </c>
      <c r="V1295" s="1636" t="s">
        <v>14</v>
      </c>
      <c r="W1295" s="1714">
        <v>3</v>
      </c>
      <c r="X1295" s="1650"/>
      <c r="Y1295" s="1623"/>
      <c r="Z1295" s="1672">
        <f>SUM(W1295:Y1295)</f>
        <v>3</v>
      </c>
      <c r="AA1295" s="1625"/>
      <c r="AB1295" s="1628"/>
      <c r="AC1295" s="1640"/>
      <c r="AD1295" s="1640"/>
      <c r="AE1295" s="1640"/>
      <c r="AF1295" s="1085"/>
      <c r="AG1295" s="1652"/>
      <c r="AH1295" s="1087">
        <v>210000</v>
      </c>
      <c r="AI1295" s="1089">
        <f>AH1295*Q1295*0.5</f>
        <v>1575000</v>
      </c>
      <c r="AJ1295" s="1654"/>
      <c r="AK1295" s="1089">
        <v>350000</v>
      </c>
      <c r="AL1295" s="1087">
        <f t="shared" si="109"/>
        <v>1050000</v>
      </c>
      <c r="AM1295" s="1652"/>
      <c r="AN1295" s="1652"/>
      <c r="AO1295" s="1653"/>
      <c r="AP1295" s="1640"/>
      <c r="AQ1295" s="1653"/>
      <c r="AR1295" s="1640"/>
      <c r="AS1295" s="1640"/>
      <c r="AT1295" s="1652"/>
      <c r="AU1295" s="1654"/>
      <c r="AV1295" s="1655"/>
    </row>
    <row r="1296" spans="1:48" ht="49.5" customHeight="1">
      <c r="A1296" s="1640"/>
      <c r="B1296" s="1658" t="s">
        <v>12</v>
      </c>
      <c r="C1296" s="1659" t="s">
        <v>1141</v>
      </c>
      <c r="D1296" s="1625"/>
      <c r="E1296" s="1628"/>
      <c r="F1296" s="1648"/>
      <c r="G1296" s="1625"/>
      <c r="H1296" s="1667"/>
      <c r="I1296" s="1629"/>
      <c r="J1296" s="1630"/>
      <c r="K1296" s="1631"/>
      <c r="L1296" s="1245"/>
      <c r="M1296" s="1320"/>
      <c r="N1296" s="1632" t="s">
        <v>12</v>
      </c>
      <c r="O1296" s="1726" t="s">
        <v>1097</v>
      </c>
      <c r="P1296" s="1634">
        <v>1</v>
      </c>
      <c r="Q1296" s="1632">
        <v>3</v>
      </c>
      <c r="R1296" s="1646"/>
      <c r="S1296" s="1625"/>
      <c r="T1296" s="1668"/>
      <c r="U1296" s="1635">
        <v>2</v>
      </c>
      <c r="V1296" s="1636" t="s">
        <v>10</v>
      </c>
      <c r="W1296" s="1714"/>
      <c r="X1296" s="1650">
        <v>2</v>
      </c>
      <c r="Y1296" s="1623"/>
      <c r="Z1296" s="1672">
        <f>SUM(W1296:Y1296)</f>
        <v>2</v>
      </c>
      <c r="AA1296" s="1625"/>
      <c r="AB1296" s="1633"/>
      <c r="AC1296" s="1634"/>
      <c r="AD1296" s="1640"/>
      <c r="AE1296" s="1640"/>
      <c r="AF1296" s="1085"/>
      <c r="AG1296" s="1652"/>
      <c r="AH1296" s="1653">
        <v>500000</v>
      </c>
      <c r="AI1296" s="1089">
        <f>AH1296*Q1296*0.6</f>
        <v>900000</v>
      </c>
      <c r="AJ1296" s="1654"/>
      <c r="AK1296" s="1529">
        <v>35000</v>
      </c>
      <c r="AL1296" s="1090">
        <f>AK1296*X1296</f>
        <v>70000</v>
      </c>
      <c r="AM1296" s="1652"/>
      <c r="AN1296" s="1652"/>
      <c r="AO1296" s="1653"/>
      <c r="AP1296" s="1640"/>
      <c r="AQ1296" s="1653"/>
      <c r="AR1296" s="1640"/>
      <c r="AS1296" s="1640"/>
      <c r="AT1296" s="1652"/>
      <c r="AU1296" s="1654"/>
      <c r="AV1296" s="1655"/>
    </row>
    <row r="1297" spans="1:48" ht="16.5" customHeight="1">
      <c r="A1297" s="1640"/>
      <c r="B1297" s="1646" t="s">
        <v>8</v>
      </c>
      <c r="C1297" s="1716" t="s">
        <v>1292</v>
      </c>
      <c r="D1297" s="1625"/>
      <c r="E1297" s="1628"/>
      <c r="F1297" s="1648"/>
      <c r="G1297" s="1625"/>
      <c r="H1297" s="1667"/>
      <c r="I1297" s="1629"/>
      <c r="J1297" s="1630"/>
      <c r="K1297" s="1631"/>
      <c r="L1297" s="1245"/>
      <c r="M1297" s="1320"/>
      <c r="N1297" s="1632" t="s">
        <v>8</v>
      </c>
      <c r="O1297" s="1726" t="s">
        <v>17</v>
      </c>
      <c r="P1297" s="1634">
        <v>1</v>
      </c>
      <c r="Q1297" s="1632"/>
      <c r="R1297" s="1646"/>
      <c r="S1297" s="1625"/>
      <c r="T1297" s="1668"/>
      <c r="U1297" s="1635">
        <v>3</v>
      </c>
      <c r="V1297" s="1636" t="s">
        <v>4</v>
      </c>
      <c r="W1297" s="1714"/>
      <c r="X1297" s="1650"/>
      <c r="Y1297" s="1623"/>
      <c r="Z1297" s="1672" t="s">
        <v>100</v>
      </c>
      <c r="AA1297" s="1625"/>
      <c r="AB1297" s="1633"/>
      <c r="AC1297" s="1634"/>
      <c r="AD1297" s="1640"/>
      <c r="AE1297" s="1640"/>
      <c r="AF1297" s="1085"/>
      <c r="AG1297" s="1652"/>
      <c r="AH1297" s="1653">
        <v>2500000</v>
      </c>
      <c r="AI1297" s="1089">
        <f>AH1297*P1297*0.5</f>
        <v>1250000</v>
      </c>
      <c r="AJ1297" s="1654"/>
      <c r="AK1297" s="1529"/>
      <c r="AL1297" s="1090">
        <f t="shared" si="109"/>
        <v>0</v>
      </c>
      <c r="AM1297" s="1652"/>
      <c r="AN1297" s="1652"/>
      <c r="AO1297" s="1653"/>
      <c r="AP1297" s="1640"/>
      <c r="AQ1297" s="1653"/>
      <c r="AR1297" s="1640"/>
      <c r="AS1297" s="1640"/>
      <c r="AT1297" s="1652"/>
      <c r="AU1297" s="1654"/>
      <c r="AV1297" s="1655"/>
    </row>
    <row r="1298" spans="1:48" ht="16.5" customHeight="1">
      <c r="A1298" s="1640"/>
      <c r="B1298" s="1646"/>
      <c r="C1298" s="1716"/>
      <c r="D1298" s="1625"/>
      <c r="E1298" s="1628"/>
      <c r="F1298" s="1648"/>
      <c r="G1298" s="1625"/>
      <c r="H1298" s="1667"/>
      <c r="I1298" s="1629"/>
      <c r="J1298" s="1630"/>
      <c r="K1298" s="1631"/>
      <c r="L1298" s="1245"/>
      <c r="M1298" s="1320"/>
      <c r="N1298" s="1632" t="s">
        <v>54</v>
      </c>
      <c r="O1298" s="1726" t="s">
        <v>11</v>
      </c>
      <c r="P1298" s="1634">
        <v>1</v>
      </c>
      <c r="Q1298" s="1632"/>
      <c r="R1298" s="1646"/>
      <c r="S1298" s="1625"/>
      <c r="T1298" s="1668"/>
      <c r="U1298" s="1635">
        <v>4</v>
      </c>
      <c r="V1298" s="1636" t="s">
        <v>265</v>
      </c>
      <c r="W1298" s="1714"/>
      <c r="X1298" s="1650">
        <v>1</v>
      </c>
      <c r="Y1298" s="1623"/>
      <c r="Z1298" s="1672">
        <f>SUM(W1298:Y1298)</f>
        <v>1</v>
      </c>
      <c r="AA1298" s="1625"/>
      <c r="AB1298" s="1633"/>
      <c r="AC1298" s="1634"/>
      <c r="AD1298" s="1640"/>
      <c r="AE1298" s="1640"/>
      <c r="AF1298" s="1085"/>
      <c r="AG1298" s="1652"/>
      <c r="AH1298" s="1653">
        <v>2500000</v>
      </c>
      <c r="AI1298" s="1089">
        <f>AH1298*P1298*0.75</f>
        <v>1875000</v>
      </c>
      <c r="AJ1298" s="1654"/>
      <c r="AK1298" s="1089">
        <v>66000</v>
      </c>
      <c r="AL1298" s="1090">
        <f>AK1298*X1298</f>
        <v>66000</v>
      </c>
      <c r="AM1298" s="1652"/>
      <c r="AN1298" s="1652"/>
      <c r="AO1298" s="1653"/>
      <c r="AP1298" s="1640"/>
      <c r="AQ1298" s="1653"/>
      <c r="AR1298" s="1640"/>
      <c r="AS1298" s="1640"/>
      <c r="AT1298" s="1652"/>
      <c r="AU1298" s="1654"/>
      <c r="AV1298" s="1655"/>
    </row>
    <row r="1299" spans="1:48" ht="16.5" customHeight="1">
      <c r="A1299" s="1640"/>
      <c r="B1299" s="1646"/>
      <c r="C1299" s="1716"/>
      <c r="D1299" s="1625"/>
      <c r="E1299" s="1628"/>
      <c r="F1299" s="1648"/>
      <c r="G1299" s="1625"/>
      <c r="H1299" s="1667"/>
      <c r="I1299" s="1629"/>
      <c r="J1299" s="1630"/>
      <c r="K1299" s="1631"/>
      <c r="L1299" s="1245"/>
      <c r="M1299" s="1320"/>
      <c r="N1299" s="1632" t="s">
        <v>53</v>
      </c>
      <c r="O1299" s="1726" t="s">
        <v>175</v>
      </c>
      <c r="P1299" s="1634">
        <v>1</v>
      </c>
      <c r="Q1299" s="1651">
        <v>76</v>
      </c>
      <c r="R1299" s="1646"/>
      <c r="S1299" s="1625"/>
      <c r="T1299" s="1668"/>
      <c r="U1299" s="1635">
        <v>5</v>
      </c>
      <c r="V1299" s="1636" t="s">
        <v>268</v>
      </c>
      <c r="W1299" s="1714"/>
      <c r="X1299" s="1650">
        <v>1</v>
      </c>
      <c r="Y1299" s="1623"/>
      <c r="Z1299" s="1672">
        <f>SUM(W1299:Y1299)</f>
        <v>1</v>
      </c>
      <c r="AA1299" s="1625"/>
      <c r="AB1299" s="1633"/>
      <c r="AC1299" s="1634"/>
      <c r="AD1299" s="1640"/>
      <c r="AE1299" s="1640"/>
      <c r="AF1299" s="1085"/>
      <c r="AG1299" s="1652"/>
      <c r="AH1299" s="1653">
        <v>300000</v>
      </c>
      <c r="AI1299" s="1089">
        <f>AH1299*Q1299*0.5</f>
        <v>11400000</v>
      </c>
      <c r="AJ1299" s="1654"/>
      <c r="AK1299" s="1529">
        <v>132000</v>
      </c>
      <c r="AL1299" s="1090">
        <f>AK1299*X1299</f>
        <v>132000</v>
      </c>
      <c r="AM1299" s="1652"/>
      <c r="AN1299" s="1652"/>
      <c r="AO1299" s="1653"/>
      <c r="AP1299" s="1640"/>
      <c r="AQ1299" s="1653"/>
      <c r="AR1299" s="1640"/>
      <c r="AS1299" s="1640"/>
      <c r="AT1299" s="1652"/>
      <c r="AU1299" s="1654"/>
      <c r="AV1299" s="1655"/>
    </row>
    <row r="1300" spans="1:48" ht="16.5" customHeight="1">
      <c r="A1300" s="1640"/>
      <c r="B1300" s="1646"/>
      <c r="C1300" s="1716"/>
      <c r="D1300" s="1625"/>
      <c r="E1300" s="1628"/>
      <c r="F1300" s="1648"/>
      <c r="G1300" s="1625"/>
      <c r="H1300" s="1667"/>
      <c r="I1300" s="1629"/>
      <c r="J1300" s="1630"/>
      <c r="K1300" s="1631"/>
      <c r="L1300" s="1245"/>
      <c r="M1300" s="1320"/>
      <c r="N1300" s="1632"/>
      <c r="O1300" s="1633"/>
      <c r="P1300" s="1634"/>
      <c r="Q1300" s="1651"/>
      <c r="R1300" s="1646"/>
      <c r="S1300" s="1625"/>
      <c r="T1300" s="1668"/>
      <c r="U1300" s="1635">
        <v>6</v>
      </c>
      <c r="V1300" s="1636" t="s">
        <v>139</v>
      </c>
      <c r="W1300" s="1714"/>
      <c r="X1300" s="1650">
        <v>2</v>
      </c>
      <c r="Y1300" s="1623"/>
      <c r="Z1300" s="1672">
        <f>SUM(W1300:Y1300)</f>
        <v>2</v>
      </c>
      <c r="AA1300" s="1625"/>
      <c r="AB1300" s="1633"/>
      <c r="AC1300" s="1634"/>
      <c r="AD1300" s="1640"/>
      <c r="AE1300" s="1640"/>
      <c r="AF1300" s="1085"/>
      <c r="AG1300" s="1652"/>
      <c r="AH1300" s="1653"/>
      <c r="AI1300" s="1653"/>
      <c r="AJ1300" s="1654"/>
      <c r="AK1300" s="1529">
        <v>24750</v>
      </c>
      <c r="AL1300" s="1090">
        <f>AK1300*X1300</f>
        <v>49500</v>
      </c>
      <c r="AM1300" s="1652"/>
      <c r="AN1300" s="1652"/>
      <c r="AO1300" s="1653"/>
      <c r="AP1300" s="1640"/>
      <c r="AQ1300" s="1653"/>
      <c r="AR1300" s="1640"/>
      <c r="AS1300" s="1640"/>
      <c r="AT1300" s="1652"/>
      <c r="AU1300" s="1654"/>
      <c r="AV1300" s="1655"/>
    </row>
    <row r="1301" spans="1:48" ht="16.5" customHeight="1">
      <c r="A1301" s="1640"/>
      <c r="B1301" s="1646"/>
      <c r="C1301" s="1716"/>
      <c r="D1301" s="1625"/>
      <c r="E1301" s="1628"/>
      <c r="F1301" s="1648"/>
      <c r="G1301" s="1625"/>
      <c r="H1301" s="1667"/>
      <c r="I1301" s="1629"/>
      <c r="J1301" s="1630"/>
      <c r="K1301" s="1631"/>
      <c r="L1301" s="1245"/>
      <c r="M1301" s="1320"/>
      <c r="N1301" s="1632"/>
      <c r="O1301" s="1633"/>
      <c r="P1301" s="1634"/>
      <c r="Q1301" s="1651"/>
      <c r="R1301" s="1646"/>
      <c r="S1301" s="1625"/>
      <c r="T1301" s="1668"/>
      <c r="U1301" s="1635">
        <v>7</v>
      </c>
      <c r="V1301" s="1636" t="s">
        <v>848</v>
      </c>
      <c r="W1301" s="1714">
        <v>3</v>
      </c>
      <c r="X1301" s="1650"/>
      <c r="Y1301" s="1623"/>
      <c r="Z1301" s="1672">
        <f>SUM(W1301:Y1301)</f>
        <v>3</v>
      </c>
      <c r="AA1301" s="1625"/>
      <c r="AB1301" s="1633"/>
      <c r="AC1301" s="1634"/>
      <c r="AD1301" s="1640"/>
      <c r="AE1301" s="1640"/>
      <c r="AF1301" s="1085"/>
      <c r="AG1301" s="1652"/>
      <c r="AH1301" s="1653"/>
      <c r="AI1301" s="1653"/>
      <c r="AJ1301" s="1654"/>
      <c r="AK1301" s="1300">
        <v>25000</v>
      </c>
      <c r="AL1301" s="1090">
        <f t="shared" si="109"/>
        <v>75000</v>
      </c>
      <c r="AM1301" s="1652"/>
      <c r="AN1301" s="1652"/>
      <c r="AO1301" s="1653"/>
      <c r="AP1301" s="1640"/>
      <c r="AQ1301" s="1653"/>
      <c r="AR1301" s="1640"/>
      <c r="AS1301" s="1640"/>
      <c r="AT1301" s="1652"/>
      <c r="AU1301" s="1654"/>
      <c r="AV1301" s="1655"/>
    </row>
    <row r="1302" spans="1:48" ht="16.5" customHeight="1">
      <c r="A1302" s="1640"/>
      <c r="B1302" s="1658"/>
      <c r="C1302" s="1659"/>
      <c r="D1302" s="1625"/>
      <c r="E1302" s="1628"/>
      <c r="F1302" s="1648"/>
      <c r="G1302" s="1625"/>
      <c r="H1302" s="1667"/>
      <c r="I1302" s="1629"/>
      <c r="J1302" s="1630"/>
      <c r="K1302" s="1631"/>
      <c r="L1302" s="1245"/>
      <c r="M1302" s="1320"/>
      <c r="N1302" s="1739"/>
      <c r="O1302" s="1740"/>
      <c r="P1302" s="1741"/>
      <c r="Q1302" s="1666"/>
      <c r="R1302" s="1646"/>
      <c r="S1302" s="1625"/>
      <c r="T1302" s="1668"/>
      <c r="U1302" s="1635">
        <v>8</v>
      </c>
      <c r="V1302" s="1636" t="s">
        <v>143</v>
      </c>
      <c r="W1302" s="1714">
        <v>2</v>
      </c>
      <c r="X1302" s="1650"/>
      <c r="Y1302" s="1623"/>
      <c r="Z1302" s="1672">
        <f>SUM(W1302:Y1302)</f>
        <v>2</v>
      </c>
      <c r="AA1302" s="1625"/>
      <c r="AB1302" s="1633"/>
      <c r="AC1302" s="1634"/>
      <c r="AD1302" s="1640"/>
      <c r="AE1302" s="1640"/>
      <c r="AF1302" s="1085"/>
      <c r="AG1302" s="1652"/>
      <c r="AH1302" s="1653"/>
      <c r="AI1302" s="1653"/>
      <c r="AJ1302" s="1654"/>
      <c r="AK1302" s="1529">
        <v>10000</v>
      </c>
      <c r="AL1302" s="1090">
        <f t="shared" si="109"/>
        <v>20000</v>
      </c>
      <c r="AM1302" s="1652"/>
      <c r="AN1302" s="1652"/>
      <c r="AO1302" s="1653"/>
      <c r="AP1302" s="1640"/>
      <c r="AQ1302" s="1653"/>
      <c r="AR1302" s="1640"/>
      <c r="AS1302" s="1640"/>
      <c r="AT1302" s="1652"/>
      <c r="AU1302" s="1654"/>
      <c r="AV1302" s="1655"/>
    </row>
    <row r="1303" spans="1:48" ht="16.5" customHeight="1">
      <c r="A1303" s="1673"/>
      <c r="B1303" s="1734"/>
      <c r="C1303" s="1675"/>
      <c r="D1303" s="1676"/>
      <c r="E1303" s="1677"/>
      <c r="F1303" s="1678"/>
      <c r="G1303" s="1676"/>
      <c r="H1303" s="1679"/>
      <c r="I1303" s="1680"/>
      <c r="J1303" s="1681"/>
      <c r="K1303" s="1682"/>
      <c r="L1303" s="1270"/>
      <c r="M1303" s="1549"/>
      <c r="N1303" s="1734"/>
      <c r="O1303" s="1735"/>
      <c r="P1303" s="1736"/>
      <c r="Q1303" s="1734"/>
      <c r="R1303" s="1686"/>
      <c r="S1303" s="1676"/>
      <c r="T1303" s="1685"/>
      <c r="U1303" s="1773"/>
      <c r="V1303" s="1718"/>
      <c r="W1303" s="1719"/>
      <c r="X1303" s="1720"/>
      <c r="Y1303" s="1721"/>
      <c r="Z1303" s="1693"/>
      <c r="AA1303" s="1676"/>
      <c r="AB1303" s="1679"/>
      <c r="AC1303" s="1673"/>
      <c r="AD1303" s="1673"/>
      <c r="AE1303" s="1673"/>
      <c r="AF1303" s="1115"/>
      <c r="AG1303" s="1694"/>
      <c r="AH1303" s="1695"/>
      <c r="AI1303" s="1695"/>
      <c r="AJ1303" s="1696"/>
      <c r="AK1303" s="1604"/>
      <c r="AL1303" s="1120"/>
      <c r="AM1303" s="1694"/>
      <c r="AN1303" s="1694"/>
      <c r="AO1303" s="1695"/>
      <c r="AP1303" s="1673"/>
      <c r="AQ1303" s="1695"/>
      <c r="AR1303" s="1673"/>
      <c r="AS1303" s="1673"/>
      <c r="AT1303" s="1694"/>
      <c r="AU1303" s="1696"/>
      <c r="AV1303" s="1697"/>
    </row>
    <row r="1304" spans="1:48" ht="16.5" customHeight="1">
      <c r="A1304" s="1698">
        <v>102</v>
      </c>
      <c r="B1304" s="1699" t="s">
        <v>25</v>
      </c>
      <c r="C1304" s="1700" t="s">
        <v>1291</v>
      </c>
      <c r="D1304" s="1701"/>
      <c r="E1304" s="1702"/>
      <c r="F1304" s="1730" t="s">
        <v>1290</v>
      </c>
      <c r="G1304" s="1704" t="s">
        <v>25</v>
      </c>
      <c r="H1304" s="1705" t="s">
        <v>42</v>
      </c>
      <c r="I1304" s="1706">
        <v>696</v>
      </c>
      <c r="J1304" s="1783" t="s">
        <v>41</v>
      </c>
      <c r="K1304" s="1722" t="s">
        <v>1289</v>
      </c>
      <c r="L1304" s="1373"/>
      <c r="M1304" s="1317"/>
      <c r="N1304" s="1707" t="s">
        <v>25</v>
      </c>
      <c r="O1304" s="1723" t="s">
        <v>26</v>
      </c>
      <c r="P1304" s="1709">
        <v>1</v>
      </c>
      <c r="Q1304" s="1707">
        <v>108</v>
      </c>
      <c r="R1304" s="1699" t="s">
        <v>25</v>
      </c>
      <c r="S1304" s="1702" t="s">
        <v>24</v>
      </c>
      <c r="T1304" s="1709"/>
      <c r="U1304" s="1710"/>
      <c r="V1304" s="1711"/>
      <c r="W1304" s="1712"/>
      <c r="X1304" s="1713"/>
      <c r="Y1304" s="1700"/>
      <c r="Z1304" s="1761"/>
      <c r="AA1304" s="1701"/>
      <c r="AB1304" s="1705"/>
      <c r="AC1304" s="1641"/>
      <c r="AD1304" s="1641"/>
      <c r="AE1304" s="1641"/>
      <c r="AF1304" s="1056">
        <f>+Resum!F4</f>
        <v>204000</v>
      </c>
      <c r="AG1304" s="1057">
        <f>AF1304*I1304</f>
        <v>141984000</v>
      </c>
      <c r="AH1304" s="1642">
        <v>1800000</v>
      </c>
      <c r="AI1304" s="1060">
        <f>AH1304*Q1304*0.8</f>
        <v>155520000</v>
      </c>
      <c r="AJ1304" s="1724">
        <f>SUM(AI1304:AI1315)</f>
        <v>259565200</v>
      </c>
      <c r="AK1304" s="1725"/>
      <c r="AL1304" s="1061"/>
      <c r="AM1304" s="1644">
        <f>SUM(AL1305:AL1322)</f>
        <v>20721200</v>
      </c>
      <c r="AN1304" s="1057">
        <f>AM1304+AJ1304+AG1304</f>
        <v>422270400</v>
      </c>
      <c r="AO1304" s="1642"/>
      <c r="AP1304" s="1548">
        <f>(77112000+AI1304)*15%</f>
        <v>34894800</v>
      </c>
      <c r="AQ1304" s="1058">
        <f>(AG1304+AI1304)*1%</f>
        <v>2975040</v>
      </c>
      <c r="AR1304" s="1548">
        <f>(AG1304+AI1304)*5%</f>
        <v>14875200</v>
      </c>
      <c r="AS1304" s="1058">
        <f>0.5%*(AG1304+AI1304)*(3)</f>
        <v>4462560</v>
      </c>
      <c r="AT1304" s="1057">
        <f>+AS1304+AR1304+AQ1304+AP1304+AO1304</f>
        <v>57207600</v>
      </c>
      <c r="AU1304" s="2015">
        <f>ROUND(AT1304+AN1304,-3)</f>
        <v>479478000</v>
      </c>
      <c r="AV1304" s="1645"/>
    </row>
    <row r="1305" spans="1:48" ht="16.5" customHeight="1">
      <c r="A1305" s="1640"/>
      <c r="B1305" s="1646" t="s">
        <v>16</v>
      </c>
      <c r="C1305" s="1647" t="s">
        <v>1288</v>
      </c>
      <c r="D1305" s="1625"/>
      <c r="E1305" s="1633"/>
      <c r="F1305" s="1648"/>
      <c r="G1305" s="1625" t="s">
        <v>16</v>
      </c>
      <c r="H1305" s="1625" t="s">
        <v>22</v>
      </c>
      <c r="I1305" s="1629"/>
      <c r="J1305" s="1630"/>
      <c r="K1305" s="1631"/>
      <c r="L1305" s="1245"/>
      <c r="M1305" s="1320"/>
      <c r="N1305" s="1632" t="s">
        <v>16</v>
      </c>
      <c r="O1305" s="1726" t="s">
        <v>59</v>
      </c>
      <c r="P1305" s="1634">
        <v>1</v>
      </c>
      <c r="Q1305" s="1632">
        <v>24</v>
      </c>
      <c r="R1305" s="1646"/>
      <c r="S1305" s="1625"/>
      <c r="T1305" s="1634"/>
      <c r="U1305" s="1715">
        <v>1</v>
      </c>
      <c r="V1305" s="1636" t="s">
        <v>14</v>
      </c>
      <c r="W1305" s="1714">
        <v>9</v>
      </c>
      <c r="X1305" s="1650"/>
      <c r="Y1305" s="1623"/>
      <c r="Z1305" s="1651"/>
      <c r="AA1305" s="1625"/>
      <c r="AB1305" s="1628"/>
      <c r="AC1305" s="1640"/>
      <c r="AD1305" s="1640"/>
      <c r="AE1305" s="1640"/>
      <c r="AF1305" s="1085"/>
      <c r="AG1305" s="1652"/>
      <c r="AH1305" s="1087">
        <v>180000</v>
      </c>
      <c r="AI1305" s="1089">
        <f>AH1305*Q1305*0.5</f>
        <v>2160000</v>
      </c>
      <c r="AJ1305" s="1654"/>
      <c r="AK1305" s="1089">
        <v>350000</v>
      </c>
      <c r="AL1305" s="1087">
        <f t="shared" si="109"/>
        <v>3150000</v>
      </c>
      <c r="AM1305" s="1652"/>
      <c r="AN1305" s="1652"/>
      <c r="AO1305" s="1653"/>
      <c r="AP1305" s="1640"/>
      <c r="AQ1305" s="1653"/>
      <c r="AR1305" s="1640"/>
      <c r="AS1305" s="1640"/>
      <c r="AT1305" s="1652"/>
      <c r="AU1305" s="1654"/>
      <c r="AV1305" s="1655"/>
    </row>
    <row r="1306" spans="1:48" ht="16.5" customHeight="1">
      <c r="A1306" s="1640"/>
      <c r="B1306" s="1646" t="s">
        <v>18</v>
      </c>
      <c r="C1306" s="1623" t="s">
        <v>38</v>
      </c>
      <c r="D1306" s="1625"/>
      <c r="E1306" s="1625"/>
      <c r="F1306" s="1648"/>
      <c r="G1306" s="1625" t="s">
        <v>18</v>
      </c>
      <c r="H1306" s="1625" t="s">
        <v>19</v>
      </c>
      <c r="I1306" s="1629"/>
      <c r="J1306" s="1630"/>
      <c r="K1306" s="1631"/>
      <c r="L1306" s="1245"/>
      <c r="M1306" s="1320"/>
      <c r="N1306" s="1632" t="s">
        <v>18</v>
      </c>
      <c r="O1306" s="1726" t="s">
        <v>21</v>
      </c>
      <c r="P1306" s="1634">
        <v>1</v>
      </c>
      <c r="Q1306" s="1632">
        <v>17.96</v>
      </c>
      <c r="R1306" s="1646" t="s">
        <v>16</v>
      </c>
      <c r="S1306" s="1625" t="s">
        <v>15</v>
      </c>
      <c r="T1306" s="1634">
        <v>16</v>
      </c>
      <c r="U1306" s="1715"/>
      <c r="V1306" s="1636" t="s">
        <v>14</v>
      </c>
      <c r="W1306" s="1714"/>
      <c r="X1306" s="1650">
        <v>65</v>
      </c>
      <c r="Y1306" s="1623"/>
      <c r="Z1306" s="1672">
        <f>SUM(W1306:Y1306)</f>
        <v>65</v>
      </c>
      <c r="AA1306" s="1625"/>
      <c r="AB1306" s="1628"/>
      <c r="AC1306" s="1640"/>
      <c r="AD1306" s="1640"/>
      <c r="AE1306" s="1640"/>
      <c r="AF1306" s="1085"/>
      <c r="AG1306" s="1652"/>
      <c r="AH1306" s="1653">
        <v>350000</v>
      </c>
      <c r="AI1306" s="1089">
        <f>AH1306*Q1306*0.7</f>
        <v>4400200</v>
      </c>
      <c r="AJ1306" s="1654"/>
      <c r="AK1306" s="1089">
        <v>231000</v>
      </c>
      <c r="AL1306" s="1087">
        <f>AK1306*X1306</f>
        <v>15015000</v>
      </c>
      <c r="AM1306" s="1652"/>
      <c r="AN1306" s="1652"/>
      <c r="AO1306" s="1653"/>
      <c r="AP1306" s="1640"/>
      <c r="AQ1306" s="1653"/>
      <c r="AR1306" s="1640"/>
      <c r="AS1306" s="1640"/>
      <c r="AT1306" s="1652"/>
      <c r="AU1306" s="1654"/>
      <c r="AV1306" s="1655"/>
    </row>
    <row r="1307" spans="1:48" ht="49.5" customHeight="1">
      <c r="A1307" s="1640"/>
      <c r="B1307" s="1658" t="s">
        <v>12</v>
      </c>
      <c r="C1307" s="1659" t="s">
        <v>1141</v>
      </c>
      <c r="D1307" s="1625"/>
      <c r="E1307" s="1625"/>
      <c r="F1307" s="1648"/>
      <c r="G1307" s="1625"/>
      <c r="H1307" s="1625"/>
      <c r="I1307" s="1629"/>
      <c r="J1307" s="1630"/>
      <c r="K1307" s="1631"/>
      <c r="L1307" s="1245"/>
      <c r="M1307" s="1320"/>
      <c r="N1307" s="1632" t="s">
        <v>12</v>
      </c>
      <c r="O1307" s="1726" t="s">
        <v>17</v>
      </c>
      <c r="P1307" s="1634">
        <v>1</v>
      </c>
      <c r="Q1307" s="1632"/>
      <c r="R1307" s="1646"/>
      <c r="S1307" s="1625"/>
      <c r="T1307" s="1634"/>
      <c r="U1307" s="1715">
        <v>2</v>
      </c>
      <c r="V1307" s="1636" t="s">
        <v>808</v>
      </c>
      <c r="W1307" s="1714"/>
      <c r="X1307" s="1650">
        <v>15</v>
      </c>
      <c r="Y1307" s="1623"/>
      <c r="Z1307" s="1672">
        <f>SUM(W1307:Y1307)</f>
        <v>15</v>
      </c>
      <c r="AA1307" s="1625"/>
      <c r="AB1307" s="1628"/>
      <c r="AC1307" s="1640"/>
      <c r="AD1307" s="1640"/>
      <c r="AE1307" s="1640"/>
      <c r="AF1307" s="1085"/>
      <c r="AG1307" s="1652"/>
      <c r="AH1307" s="1653">
        <v>2500000</v>
      </c>
      <c r="AI1307" s="1089">
        <f>AH1307*P1307*0.5</f>
        <v>1250000</v>
      </c>
      <c r="AJ1307" s="1654"/>
      <c r="AK1307" s="1089">
        <v>82500</v>
      </c>
      <c r="AL1307" s="1090">
        <f>AK1307*X1307</f>
        <v>1237500</v>
      </c>
      <c r="AM1307" s="1652"/>
      <c r="AN1307" s="1652"/>
      <c r="AO1307" s="1653"/>
      <c r="AP1307" s="1640"/>
      <c r="AQ1307" s="1653"/>
      <c r="AR1307" s="1640"/>
      <c r="AS1307" s="1640"/>
      <c r="AT1307" s="1652"/>
      <c r="AU1307" s="1654"/>
      <c r="AV1307" s="1655"/>
    </row>
    <row r="1308" spans="1:48" ht="16.5" customHeight="1">
      <c r="A1308" s="1640"/>
      <c r="B1308" s="1658" t="s">
        <v>8</v>
      </c>
      <c r="C1308" s="1780" t="s">
        <v>1287</v>
      </c>
      <c r="D1308" s="1625"/>
      <c r="E1308" s="1625"/>
      <c r="F1308" s="1648"/>
      <c r="G1308" s="1625"/>
      <c r="H1308" s="1625"/>
      <c r="I1308" s="1629"/>
      <c r="J1308" s="1630"/>
      <c r="K1308" s="1631"/>
      <c r="L1308" s="1245"/>
      <c r="M1308" s="1320"/>
      <c r="N1308" s="1632" t="s">
        <v>8</v>
      </c>
      <c r="O1308" s="1726" t="s">
        <v>11</v>
      </c>
      <c r="P1308" s="1634">
        <v>1</v>
      </c>
      <c r="Q1308" s="1632"/>
      <c r="R1308" s="1646"/>
      <c r="S1308" s="1625"/>
      <c r="T1308" s="1634"/>
      <c r="U1308" s="1715">
        <v>3</v>
      </c>
      <c r="V1308" s="1636" t="s">
        <v>36</v>
      </c>
      <c r="W1308" s="1714">
        <v>3</v>
      </c>
      <c r="X1308" s="1650"/>
      <c r="Y1308" s="1623"/>
      <c r="Z1308" s="1672">
        <f>SUM(W1308:Y1308)</f>
        <v>3</v>
      </c>
      <c r="AA1308" s="1625"/>
      <c r="AB1308" s="1628"/>
      <c r="AC1308" s="1640"/>
      <c r="AD1308" s="1640"/>
      <c r="AE1308" s="1640"/>
      <c r="AF1308" s="1085"/>
      <c r="AG1308" s="1652"/>
      <c r="AH1308" s="1653">
        <v>2500000</v>
      </c>
      <c r="AI1308" s="1089">
        <f>AH1308*P1308*0.75</f>
        <v>1875000</v>
      </c>
      <c r="AJ1308" s="1654"/>
      <c r="AK1308" s="1529">
        <v>150000</v>
      </c>
      <c r="AL1308" s="1090">
        <f t="shared" si="109"/>
        <v>450000</v>
      </c>
      <c r="AM1308" s="1652"/>
      <c r="AN1308" s="1652"/>
      <c r="AO1308" s="1653"/>
      <c r="AP1308" s="1640"/>
      <c r="AQ1308" s="1653"/>
      <c r="AR1308" s="1640"/>
      <c r="AS1308" s="1640"/>
      <c r="AT1308" s="1652"/>
      <c r="AU1308" s="1654"/>
      <c r="AV1308" s="1655"/>
    </row>
    <row r="1309" spans="1:48" ht="16.5" customHeight="1">
      <c r="A1309" s="1640"/>
      <c r="B1309" s="1739"/>
      <c r="C1309" s="1666"/>
      <c r="D1309" s="1625"/>
      <c r="E1309" s="1628"/>
      <c r="F1309" s="1648"/>
      <c r="G1309" s="1625"/>
      <c r="H1309" s="1667"/>
      <c r="I1309" s="1629"/>
      <c r="J1309" s="1630"/>
      <c r="K1309" s="1631"/>
      <c r="L1309" s="1245"/>
      <c r="M1309" s="1320"/>
      <c r="N1309" s="1632" t="s">
        <v>54</v>
      </c>
      <c r="O1309" s="1726" t="s">
        <v>7</v>
      </c>
      <c r="P1309" s="1634"/>
      <c r="Q1309" s="1632">
        <v>97</v>
      </c>
      <c r="R1309" s="1646"/>
      <c r="S1309" s="1625"/>
      <c r="T1309" s="1634"/>
      <c r="U1309" s="1715">
        <v>4</v>
      </c>
      <c r="V1309" s="1762" t="s">
        <v>48</v>
      </c>
      <c r="W1309" s="1714">
        <v>2</v>
      </c>
      <c r="X1309" s="1650"/>
      <c r="Y1309" s="1623"/>
      <c r="Z1309" s="1672">
        <f>SUM(W1309:Y1309)</f>
        <v>2</v>
      </c>
      <c r="AA1309" s="1625"/>
      <c r="AB1309" s="1628"/>
      <c r="AC1309" s="1640"/>
      <c r="AD1309" s="1640"/>
      <c r="AE1309" s="1640"/>
      <c r="AF1309" s="1085"/>
      <c r="AG1309" s="1652"/>
      <c r="AH1309" s="1653">
        <v>300000</v>
      </c>
      <c r="AI1309" s="1089">
        <f>AH1309*Q1309*0.5</f>
        <v>14550000</v>
      </c>
      <c r="AJ1309" s="1654"/>
      <c r="AK1309" s="1529">
        <v>15000</v>
      </c>
      <c r="AL1309" s="1090">
        <f t="shared" si="109"/>
        <v>30000</v>
      </c>
      <c r="AM1309" s="1652"/>
      <c r="AN1309" s="1652"/>
      <c r="AO1309" s="1653"/>
      <c r="AP1309" s="1640"/>
      <c r="AQ1309" s="1653"/>
      <c r="AR1309" s="1640"/>
      <c r="AS1309" s="1640"/>
      <c r="AT1309" s="1652"/>
      <c r="AU1309" s="1654"/>
      <c r="AV1309" s="1655"/>
    </row>
    <row r="1310" spans="1:48" ht="16.5" customHeight="1">
      <c r="A1310" s="1640"/>
      <c r="B1310" s="1739"/>
      <c r="C1310" s="1666"/>
      <c r="D1310" s="1625"/>
      <c r="E1310" s="1628"/>
      <c r="F1310" s="1648"/>
      <c r="G1310" s="1625"/>
      <c r="H1310" s="1667"/>
      <c r="I1310" s="1629"/>
      <c r="J1310" s="1630"/>
      <c r="K1310" s="1631"/>
      <c r="L1310" s="1245"/>
      <c r="M1310" s="1320"/>
      <c r="N1310" s="1632" t="s">
        <v>53</v>
      </c>
      <c r="O1310" s="1726" t="s">
        <v>120</v>
      </c>
      <c r="P1310" s="1634">
        <v>1</v>
      </c>
      <c r="Q1310" s="1651">
        <v>1</v>
      </c>
      <c r="R1310" s="1646"/>
      <c r="S1310" s="1625"/>
      <c r="T1310" s="1634"/>
      <c r="U1310" s="1715">
        <v>5</v>
      </c>
      <c r="V1310" s="1762" t="s">
        <v>48</v>
      </c>
      <c r="W1310" s="1714"/>
      <c r="X1310" s="1650"/>
      <c r="Y1310" s="1623">
        <v>5</v>
      </c>
      <c r="Z1310" s="1672">
        <v>36</v>
      </c>
      <c r="AA1310" s="1625"/>
      <c r="AB1310" s="1628"/>
      <c r="AC1310" s="1640"/>
      <c r="AD1310" s="1640"/>
      <c r="AE1310" s="1640"/>
      <c r="AF1310" s="1085"/>
      <c r="AG1310" s="1652"/>
      <c r="AH1310" s="1653">
        <v>500000</v>
      </c>
      <c r="AI1310" s="1089">
        <f>AH1310*Q1310*0.5</f>
        <v>250000</v>
      </c>
      <c r="AJ1310" s="1654"/>
      <c r="AK1310" s="1529">
        <v>5000</v>
      </c>
      <c r="AL1310" s="1090">
        <f>AK1310*Y1311</f>
        <v>0</v>
      </c>
      <c r="AM1310" s="1652"/>
      <c r="AN1310" s="1652"/>
      <c r="AO1310" s="1653"/>
      <c r="AP1310" s="1640"/>
      <c r="AQ1310" s="1653"/>
      <c r="AR1310" s="1640"/>
      <c r="AS1310" s="1640"/>
      <c r="AT1310" s="1652"/>
      <c r="AU1310" s="1654"/>
      <c r="AV1310" s="1655"/>
    </row>
    <row r="1311" spans="1:48" ht="16.5" customHeight="1">
      <c r="A1311" s="1640"/>
      <c r="B1311" s="1739"/>
      <c r="C1311" s="1666"/>
      <c r="D1311" s="1625"/>
      <c r="E1311" s="1628"/>
      <c r="F1311" s="1648"/>
      <c r="G1311" s="1625"/>
      <c r="H1311" s="1667"/>
      <c r="I1311" s="1629"/>
      <c r="J1311" s="1630"/>
      <c r="K1311" s="1631"/>
      <c r="L1311" s="1245"/>
      <c r="M1311" s="1320"/>
      <c r="N1311" s="1632"/>
      <c r="O1311" s="1726" t="s">
        <v>1285</v>
      </c>
      <c r="P1311" s="1634"/>
      <c r="Q1311" s="1651"/>
      <c r="R1311" s="1646"/>
      <c r="S1311" s="1625"/>
      <c r="T1311" s="1634"/>
      <c r="U1311" s="1715">
        <v>6</v>
      </c>
      <c r="V1311" s="1762" t="s">
        <v>133</v>
      </c>
      <c r="W1311" s="1714"/>
      <c r="X1311" s="1650"/>
      <c r="Y1311" s="1623"/>
      <c r="Z1311" s="1672">
        <v>42</v>
      </c>
      <c r="AA1311" s="1625"/>
      <c r="AB1311" s="1628"/>
      <c r="AC1311" s="1640"/>
      <c r="AD1311" s="1640"/>
      <c r="AE1311" s="1640"/>
      <c r="AF1311" s="1085"/>
      <c r="AG1311" s="1652"/>
      <c r="AH1311" s="1653"/>
      <c r="AI1311" s="1089">
        <f t="shared" ref="AI1311" si="110">AH1311*Q1311*0.5</f>
        <v>0</v>
      </c>
      <c r="AJ1311" s="1654"/>
      <c r="AK1311" s="1529"/>
      <c r="AL1311" s="1090">
        <f t="shared" si="109"/>
        <v>0</v>
      </c>
      <c r="AM1311" s="1652"/>
      <c r="AN1311" s="1652"/>
      <c r="AO1311" s="1653"/>
      <c r="AP1311" s="1640"/>
      <c r="AQ1311" s="1653"/>
      <c r="AR1311" s="1640"/>
      <c r="AS1311" s="1640"/>
      <c r="AT1311" s="1652"/>
      <c r="AU1311" s="1654"/>
      <c r="AV1311" s="1655"/>
    </row>
    <row r="1312" spans="1:48" ht="16.5" customHeight="1">
      <c r="A1312" s="1640"/>
      <c r="B1312" s="1739"/>
      <c r="C1312" s="1666"/>
      <c r="D1312" s="1625"/>
      <c r="E1312" s="1628"/>
      <c r="F1312" s="1648"/>
      <c r="G1312" s="1625"/>
      <c r="H1312" s="1667"/>
      <c r="I1312" s="1629"/>
      <c r="J1312" s="1630"/>
      <c r="K1312" s="1631"/>
      <c r="L1312" s="1245"/>
      <c r="M1312" s="1320"/>
      <c r="N1312" s="1632" t="s">
        <v>25</v>
      </c>
      <c r="O1312" s="1726" t="s">
        <v>26</v>
      </c>
      <c r="P1312" s="1634">
        <v>1</v>
      </c>
      <c r="Q1312" s="1651">
        <v>72</v>
      </c>
      <c r="R1312" s="1646"/>
      <c r="S1312" s="1625"/>
      <c r="T1312" s="1634"/>
      <c r="U1312" s="1715">
        <v>7</v>
      </c>
      <c r="V1312" s="1762" t="s">
        <v>4</v>
      </c>
      <c r="W1312" s="1714"/>
      <c r="X1312" s="1650"/>
      <c r="Y1312" s="1623"/>
      <c r="Z1312" s="1672" t="s">
        <v>1274</v>
      </c>
      <c r="AA1312" s="1625"/>
      <c r="AB1312" s="1628"/>
      <c r="AC1312" s="1640"/>
      <c r="AD1312" s="1640"/>
      <c r="AE1312" s="1640"/>
      <c r="AF1312" s="1085"/>
      <c r="AG1312" s="1652"/>
      <c r="AH1312" s="1653">
        <v>1800000</v>
      </c>
      <c r="AI1312" s="1089">
        <f>AH1312*Q1312*0.6</f>
        <v>77760000</v>
      </c>
      <c r="AJ1312" s="1654"/>
      <c r="AK1312" s="1529"/>
      <c r="AL1312" s="1090">
        <f t="shared" si="109"/>
        <v>0</v>
      </c>
      <c r="AM1312" s="1652"/>
      <c r="AN1312" s="1652"/>
      <c r="AO1312" s="1653"/>
      <c r="AP1312" s="1640"/>
      <c r="AQ1312" s="1653"/>
      <c r="AR1312" s="1640"/>
      <c r="AS1312" s="1640"/>
      <c r="AT1312" s="1652"/>
      <c r="AU1312" s="1654"/>
      <c r="AV1312" s="1655"/>
    </row>
    <row r="1313" spans="1:48" ht="16.5" customHeight="1">
      <c r="A1313" s="1640"/>
      <c r="B1313" s="1739"/>
      <c r="C1313" s="1666"/>
      <c r="D1313" s="1625"/>
      <c r="E1313" s="1628"/>
      <c r="F1313" s="1648"/>
      <c r="G1313" s="1625"/>
      <c r="H1313" s="1667"/>
      <c r="I1313" s="1629"/>
      <c r="J1313" s="1630"/>
      <c r="K1313" s="1631"/>
      <c r="L1313" s="1245"/>
      <c r="M1313" s="1320"/>
      <c r="N1313" s="1632" t="s">
        <v>16</v>
      </c>
      <c r="O1313" s="1726" t="s">
        <v>59</v>
      </c>
      <c r="P1313" s="1634">
        <v>1</v>
      </c>
      <c r="Q1313" s="1651">
        <v>12</v>
      </c>
      <c r="R1313" s="1646"/>
      <c r="S1313" s="1625"/>
      <c r="T1313" s="1634"/>
      <c r="U1313" s="1715">
        <v>8</v>
      </c>
      <c r="V1313" s="1762" t="s">
        <v>221</v>
      </c>
      <c r="W1313" s="1714"/>
      <c r="X1313" s="1650"/>
      <c r="Y1313" s="1623"/>
      <c r="Z1313" s="1672">
        <v>10</v>
      </c>
      <c r="AA1313" s="1625"/>
      <c r="AB1313" s="1628"/>
      <c r="AC1313" s="1640"/>
      <c r="AD1313" s="1640"/>
      <c r="AE1313" s="1640"/>
      <c r="AF1313" s="1085"/>
      <c r="AG1313" s="1652"/>
      <c r="AH1313" s="1087">
        <v>180000</v>
      </c>
      <c r="AI1313" s="1089">
        <f>AH1313*Q1313*0.5</f>
        <v>1080000</v>
      </c>
      <c r="AJ1313" s="1654"/>
      <c r="AK1313" s="1529"/>
      <c r="AL1313" s="1090">
        <f t="shared" si="109"/>
        <v>0</v>
      </c>
      <c r="AM1313" s="1652"/>
      <c r="AN1313" s="1652"/>
      <c r="AO1313" s="1653"/>
      <c r="AP1313" s="1640"/>
      <c r="AQ1313" s="1653"/>
      <c r="AR1313" s="1640"/>
      <c r="AS1313" s="1640"/>
      <c r="AT1313" s="1652"/>
      <c r="AU1313" s="1654"/>
      <c r="AV1313" s="1655"/>
    </row>
    <row r="1314" spans="1:48" ht="16.5" customHeight="1">
      <c r="A1314" s="1640"/>
      <c r="B1314" s="1739"/>
      <c r="C1314" s="1666"/>
      <c r="D1314" s="1625"/>
      <c r="E1314" s="1628"/>
      <c r="F1314" s="1648"/>
      <c r="G1314" s="1625"/>
      <c r="H1314" s="1667"/>
      <c r="I1314" s="1629"/>
      <c r="J1314" s="1630"/>
      <c r="K1314" s="1631"/>
      <c r="L1314" s="1245"/>
      <c r="M1314" s="1320"/>
      <c r="N1314" s="1632" t="s">
        <v>18</v>
      </c>
      <c r="O1314" s="1726" t="s">
        <v>21</v>
      </c>
      <c r="P1314" s="1634">
        <v>1</v>
      </c>
      <c r="Q1314" s="1651">
        <v>12</v>
      </c>
      <c r="R1314" s="1646"/>
      <c r="S1314" s="1625"/>
      <c r="T1314" s="1634"/>
      <c r="U1314" s="1715">
        <v>9</v>
      </c>
      <c r="V1314" s="1762" t="s">
        <v>1284</v>
      </c>
      <c r="W1314" s="1714"/>
      <c r="X1314" s="1650"/>
      <c r="Y1314" s="1623"/>
      <c r="Z1314" s="1672">
        <v>7</v>
      </c>
      <c r="AA1314" s="1625"/>
      <c r="AB1314" s="1628"/>
      <c r="AC1314" s="1640"/>
      <c r="AD1314" s="1640"/>
      <c r="AE1314" s="1640"/>
      <c r="AF1314" s="1085"/>
      <c r="AG1314" s="1652"/>
      <c r="AH1314" s="1653">
        <v>100000</v>
      </c>
      <c r="AI1314" s="1089">
        <f>AH1314*Q1314*0.6</f>
        <v>720000</v>
      </c>
      <c r="AJ1314" s="1654"/>
      <c r="AK1314" s="1529">
        <v>3000</v>
      </c>
      <c r="AL1314" s="1090">
        <f t="shared" si="109"/>
        <v>0</v>
      </c>
      <c r="AM1314" s="1652"/>
      <c r="AN1314" s="1652"/>
      <c r="AO1314" s="1653"/>
      <c r="AP1314" s="1640"/>
      <c r="AQ1314" s="1653"/>
      <c r="AR1314" s="1640"/>
      <c r="AS1314" s="1640"/>
      <c r="AT1314" s="1652"/>
      <c r="AU1314" s="1654"/>
      <c r="AV1314" s="1655"/>
    </row>
    <row r="1315" spans="1:48" ht="16.5" customHeight="1">
      <c r="A1315" s="1640"/>
      <c r="B1315" s="1739"/>
      <c r="C1315" s="1666"/>
      <c r="D1315" s="1625"/>
      <c r="E1315" s="1628"/>
      <c r="F1315" s="1648"/>
      <c r="G1315" s="1625"/>
      <c r="H1315" s="1667"/>
      <c r="I1315" s="1629"/>
      <c r="J1315" s="1630"/>
      <c r="K1315" s="1631"/>
      <c r="L1315" s="1245"/>
      <c r="M1315" s="1320"/>
      <c r="N1315" s="1632"/>
      <c r="O1315" s="1633"/>
      <c r="P1315" s="1634"/>
      <c r="Q1315" s="1651"/>
      <c r="R1315" s="1646"/>
      <c r="S1315" s="1625"/>
      <c r="T1315" s="1634"/>
      <c r="U1315" s="1715">
        <v>10</v>
      </c>
      <c r="V1315" s="1762" t="s">
        <v>6</v>
      </c>
      <c r="W1315" s="1714"/>
      <c r="X1315" s="1650"/>
      <c r="Y1315" s="1807"/>
      <c r="Z1315" s="1672">
        <v>3</v>
      </c>
      <c r="AA1315" s="1625"/>
      <c r="AB1315" s="1628"/>
      <c r="AC1315" s="1640"/>
      <c r="AD1315" s="1640"/>
      <c r="AE1315" s="1640"/>
      <c r="AF1315" s="1085"/>
      <c r="AG1315" s="1652"/>
      <c r="AH1315" s="1653"/>
      <c r="AI1315" s="1653"/>
      <c r="AJ1315" s="1654"/>
      <c r="AK1315" s="1529">
        <v>10000</v>
      </c>
      <c r="AL1315" s="1090">
        <f t="shared" si="109"/>
        <v>0</v>
      </c>
      <c r="AM1315" s="1652"/>
      <c r="AN1315" s="1652"/>
      <c r="AO1315" s="1653"/>
      <c r="AP1315" s="1640"/>
      <c r="AQ1315" s="1653"/>
      <c r="AR1315" s="1640"/>
      <c r="AS1315" s="1640"/>
      <c r="AT1315" s="1652"/>
      <c r="AU1315" s="1654"/>
      <c r="AV1315" s="1655"/>
    </row>
    <row r="1316" spans="1:48" ht="16.5" customHeight="1">
      <c r="A1316" s="1640"/>
      <c r="B1316" s="1739"/>
      <c r="C1316" s="1666"/>
      <c r="D1316" s="1625"/>
      <c r="E1316" s="1628"/>
      <c r="F1316" s="1648"/>
      <c r="G1316" s="1625"/>
      <c r="H1316" s="1667"/>
      <c r="I1316" s="1629"/>
      <c r="J1316" s="1630"/>
      <c r="K1316" s="1631"/>
      <c r="L1316" s="1245"/>
      <c r="M1316" s="1320"/>
      <c r="N1316" s="1632"/>
      <c r="O1316" s="1633"/>
      <c r="P1316" s="1634"/>
      <c r="Q1316" s="1651"/>
      <c r="R1316" s="1646"/>
      <c r="S1316" s="1625"/>
      <c r="T1316" s="1634"/>
      <c r="U1316" s="1715">
        <v>11</v>
      </c>
      <c r="V1316" s="1762" t="s">
        <v>268</v>
      </c>
      <c r="W1316" s="1714"/>
      <c r="X1316" s="1650"/>
      <c r="Y1316" s="1623">
        <v>3</v>
      </c>
      <c r="Z1316" s="1672">
        <f>SUM(W1316:Y1316)</f>
        <v>3</v>
      </c>
      <c r="AA1316" s="1625"/>
      <c r="AB1316" s="1628"/>
      <c r="AC1316" s="1640"/>
      <c r="AD1316" s="1640"/>
      <c r="AE1316" s="1640"/>
      <c r="AF1316" s="1085"/>
      <c r="AG1316" s="1652"/>
      <c r="AH1316" s="1653"/>
      <c r="AI1316" s="1653"/>
      <c r="AJ1316" s="1654"/>
      <c r="AK1316" s="1529">
        <v>66000</v>
      </c>
      <c r="AL1316" s="1090">
        <f>AK1316*Y1316</f>
        <v>198000</v>
      </c>
      <c r="AM1316" s="1652"/>
      <c r="AN1316" s="1652"/>
      <c r="AO1316" s="1653"/>
      <c r="AP1316" s="1640"/>
      <c r="AQ1316" s="1653"/>
      <c r="AR1316" s="1640"/>
      <c r="AS1316" s="1640"/>
      <c r="AT1316" s="1652"/>
      <c r="AU1316" s="1654"/>
      <c r="AV1316" s="1655"/>
    </row>
    <row r="1317" spans="1:48" ht="33" customHeight="1">
      <c r="A1317" s="1640"/>
      <c r="B1317" s="1739"/>
      <c r="C1317" s="1666"/>
      <c r="D1317" s="1625"/>
      <c r="E1317" s="1628"/>
      <c r="F1317" s="1648"/>
      <c r="G1317" s="1625"/>
      <c r="H1317" s="1667"/>
      <c r="I1317" s="1629"/>
      <c r="J1317" s="1630"/>
      <c r="K1317" s="1631"/>
      <c r="L1317" s="1245"/>
      <c r="M1317" s="1320"/>
      <c r="N1317" s="1632"/>
      <c r="O1317" s="1633"/>
      <c r="P1317" s="1634"/>
      <c r="Q1317" s="1651"/>
      <c r="R1317" s="1646"/>
      <c r="S1317" s="1625"/>
      <c r="T1317" s="1634"/>
      <c r="U1317" s="1715">
        <v>12</v>
      </c>
      <c r="V1317" s="1762" t="s">
        <v>1283</v>
      </c>
      <c r="W1317" s="1714"/>
      <c r="X1317" s="1650"/>
      <c r="Y1317" s="1623"/>
      <c r="Z1317" s="1672" t="s">
        <v>1282</v>
      </c>
      <c r="AA1317" s="1625"/>
      <c r="AB1317" s="1628"/>
      <c r="AC1317" s="1640"/>
      <c r="AD1317" s="1640"/>
      <c r="AE1317" s="1640"/>
      <c r="AF1317" s="1085"/>
      <c r="AG1317" s="1652"/>
      <c r="AH1317" s="1653"/>
      <c r="AI1317" s="1653"/>
      <c r="AJ1317" s="1654"/>
      <c r="AK1317" s="1529"/>
      <c r="AL1317" s="1090">
        <f t="shared" si="109"/>
        <v>0</v>
      </c>
      <c r="AM1317" s="1652"/>
      <c r="AN1317" s="1652"/>
      <c r="AO1317" s="1653"/>
      <c r="AP1317" s="1640"/>
      <c r="AQ1317" s="1653"/>
      <c r="AR1317" s="1640"/>
      <c r="AS1317" s="1640"/>
      <c r="AT1317" s="1652"/>
      <c r="AU1317" s="1654"/>
      <c r="AV1317" s="1655"/>
    </row>
    <row r="1318" spans="1:48" ht="16.5" customHeight="1">
      <c r="A1318" s="1640"/>
      <c r="B1318" s="1739"/>
      <c r="C1318" s="1666"/>
      <c r="D1318" s="1625"/>
      <c r="E1318" s="1628"/>
      <c r="F1318" s="1648"/>
      <c r="G1318" s="1625"/>
      <c r="H1318" s="1667"/>
      <c r="I1318" s="1629"/>
      <c r="J1318" s="1630"/>
      <c r="K1318" s="1631"/>
      <c r="L1318" s="1245"/>
      <c r="M1318" s="1320"/>
      <c r="N1318" s="1632"/>
      <c r="O1318" s="1633"/>
      <c r="P1318" s="1634"/>
      <c r="Q1318" s="1651"/>
      <c r="R1318" s="1646"/>
      <c r="S1318" s="1625"/>
      <c r="T1318" s="1634"/>
      <c r="U1318" s="1715">
        <v>13</v>
      </c>
      <c r="V1318" s="1762" t="s">
        <v>88</v>
      </c>
      <c r="W1318" s="1714"/>
      <c r="X1318" s="1650"/>
      <c r="Y1318" s="1623"/>
      <c r="Z1318" s="1672">
        <v>6</v>
      </c>
      <c r="AA1318" s="1625"/>
      <c r="AB1318" s="1628"/>
      <c r="AC1318" s="1640"/>
      <c r="AD1318" s="1640"/>
      <c r="AE1318" s="1640"/>
      <c r="AF1318" s="1085"/>
      <c r="AG1318" s="1652"/>
      <c r="AH1318" s="1653"/>
      <c r="AI1318" s="1653"/>
      <c r="AJ1318" s="1654"/>
      <c r="AK1318" s="1529">
        <v>20000</v>
      </c>
      <c r="AL1318" s="1090">
        <f t="shared" si="109"/>
        <v>0</v>
      </c>
      <c r="AM1318" s="1652"/>
      <c r="AN1318" s="1652"/>
      <c r="AO1318" s="1653"/>
      <c r="AP1318" s="1640"/>
      <c r="AQ1318" s="1653"/>
      <c r="AR1318" s="1640"/>
      <c r="AS1318" s="1640"/>
      <c r="AT1318" s="1652"/>
      <c r="AU1318" s="1654"/>
      <c r="AV1318" s="1655"/>
    </row>
    <row r="1319" spans="1:48" ht="16.5" customHeight="1">
      <c r="A1319" s="1640"/>
      <c r="B1319" s="1739"/>
      <c r="C1319" s="1666"/>
      <c r="D1319" s="1625"/>
      <c r="E1319" s="1628"/>
      <c r="F1319" s="1648"/>
      <c r="G1319" s="1625"/>
      <c r="H1319" s="1667"/>
      <c r="I1319" s="1629"/>
      <c r="J1319" s="1630"/>
      <c r="K1319" s="1631"/>
      <c r="L1319" s="1245"/>
      <c r="M1319" s="1320"/>
      <c r="N1319" s="1632"/>
      <c r="O1319" s="1633"/>
      <c r="P1319" s="1634"/>
      <c r="Q1319" s="1651"/>
      <c r="R1319" s="1646"/>
      <c r="S1319" s="1625"/>
      <c r="T1319" s="1634"/>
      <c r="U1319" s="1715">
        <v>14</v>
      </c>
      <c r="V1319" s="1762" t="s">
        <v>410</v>
      </c>
      <c r="W1319" s="1714">
        <v>3</v>
      </c>
      <c r="X1319" s="1650"/>
      <c r="Y1319" s="1623"/>
      <c r="Z1319" s="1672">
        <f>SUM(W1319:Y1319)</f>
        <v>3</v>
      </c>
      <c r="AA1319" s="1625"/>
      <c r="AB1319" s="1628"/>
      <c r="AC1319" s="1640"/>
      <c r="AD1319" s="1640"/>
      <c r="AE1319" s="1640"/>
      <c r="AF1319" s="1085"/>
      <c r="AG1319" s="1652"/>
      <c r="AH1319" s="1653"/>
      <c r="AI1319" s="1653"/>
      <c r="AJ1319" s="1654"/>
      <c r="AK1319" s="1529">
        <v>125000</v>
      </c>
      <c r="AL1319" s="1090">
        <f t="shared" si="109"/>
        <v>375000</v>
      </c>
      <c r="AM1319" s="1652"/>
      <c r="AN1319" s="1652"/>
      <c r="AO1319" s="1653"/>
      <c r="AP1319" s="1640"/>
      <c r="AQ1319" s="1653"/>
      <c r="AR1319" s="1640"/>
      <c r="AS1319" s="1640"/>
      <c r="AT1319" s="1652"/>
      <c r="AU1319" s="1654"/>
      <c r="AV1319" s="1655"/>
    </row>
    <row r="1320" spans="1:48" ht="16.5" customHeight="1">
      <c r="A1320" s="1640"/>
      <c r="B1320" s="1739"/>
      <c r="C1320" s="1666"/>
      <c r="D1320" s="1625"/>
      <c r="E1320" s="1628"/>
      <c r="F1320" s="1648"/>
      <c r="G1320" s="1625"/>
      <c r="H1320" s="1667"/>
      <c r="I1320" s="1629"/>
      <c r="J1320" s="1630"/>
      <c r="K1320" s="1631"/>
      <c r="L1320" s="1245"/>
      <c r="M1320" s="1320"/>
      <c r="N1320" s="1632"/>
      <c r="O1320" s="1633"/>
      <c r="P1320" s="1634"/>
      <c r="Q1320" s="1651"/>
      <c r="R1320" s="1646"/>
      <c r="S1320" s="1625"/>
      <c r="T1320" s="1634"/>
      <c r="U1320" s="1715">
        <v>15</v>
      </c>
      <c r="V1320" s="1762" t="s">
        <v>1281</v>
      </c>
      <c r="W1320" s="1714">
        <v>7</v>
      </c>
      <c r="X1320" s="1650"/>
      <c r="Y1320" s="1623"/>
      <c r="Z1320" s="1672">
        <f>SUM(W1320:Y1320)</f>
        <v>7</v>
      </c>
      <c r="AA1320" s="1625"/>
      <c r="AB1320" s="1628"/>
      <c r="AC1320" s="1640"/>
      <c r="AD1320" s="1640"/>
      <c r="AE1320" s="1640"/>
      <c r="AF1320" s="1085"/>
      <c r="AG1320" s="1652"/>
      <c r="AH1320" s="1653"/>
      <c r="AI1320" s="1653"/>
      <c r="AJ1320" s="1654"/>
      <c r="AK1320" s="1529">
        <v>20100</v>
      </c>
      <c r="AL1320" s="1090">
        <f t="shared" si="109"/>
        <v>140700</v>
      </c>
      <c r="AM1320" s="1652"/>
      <c r="AN1320" s="1652"/>
      <c r="AO1320" s="1653"/>
      <c r="AP1320" s="1640"/>
      <c r="AQ1320" s="1653"/>
      <c r="AR1320" s="1640"/>
      <c r="AS1320" s="1640"/>
      <c r="AT1320" s="1652"/>
      <c r="AU1320" s="1654"/>
      <c r="AV1320" s="1655"/>
    </row>
    <row r="1321" spans="1:48" ht="16.5" customHeight="1">
      <c r="A1321" s="1640"/>
      <c r="B1321" s="1739"/>
      <c r="C1321" s="1666"/>
      <c r="D1321" s="1625"/>
      <c r="E1321" s="1628"/>
      <c r="F1321" s="1648"/>
      <c r="G1321" s="1625"/>
      <c r="H1321" s="1667"/>
      <c r="I1321" s="1629"/>
      <c r="J1321" s="1630"/>
      <c r="K1321" s="1631"/>
      <c r="L1321" s="1245"/>
      <c r="M1321" s="1320"/>
      <c r="N1321" s="1632"/>
      <c r="O1321" s="1633"/>
      <c r="P1321" s="1634"/>
      <c r="Q1321" s="1651"/>
      <c r="R1321" s="1646"/>
      <c r="S1321" s="1625"/>
      <c r="T1321" s="1634"/>
      <c r="U1321" s="1715">
        <v>16</v>
      </c>
      <c r="V1321" s="1762" t="s">
        <v>34</v>
      </c>
      <c r="W1321" s="1714">
        <v>1</v>
      </c>
      <c r="X1321" s="1650"/>
      <c r="Y1321" s="1623"/>
      <c r="Z1321" s="1672">
        <f>SUM(W1321:Y1321)</f>
        <v>1</v>
      </c>
      <c r="AA1321" s="1625"/>
      <c r="AB1321" s="1628"/>
      <c r="AC1321" s="1640"/>
      <c r="AD1321" s="1640"/>
      <c r="AE1321" s="1640"/>
      <c r="AF1321" s="1085"/>
      <c r="AG1321" s="1652"/>
      <c r="AH1321" s="1653"/>
      <c r="AI1321" s="1653"/>
      <c r="AJ1321" s="1654"/>
      <c r="AK1321" s="1089">
        <v>125000</v>
      </c>
      <c r="AL1321" s="1090">
        <f t="shared" si="109"/>
        <v>125000</v>
      </c>
      <c r="AM1321" s="1652"/>
      <c r="AN1321" s="1652"/>
      <c r="AO1321" s="1653"/>
      <c r="AP1321" s="1640"/>
      <c r="AQ1321" s="1653"/>
      <c r="AR1321" s="1640"/>
      <c r="AS1321" s="1640"/>
      <c r="AT1321" s="1652"/>
      <c r="AU1321" s="1654"/>
      <c r="AV1321" s="1655"/>
    </row>
    <row r="1322" spans="1:48" ht="16.5" customHeight="1">
      <c r="A1322" s="1673"/>
      <c r="B1322" s="1734"/>
      <c r="C1322" s="1675"/>
      <c r="D1322" s="1676"/>
      <c r="E1322" s="1727"/>
      <c r="F1322" s="1678"/>
      <c r="G1322" s="1676"/>
      <c r="H1322" s="1679"/>
      <c r="I1322" s="1680"/>
      <c r="J1322" s="1681"/>
      <c r="K1322" s="1682"/>
      <c r="L1322" s="1270"/>
      <c r="M1322" s="1549"/>
      <c r="N1322" s="1683"/>
      <c r="O1322" s="1684"/>
      <c r="P1322" s="1685"/>
      <c r="Q1322" s="1787"/>
      <c r="R1322" s="1686"/>
      <c r="S1322" s="1676"/>
      <c r="T1322" s="1685"/>
      <c r="U1322" s="1717"/>
      <c r="V1322" s="2027"/>
      <c r="W1322" s="1719"/>
      <c r="X1322" s="1720"/>
      <c r="Y1322" s="1721"/>
      <c r="Z1322" s="1693"/>
      <c r="AA1322" s="1676"/>
      <c r="AB1322" s="1727"/>
      <c r="AC1322" s="1673"/>
      <c r="AD1322" s="1673"/>
      <c r="AE1322" s="1673"/>
      <c r="AF1322" s="1115"/>
      <c r="AG1322" s="1694"/>
      <c r="AH1322" s="1695"/>
      <c r="AI1322" s="1695"/>
      <c r="AJ1322" s="1696"/>
      <c r="AK1322" s="1604"/>
      <c r="AL1322" s="1120"/>
      <c r="AM1322" s="1694"/>
      <c r="AN1322" s="1694"/>
      <c r="AO1322" s="1695"/>
      <c r="AP1322" s="1673"/>
      <c r="AQ1322" s="1695"/>
      <c r="AR1322" s="1673"/>
      <c r="AS1322" s="1673"/>
      <c r="AT1322" s="1694"/>
      <c r="AU1322" s="1696"/>
      <c r="AV1322" s="1655"/>
    </row>
    <row r="1323" spans="1:48" ht="33" customHeight="1">
      <c r="A1323" s="1641">
        <v>103</v>
      </c>
      <c r="B1323" s="1699" t="s">
        <v>25</v>
      </c>
      <c r="C1323" s="1792" t="s">
        <v>723</v>
      </c>
      <c r="D1323" s="1704"/>
      <c r="E1323" s="1808"/>
      <c r="F1323" s="1730" t="s">
        <v>1083</v>
      </c>
      <c r="G1323" s="1702"/>
      <c r="H1323" s="1809"/>
      <c r="I1323" s="1810">
        <v>388</v>
      </c>
      <c r="J1323" s="1783" t="s">
        <v>41</v>
      </c>
      <c r="K1323" s="1722" t="s">
        <v>1280</v>
      </c>
      <c r="L1323" s="1373"/>
      <c r="M1323" s="1317"/>
      <c r="N1323" s="1707" t="s">
        <v>25</v>
      </c>
      <c r="O1323" s="1723" t="s">
        <v>274</v>
      </c>
      <c r="P1323" s="1709">
        <v>1</v>
      </c>
      <c r="Q1323" s="1707">
        <v>74.23</v>
      </c>
      <c r="R1323" s="1791" t="s">
        <v>25</v>
      </c>
      <c r="S1323" s="1702" t="s">
        <v>24</v>
      </c>
      <c r="T1323" s="1709">
        <v>2</v>
      </c>
      <c r="U1323" s="1710">
        <v>1</v>
      </c>
      <c r="V1323" s="1711" t="s">
        <v>58</v>
      </c>
      <c r="W1323" s="1712"/>
      <c r="X1323" s="1713">
        <v>2</v>
      </c>
      <c r="Y1323" s="1700"/>
      <c r="Z1323" s="1761">
        <f>SUM(X1323:Y1323)</f>
        <v>2</v>
      </c>
      <c r="AA1323" s="1702"/>
      <c r="AB1323" s="1809"/>
      <c r="AC1323" s="1641"/>
      <c r="AD1323" s="1710"/>
      <c r="AE1323" s="1766"/>
      <c r="AF1323" s="1056">
        <f>+Resum!F4</f>
        <v>204000</v>
      </c>
      <c r="AG1323" s="1086">
        <f>AF1323*I1323</f>
        <v>79152000</v>
      </c>
      <c r="AH1323" s="1058">
        <v>1800000</v>
      </c>
      <c r="AI1323" s="1089">
        <f>AH1323*Q1323*0.8</f>
        <v>106891200</v>
      </c>
      <c r="AJ1323" s="1811">
        <f>SUM(AI1323:AI1329)</f>
        <v>116377800</v>
      </c>
      <c r="AK1323" s="1529">
        <v>150000</v>
      </c>
      <c r="AL1323" s="1090">
        <f>AK1323*X1323</f>
        <v>300000</v>
      </c>
      <c r="AM1323" s="1057">
        <f>SUM(AL1323:AL1334)</f>
        <v>2744000</v>
      </c>
      <c r="AN1323" s="1086">
        <f>AM1323+AJ1323+AG1323</f>
        <v>198273800</v>
      </c>
      <c r="AO1323" s="1058"/>
      <c r="AP1323" s="1136">
        <f>(AI1323+55080000)*15%</f>
        <v>24295680</v>
      </c>
      <c r="AQ1323" s="1087">
        <f>(AG1323+AI1323)*1%</f>
        <v>1860432</v>
      </c>
      <c r="AR1323" s="1136">
        <f>(AG1323+AI1323)*5%</f>
        <v>9302160</v>
      </c>
      <c r="AS1323" s="1087">
        <f>0.5%*(AG1323+AI1323)*(3)</f>
        <v>2790648</v>
      </c>
      <c r="AT1323" s="1086">
        <f>+AS1323+AR1323+AQ1323+AP1323+AO1323</f>
        <v>38248920</v>
      </c>
      <c r="AU1323" s="1137">
        <f>ROUND(AT1323+AN1323,-3)</f>
        <v>236523000</v>
      </c>
      <c r="AV1323" s="1812"/>
    </row>
    <row r="1324" spans="1:48" ht="16.5" customHeight="1">
      <c r="A1324" s="1640"/>
      <c r="B1324" s="1646" t="s">
        <v>16</v>
      </c>
      <c r="C1324" s="1647" t="s">
        <v>1279</v>
      </c>
      <c r="D1324" s="1627"/>
      <c r="E1324" s="1813"/>
      <c r="F1324" s="1648"/>
      <c r="G1324" s="1625"/>
      <c r="H1324" s="1667"/>
      <c r="I1324" s="1629"/>
      <c r="J1324" s="1630"/>
      <c r="K1324" s="1631"/>
      <c r="L1324" s="1245"/>
      <c r="M1324" s="1320"/>
      <c r="N1324" s="1632" t="s">
        <v>16</v>
      </c>
      <c r="O1324" s="1624" t="s">
        <v>21</v>
      </c>
      <c r="P1324" s="1634">
        <v>1</v>
      </c>
      <c r="Q1324" s="1632">
        <v>14.62</v>
      </c>
      <c r="R1324" s="1646"/>
      <c r="S1324" s="1625"/>
      <c r="T1324" s="1634"/>
      <c r="U1324" s="1635">
        <v>2</v>
      </c>
      <c r="V1324" s="1636" t="s">
        <v>88</v>
      </c>
      <c r="W1324" s="1714"/>
      <c r="X1324" s="1650">
        <v>30</v>
      </c>
      <c r="Y1324" s="1623"/>
      <c r="Z1324" s="1651">
        <f>SUM(X1324:Y1324)</f>
        <v>30</v>
      </c>
      <c r="AA1324" s="1625"/>
      <c r="AB1324" s="1667"/>
      <c r="AC1324" s="1640"/>
      <c r="AD1324" s="1635"/>
      <c r="AE1324" s="1764"/>
      <c r="AF1324" s="1085"/>
      <c r="AG1324" s="1086"/>
      <c r="AH1324" s="1087">
        <v>350000</v>
      </c>
      <c r="AI1324" s="1089">
        <f>AH1324*Q1324*0.7</f>
        <v>3581900</v>
      </c>
      <c r="AJ1324" s="1768"/>
      <c r="AK1324" s="1089">
        <v>55000</v>
      </c>
      <c r="AL1324" s="1090">
        <f>AK1324*X1324</f>
        <v>1650000</v>
      </c>
      <c r="AM1324" s="1086"/>
      <c r="AN1324" s="1086"/>
      <c r="AO1324" s="1087"/>
      <c r="AP1324" s="1764"/>
      <c r="AQ1324" s="1087"/>
      <c r="AR1324" s="1764"/>
      <c r="AS1324" s="1764"/>
      <c r="AT1324" s="1086"/>
      <c r="AU1324" s="1768"/>
      <c r="AV1324" s="1814"/>
    </row>
    <row r="1325" spans="1:48" ht="16.5" customHeight="1">
      <c r="A1325" s="1640"/>
      <c r="B1325" s="1646" t="s">
        <v>18</v>
      </c>
      <c r="C1325" s="1659" t="s">
        <v>1278</v>
      </c>
      <c r="D1325" s="1627"/>
      <c r="E1325" s="1813"/>
      <c r="F1325" s="1648"/>
      <c r="G1325" s="1625"/>
      <c r="H1325" s="1667"/>
      <c r="I1325" s="1629"/>
      <c r="J1325" s="1630"/>
      <c r="K1325" s="1631"/>
      <c r="L1325" s="1245"/>
      <c r="M1325" s="1320"/>
      <c r="N1325" s="1632" t="s">
        <v>18</v>
      </c>
      <c r="O1325" s="1624" t="s">
        <v>59</v>
      </c>
      <c r="P1325" s="1634">
        <v>1</v>
      </c>
      <c r="Q1325" s="1632">
        <v>6.46</v>
      </c>
      <c r="R1325" s="1646"/>
      <c r="S1325" s="1625"/>
      <c r="T1325" s="1634"/>
      <c r="U1325" s="1635"/>
      <c r="V1325" s="1636"/>
      <c r="W1325" s="1714"/>
      <c r="X1325" s="1650"/>
      <c r="Y1325" s="1623"/>
      <c r="Z1325" s="1651"/>
      <c r="AA1325" s="1625"/>
      <c r="AB1325" s="1667"/>
      <c r="AC1325" s="1640"/>
      <c r="AD1325" s="1635"/>
      <c r="AE1325" s="1764"/>
      <c r="AF1325" s="1085"/>
      <c r="AG1325" s="1086"/>
      <c r="AH1325" s="1087">
        <v>180000</v>
      </c>
      <c r="AI1325" s="1089">
        <f>AH1325*Q1325*0.5</f>
        <v>581400</v>
      </c>
      <c r="AJ1325" s="1768"/>
      <c r="AK1325" s="1089"/>
      <c r="AL1325" s="1090"/>
      <c r="AM1325" s="1086"/>
      <c r="AN1325" s="1086"/>
      <c r="AO1325" s="1087"/>
      <c r="AP1325" s="1764"/>
      <c r="AQ1325" s="1087"/>
      <c r="AR1325" s="1764"/>
      <c r="AS1325" s="1764"/>
      <c r="AT1325" s="1086"/>
      <c r="AU1325" s="1768"/>
      <c r="AV1325" s="1814"/>
    </row>
    <row r="1326" spans="1:48" ht="49.5" customHeight="1">
      <c r="A1326" s="1640"/>
      <c r="B1326" s="1658" t="s">
        <v>12</v>
      </c>
      <c r="C1326" s="1659" t="s">
        <v>1277</v>
      </c>
      <c r="D1326" s="1627"/>
      <c r="E1326" s="1813"/>
      <c r="F1326" s="1648"/>
      <c r="G1326" s="1625"/>
      <c r="H1326" s="1667"/>
      <c r="I1326" s="1629"/>
      <c r="J1326" s="1630"/>
      <c r="K1326" s="1631"/>
      <c r="L1326" s="1245"/>
      <c r="M1326" s="1320"/>
      <c r="N1326" s="1632" t="s">
        <v>12</v>
      </c>
      <c r="O1326" s="1624" t="s">
        <v>52</v>
      </c>
      <c r="P1326" s="1634">
        <v>1</v>
      </c>
      <c r="Q1326" s="1632">
        <v>20.46</v>
      </c>
      <c r="R1326" s="1646" t="s">
        <v>16</v>
      </c>
      <c r="S1326" s="1625" t="s">
        <v>15</v>
      </c>
      <c r="T1326" s="1634">
        <v>8</v>
      </c>
      <c r="U1326" s="1635">
        <v>1</v>
      </c>
      <c r="V1326" s="1636" t="s">
        <v>808</v>
      </c>
      <c r="W1326" s="1714"/>
      <c r="X1326" s="1650">
        <v>6</v>
      </c>
      <c r="Y1326" s="1623"/>
      <c r="Z1326" s="1651">
        <f>SUM(X1326:Y1326)</f>
        <v>6</v>
      </c>
      <c r="AA1326" s="1625"/>
      <c r="AB1326" s="1667"/>
      <c r="AC1326" s="1640"/>
      <c r="AD1326" s="1635"/>
      <c r="AE1326" s="1764"/>
      <c r="AF1326" s="1085"/>
      <c r="AG1326" s="1086"/>
      <c r="AH1326" s="1087">
        <v>210000</v>
      </c>
      <c r="AI1326" s="1089">
        <f>AH1326*Q1326*0.5</f>
        <v>2148300</v>
      </c>
      <c r="AJ1326" s="1768"/>
      <c r="AK1326" s="1089">
        <v>82500</v>
      </c>
      <c r="AL1326" s="1090">
        <f>AK1326*X1326</f>
        <v>495000</v>
      </c>
      <c r="AM1326" s="1086"/>
      <c r="AN1326" s="1086"/>
      <c r="AO1326" s="1087"/>
      <c r="AP1326" s="1764"/>
      <c r="AQ1326" s="1087"/>
      <c r="AR1326" s="1764"/>
      <c r="AS1326" s="1764"/>
      <c r="AT1326" s="1086"/>
      <c r="AU1326" s="1768"/>
      <c r="AV1326" s="1814"/>
    </row>
    <row r="1327" spans="1:48" ht="16.5" customHeight="1">
      <c r="A1327" s="1640"/>
      <c r="B1327" s="1658" t="s">
        <v>8</v>
      </c>
      <c r="C1327" s="1780" t="s">
        <v>1276</v>
      </c>
      <c r="D1327" s="1627"/>
      <c r="E1327" s="1813"/>
      <c r="F1327" s="1648"/>
      <c r="G1327" s="1625"/>
      <c r="H1327" s="1667"/>
      <c r="I1327" s="1629"/>
      <c r="J1327" s="1630"/>
      <c r="K1327" s="1631"/>
      <c r="L1327" s="1245"/>
      <c r="M1327" s="1320"/>
      <c r="N1327" s="1632" t="s">
        <v>8</v>
      </c>
      <c r="O1327" s="1624" t="s">
        <v>1790</v>
      </c>
      <c r="P1327" s="1634">
        <v>1</v>
      </c>
      <c r="Q1327" s="1632">
        <v>0.5</v>
      </c>
      <c r="R1327" s="1646"/>
      <c r="S1327" s="1625"/>
      <c r="T1327" s="1634"/>
      <c r="U1327" s="1635">
        <v>2</v>
      </c>
      <c r="V1327" s="1636" t="s">
        <v>48</v>
      </c>
      <c r="W1327" s="1714"/>
      <c r="X1327" s="1650">
        <v>20</v>
      </c>
      <c r="Y1327" s="1623"/>
      <c r="Z1327" s="1651">
        <f>SUM(X1327:Y1327)</f>
        <v>20</v>
      </c>
      <c r="AA1327" s="1625"/>
      <c r="AB1327" s="1667"/>
      <c r="AC1327" s="1640"/>
      <c r="AD1327" s="1635"/>
      <c r="AE1327" s="1764"/>
      <c r="AF1327" s="1085"/>
      <c r="AG1327" s="1086"/>
      <c r="AH1327" s="1087">
        <v>200000</v>
      </c>
      <c r="AI1327" s="1089">
        <f>AH1327*Q1327*0.5</f>
        <v>50000</v>
      </c>
      <c r="AJ1327" s="1768"/>
      <c r="AK1327" s="1089">
        <v>10000</v>
      </c>
      <c r="AL1327" s="1090">
        <f>AK1327*X1327</f>
        <v>200000</v>
      </c>
      <c r="AM1327" s="1086"/>
      <c r="AN1327" s="1086"/>
      <c r="AO1327" s="1087"/>
      <c r="AP1327" s="1764"/>
      <c r="AQ1327" s="1087"/>
      <c r="AR1327" s="1764"/>
      <c r="AS1327" s="1764"/>
      <c r="AT1327" s="1086"/>
      <c r="AU1327" s="1768"/>
      <c r="AV1327" s="1814"/>
    </row>
    <row r="1328" spans="1:48" ht="16.5" customHeight="1">
      <c r="A1328" s="1640"/>
      <c r="B1328" s="1658"/>
      <c r="C1328" s="1780"/>
      <c r="D1328" s="1627"/>
      <c r="E1328" s="1813"/>
      <c r="F1328" s="1648"/>
      <c r="G1328" s="1625"/>
      <c r="H1328" s="1667"/>
      <c r="I1328" s="1629"/>
      <c r="J1328" s="1630"/>
      <c r="K1328" s="1631"/>
      <c r="L1328" s="1245"/>
      <c r="M1328" s="1320"/>
      <c r="N1328" s="1632" t="s">
        <v>54</v>
      </c>
      <c r="O1328" s="1624" t="s">
        <v>17</v>
      </c>
      <c r="P1328" s="1634">
        <v>1</v>
      </c>
      <c r="Q1328" s="1632"/>
      <c r="R1328" s="1646"/>
      <c r="S1328" s="1625"/>
      <c r="T1328" s="1634"/>
      <c r="U1328" s="1635">
        <v>3</v>
      </c>
      <c r="V1328" s="1636" t="s">
        <v>307</v>
      </c>
      <c r="W1328" s="1714"/>
      <c r="X1328" s="1650">
        <v>2</v>
      </c>
      <c r="Y1328" s="1623"/>
      <c r="Z1328" s="1651">
        <f>SUM(X1328:Y1328)</f>
        <v>2</v>
      </c>
      <c r="AA1328" s="1625"/>
      <c r="AB1328" s="1667"/>
      <c r="AC1328" s="1640"/>
      <c r="AD1328" s="1635"/>
      <c r="AE1328" s="1764"/>
      <c r="AF1328" s="1085"/>
      <c r="AG1328" s="1086"/>
      <c r="AH1328" s="1087">
        <v>2500000</v>
      </c>
      <c r="AI1328" s="1089">
        <f>AH1328*P1328*0.5</f>
        <v>1250000</v>
      </c>
      <c r="AJ1328" s="1768"/>
      <c r="AK1328" s="1089">
        <v>49500</v>
      </c>
      <c r="AL1328" s="1090">
        <f>AK1328*X1328</f>
        <v>99000</v>
      </c>
      <c r="AM1328" s="1086"/>
      <c r="AN1328" s="1086"/>
      <c r="AO1328" s="1087"/>
      <c r="AP1328" s="1764"/>
      <c r="AQ1328" s="1087"/>
      <c r="AR1328" s="1764"/>
      <c r="AS1328" s="1764"/>
      <c r="AT1328" s="1086"/>
      <c r="AU1328" s="1768"/>
      <c r="AV1328" s="1814"/>
    </row>
    <row r="1329" spans="1:48" ht="16.5" customHeight="1">
      <c r="A1329" s="1640"/>
      <c r="B1329" s="1658"/>
      <c r="C1329" s="1780"/>
      <c r="D1329" s="1627"/>
      <c r="E1329" s="1813"/>
      <c r="F1329" s="1648"/>
      <c r="G1329" s="1625"/>
      <c r="H1329" s="1667"/>
      <c r="I1329" s="1629"/>
      <c r="J1329" s="1630"/>
      <c r="K1329" s="1631"/>
      <c r="L1329" s="1245"/>
      <c r="M1329" s="1320"/>
      <c r="N1329" s="1632" t="s">
        <v>53</v>
      </c>
      <c r="O1329" s="1624" t="s">
        <v>11</v>
      </c>
      <c r="P1329" s="1634">
        <v>1</v>
      </c>
      <c r="Q1329" s="1632"/>
      <c r="R1329" s="1646"/>
      <c r="S1329" s="1625"/>
      <c r="T1329" s="1634"/>
      <c r="U1329" s="1635">
        <v>4</v>
      </c>
      <c r="V1329" s="1636" t="s">
        <v>926</v>
      </c>
      <c r="W1329" s="1714"/>
      <c r="X1329" s="1650"/>
      <c r="Y1329" s="1623"/>
      <c r="Z1329" s="1651" t="s">
        <v>1275</v>
      </c>
      <c r="AA1329" s="1625"/>
      <c r="AB1329" s="1667"/>
      <c r="AC1329" s="1640"/>
      <c r="AD1329" s="1635"/>
      <c r="AE1329" s="1764"/>
      <c r="AF1329" s="1085"/>
      <c r="AG1329" s="1086"/>
      <c r="AH1329" s="1087">
        <v>2500000</v>
      </c>
      <c r="AI1329" s="1089">
        <f>AH1329*P1329*0.75</f>
        <v>1875000</v>
      </c>
      <c r="AJ1329" s="1768"/>
      <c r="AK1329" s="1089"/>
      <c r="AL1329" s="1090">
        <f t="shared" si="109"/>
        <v>0</v>
      </c>
      <c r="AM1329" s="1086"/>
      <c r="AN1329" s="1086"/>
      <c r="AO1329" s="1087"/>
      <c r="AP1329" s="1764"/>
      <c r="AQ1329" s="1087"/>
      <c r="AR1329" s="1764"/>
      <c r="AS1329" s="1764"/>
      <c r="AT1329" s="1086"/>
      <c r="AU1329" s="1768"/>
      <c r="AV1329" s="1814"/>
    </row>
    <row r="1330" spans="1:48" ht="16.5" customHeight="1">
      <c r="A1330" s="1640"/>
      <c r="B1330" s="1658"/>
      <c r="C1330" s="1780"/>
      <c r="D1330" s="1627"/>
      <c r="E1330" s="1813"/>
      <c r="F1330" s="1648"/>
      <c r="G1330" s="1625"/>
      <c r="H1330" s="1667"/>
      <c r="I1330" s="1629"/>
      <c r="J1330" s="1630"/>
      <c r="K1330" s="1631"/>
      <c r="L1330" s="1245"/>
      <c r="M1330" s="1320"/>
      <c r="N1330" s="1632"/>
      <c r="O1330" s="1633"/>
      <c r="P1330" s="1634"/>
      <c r="Q1330" s="1632"/>
      <c r="R1330" s="1646"/>
      <c r="S1330" s="1625"/>
      <c r="T1330" s="1634"/>
      <c r="U1330" s="1635">
        <v>5</v>
      </c>
      <c r="V1330" s="1636" t="s">
        <v>217</v>
      </c>
      <c r="W1330" s="1714"/>
      <c r="X1330" s="1650"/>
      <c r="Y1330" s="1623"/>
      <c r="Z1330" s="1651" t="s">
        <v>1274</v>
      </c>
      <c r="AA1330" s="1625"/>
      <c r="AB1330" s="1667"/>
      <c r="AC1330" s="1640"/>
      <c r="AD1330" s="1635"/>
      <c r="AE1330" s="1764"/>
      <c r="AF1330" s="1085"/>
      <c r="AG1330" s="1086"/>
      <c r="AH1330" s="1087"/>
      <c r="AI1330" s="1087"/>
      <c r="AJ1330" s="1768"/>
      <c r="AK1330" s="1089">
        <v>900</v>
      </c>
      <c r="AL1330" s="1090">
        <f t="shared" si="109"/>
        <v>0</v>
      </c>
      <c r="AM1330" s="1086"/>
      <c r="AN1330" s="1086"/>
      <c r="AO1330" s="1087"/>
      <c r="AP1330" s="1764"/>
      <c r="AQ1330" s="1087"/>
      <c r="AR1330" s="1764"/>
      <c r="AS1330" s="1764"/>
      <c r="AT1330" s="1086"/>
      <c r="AU1330" s="1768"/>
      <c r="AV1330" s="1814"/>
    </row>
    <row r="1331" spans="1:48" ht="16.5" customHeight="1">
      <c r="A1331" s="1640"/>
      <c r="B1331" s="1658"/>
      <c r="C1331" s="1780"/>
      <c r="D1331" s="1627"/>
      <c r="E1331" s="1813"/>
      <c r="F1331" s="1648"/>
      <c r="G1331" s="1625"/>
      <c r="H1331" s="1667"/>
      <c r="I1331" s="1629"/>
      <c r="J1331" s="1630"/>
      <c r="K1331" s="1631"/>
      <c r="L1331" s="1245"/>
      <c r="M1331" s="1320"/>
      <c r="N1331" s="1632"/>
      <c r="O1331" s="1633"/>
      <c r="P1331" s="1634"/>
      <c r="Q1331" s="1632"/>
      <c r="R1331" s="1646"/>
      <c r="S1331" s="1625"/>
      <c r="T1331" s="1634"/>
      <c r="U1331" s="1635">
        <v>6</v>
      </c>
      <c r="V1331" s="1636" t="s">
        <v>1273</v>
      </c>
      <c r="W1331" s="1714"/>
      <c r="X1331" s="1650"/>
      <c r="Y1331" s="1623"/>
      <c r="Z1331" s="1651">
        <v>20</v>
      </c>
      <c r="AA1331" s="1625"/>
      <c r="AB1331" s="1667"/>
      <c r="AC1331" s="1640"/>
      <c r="AD1331" s="1635"/>
      <c r="AE1331" s="1764"/>
      <c r="AF1331" s="1085"/>
      <c r="AG1331" s="1086"/>
      <c r="AH1331" s="1087"/>
      <c r="AI1331" s="1087"/>
      <c r="AJ1331" s="1768"/>
      <c r="AK1331" s="1089"/>
      <c r="AL1331" s="1090">
        <f t="shared" si="109"/>
        <v>0</v>
      </c>
      <c r="AM1331" s="1086"/>
      <c r="AN1331" s="1086"/>
      <c r="AO1331" s="1087"/>
      <c r="AP1331" s="1764"/>
      <c r="AQ1331" s="1087"/>
      <c r="AR1331" s="1764"/>
      <c r="AS1331" s="1764"/>
      <c r="AT1331" s="1086"/>
      <c r="AU1331" s="1768"/>
      <c r="AV1331" s="1814"/>
    </row>
    <row r="1332" spans="1:48" ht="16.5" customHeight="1">
      <c r="A1332" s="1640"/>
      <c r="B1332" s="1658"/>
      <c r="C1332" s="1659"/>
      <c r="D1332" s="1627"/>
      <c r="E1332" s="1813"/>
      <c r="F1332" s="1648"/>
      <c r="G1332" s="1625"/>
      <c r="H1332" s="1667"/>
      <c r="I1332" s="1629"/>
      <c r="J1332" s="1630"/>
      <c r="K1332" s="1631"/>
      <c r="L1332" s="1245"/>
      <c r="M1332" s="1320"/>
      <c r="N1332" s="1632"/>
      <c r="O1332" s="1633"/>
      <c r="P1332" s="1634"/>
      <c r="Q1332" s="1632"/>
      <c r="R1332" s="1646"/>
      <c r="S1332" s="1625"/>
      <c r="T1332" s="1634"/>
      <c r="U1332" s="1635">
        <v>7</v>
      </c>
      <c r="V1332" s="1636" t="s">
        <v>1228</v>
      </c>
      <c r="W1332" s="1714"/>
      <c r="X1332" s="1650"/>
      <c r="Y1332" s="1623"/>
      <c r="Z1332" s="1651">
        <v>15</v>
      </c>
      <c r="AA1332" s="1625"/>
      <c r="AB1332" s="1667"/>
      <c r="AC1332" s="1640"/>
      <c r="AD1332" s="1635"/>
      <c r="AE1332" s="1764"/>
      <c r="AF1332" s="1085"/>
      <c r="AG1332" s="1086"/>
      <c r="AH1332" s="1087"/>
      <c r="AI1332" s="1087"/>
      <c r="AJ1332" s="1768"/>
      <c r="AK1332" s="1089">
        <v>1725</v>
      </c>
      <c r="AL1332" s="1090">
        <f t="shared" si="109"/>
        <v>0</v>
      </c>
      <c r="AM1332" s="1086"/>
      <c r="AN1332" s="1086"/>
      <c r="AO1332" s="1087"/>
      <c r="AP1332" s="1764"/>
      <c r="AQ1332" s="1087"/>
      <c r="AR1332" s="1764"/>
      <c r="AS1332" s="1764"/>
      <c r="AT1332" s="1086"/>
      <c r="AU1332" s="1768"/>
      <c r="AV1332" s="1814"/>
    </row>
    <row r="1333" spans="1:48" ht="16.5" customHeight="1">
      <c r="A1333" s="1640"/>
      <c r="B1333" s="1658"/>
      <c r="C1333" s="1659"/>
      <c r="D1333" s="1627"/>
      <c r="E1333" s="1813"/>
      <c r="F1333" s="1648"/>
      <c r="G1333" s="1625"/>
      <c r="H1333" s="1667"/>
      <c r="I1333" s="1629"/>
      <c r="J1333" s="1630"/>
      <c r="K1333" s="1631"/>
      <c r="L1333" s="1245"/>
      <c r="M1333" s="1320"/>
      <c r="N1333" s="1632"/>
      <c r="O1333" s="1633"/>
      <c r="P1333" s="1634"/>
      <c r="Q1333" s="1632"/>
      <c r="R1333" s="1646"/>
      <c r="S1333" s="1625"/>
      <c r="T1333" s="1634"/>
      <c r="U1333" s="1635">
        <v>8</v>
      </c>
      <c r="V1333" s="1636" t="s">
        <v>412</v>
      </c>
      <c r="W1333" s="1714"/>
      <c r="X1333" s="1650"/>
      <c r="Y1333" s="1623"/>
      <c r="Z1333" s="1651" t="s">
        <v>1272</v>
      </c>
      <c r="AA1333" s="1625"/>
      <c r="AB1333" s="1667"/>
      <c r="AC1333" s="1640"/>
      <c r="AD1333" s="1635"/>
      <c r="AE1333" s="1764"/>
      <c r="AF1333" s="1085"/>
      <c r="AG1333" s="1086"/>
      <c r="AH1333" s="1087"/>
      <c r="AI1333" s="1087"/>
      <c r="AJ1333" s="1768"/>
      <c r="AK1333" s="1089">
        <v>6000</v>
      </c>
      <c r="AL1333" s="1090">
        <f t="shared" si="109"/>
        <v>0</v>
      </c>
      <c r="AM1333" s="1086"/>
      <c r="AN1333" s="1086"/>
      <c r="AO1333" s="1087"/>
      <c r="AP1333" s="1764"/>
      <c r="AQ1333" s="1087"/>
      <c r="AR1333" s="1764"/>
      <c r="AS1333" s="1764"/>
      <c r="AT1333" s="1086"/>
      <c r="AU1333" s="1768"/>
      <c r="AV1333" s="1814"/>
    </row>
    <row r="1334" spans="1:48" ht="16.5" customHeight="1">
      <c r="A1334" s="1673"/>
      <c r="B1334" s="1674"/>
      <c r="C1334" s="1675"/>
      <c r="D1334" s="1801"/>
      <c r="E1334" s="1815"/>
      <c r="F1334" s="1678"/>
      <c r="G1334" s="1676"/>
      <c r="H1334" s="1679"/>
      <c r="I1334" s="1680"/>
      <c r="J1334" s="1681"/>
      <c r="K1334" s="1682"/>
      <c r="L1334" s="1270"/>
      <c r="M1334" s="1549"/>
      <c r="N1334" s="1632"/>
      <c r="O1334" s="1633"/>
      <c r="P1334" s="1634"/>
      <c r="Q1334" s="1632"/>
      <c r="R1334" s="1646"/>
      <c r="S1334" s="1625"/>
      <c r="T1334" s="1634"/>
      <c r="U1334" s="1635"/>
      <c r="V1334" s="1636"/>
      <c r="W1334" s="1714"/>
      <c r="X1334" s="1650"/>
      <c r="Y1334" s="1623"/>
      <c r="Z1334" s="1651"/>
      <c r="AA1334" s="1625"/>
      <c r="AB1334" s="1667"/>
      <c r="AC1334" s="1640"/>
      <c r="AD1334" s="1635"/>
      <c r="AE1334" s="1764"/>
      <c r="AF1334" s="1085"/>
      <c r="AG1334" s="1116"/>
      <c r="AH1334" s="1087"/>
      <c r="AI1334" s="1087"/>
      <c r="AJ1334" s="1768"/>
      <c r="AK1334" s="1089"/>
      <c r="AL1334" s="1120"/>
      <c r="AM1334" s="1086"/>
      <c r="AN1334" s="1116"/>
      <c r="AO1334" s="1087"/>
      <c r="AP1334" s="1774"/>
      <c r="AQ1334" s="1117"/>
      <c r="AR1334" s="1774"/>
      <c r="AS1334" s="1774"/>
      <c r="AT1334" s="1116"/>
      <c r="AU1334" s="1775"/>
      <c r="AV1334" s="1814"/>
    </row>
    <row r="1335" spans="1:48" ht="33" customHeight="1">
      <c r="A1335" s="1698">
        <v>104</v>
      </c>
      <c r="B1335" s="1699" t="s">
        <v>25</v>
      </c>
      <c r="C1335" s="1700" t="s">
        <v>1271</v>
      </c>
      <c r="D1335" s="1699" t="s">
        <v>25</v>
      </c>
      <c r="E1335" s="1700"/>
      <c r="F1335" s="1730" t="s">
        <v>1270</v>
      </c>
      <c r="G1335" s="1704" t="s">
        <v>25</v>
      </c>
      <c r="H1335" s="1705" t="s">
        <v>42</v>
      </c>
      <c r="I1335" s="1816">
        <v>1765</v>
      </c>
      <c r="J1335" s="1630" t="s">
        <v>41</v>
      </c>
      <c r="K1335" s="1631" t="s">
        <v>1269</v>
      </c>
      <c r="L1335" s="1245"/>
      <c r="M1335" s="1320"/>
      <c r="N1335" s="1707"/>
      <c r="O1335" s="1708"/>
      <c r="P1335" s="1709"/>
      <c r="Q1335" s="1707"/>
      <c r="R1335" s="1791"/>
      <c r="S1335" s="1702"/>
      <c r="T1335" s="1709"/>
      <c r="U1335" s="1710"/>
      <c r="V1335" s="1779"/>
      <c r="W1335" s="1637"/>
      <c r="X1335" s="1637"/>
      <c r="Y1335" s="1638"/>
      <c r="Z1335" s="1817"/>
      <c r="AA1335" s="1702"/>
      <c r="AB1335" s="1809"/>
      <c r="AC1335" s="1641"/>
      <c r="AD1335" s="1710"/>
      <c r="AE1335" s="1766"/>
      <c r="AF1335" s="1056">
        <f>Resum!F5</f>
        <v>170000</v>
      </c>
      <c r="AG1335" s="1086">
        <f>AF1335*I1335</f>
        <v>300050000</v>
      </c>
      <c r="AH1335" s="1058"/>
      <c r="AI1335" s="1058"/>
      <c r="AJ1335" s="1767"/>
      <c r="AK1335" s="1060"/>
      <c r="AL1335" s="1090"/>
      <c r="AM1335" s="1057"/>
      <c r="AN1335" s="1086">
        <f>AM1335+AJ1335+AG1335</f>
        <v>300050000</v>
      </c>
      <c r="AO1335" s="1058"/>
      <c r="AP1335" s="1136">
        <f>AI1336*15%</f>
        <v>0</v>
      </c>
      <c r="AQ1335" s="1087">
        <v>0</v>
      </c>
      <c r="AR1335" s="1136">
        <f>(AG1335+AI1335)*5%</f>
        <v>15002500</v>
      </c>
      <c r="AS1335" s="1087">
        <f>0.5%*(AG1335+AI1335)*(3)</f>
        <v>4500750</v>
      </c>
      <c r="AT1335" s="1086">
        <f>+AS1335+AR1335+AQ1335+AP1335+AO1335</f>
        <v>19503250</v>
      </c>
      <c r="AU1335" s="1137">
        <f>ROUND(AT1335+AN1335,-3)</f>
        <v>319553000</v>
      </c>
      <c r="AV1335" s="1812"/>
    </row>
    <row r="1336" spans="1:48" ht="16.5" customHeight="1">
      <c r="A1336" s="1640"/>
      <c r="B1336" s="1646" t="s">
        <v>16</v>
      </c>
      <c r="C1336" s="1647" t="s">
        <v>1268</v>
      </c>
      <c r="D1336" s="1646" t="s">
        <v>16</v>
      </c>
      <c r="E1336" s="1647"/>
      <c r="F1336" s="1648"/>
      <c r="G1336" s="1625" t="s">
        <v>16</v>
      </c>
      <c r="H1336" s="1625" t="s">
        <v>22</v>
      </c>
      <c r="I1336" s="1629"/>
      <c r="J1336" s="1630"/>
      <c r="K1336" s="1631"/>
      <c r="L1336" s="1245"/>
      <c r="M1336" s="1320"/>
      <c r="N1336" s="1632"/>
      <c r="O1336" s="1633"/>
      <c r="P1336" s="1634"/>
      <c r="Q1336" s="1632"/>
      <c r="R1336" s="1646"/>
      <c r="S1336" s="1625"/>
      <c r="T1336" s="1634"/>
      <c r="U1336" s="1635"/>
      <c r="V1336" s="1750"/>
      <c r="W1336" s="1656"/>
      <c r="X1336" s="1656"/>
      <c r="Y1336" s="1657"/>
      <c r="Z1336" s="1639"/>
      <c r="AA1336" s="1625"/>
      <c r="AB1336" s="1667"/>
      <c r="AC1336" s="1640"/>
      <c r="AD1336" s="1635"/>
      <c r="AE1336" s="1764"/>
      <c r="AF1336" s="1085"/>
      <c r="AG1336" s="1086"/>
      <c r="AH1336" s="1087"/>
      <c r="AI1336" s="1087"/>
      <c r="AJ1336" s="1768"/>
      <c r="AK1336" s="1089"/>
      <c r="AL1336" s="1090"/>
      <c r="AM1336" s="1086"/>
      <c r="AN1336" s="1086"/>
      <c r="AO1336" s="1087"/>
      <c r="AP1336" s="1764"/>
      <c r="AQ1336" s="1087"/>
      <c r="AR1336" s="1764"/>
      <c r="AS1336" s="1764"/>
      <c r="AT1336" s="1086"/>
      <c r="AU1336" s="1768"/>
      <c r="AV1336" s="1814"/>
    </row>
    <row r="1337" spans="1:48" ht="16.5" customHeight="1">
      <c r="A1337" s="1640"/>
      <c r="B1337" s="1646" t="s">
        <v>18</v>
      </c>
      <c r="C1337" s="1623" t="s">
        <v>124</v>
      </c>
      <c r="D1337" s="1646" t="s">
        <v>18</v>
      </c>
      <c r="E1337" s="1623"/>
      <c r="F1337" s="1648"/>
      <c r="G1337" s="1625" t="s">
        <v>18</v>
      </c>
      <c r="H1337" s="1625" t="s">
        <v>19</v>
      </c>
      <c r="I1337" s="1629"/>
      <c r="J1337" s="1630"/>
      <c r="K1337" s="1631"/>
      <c r="L1337" s="1245"/>
      <c r="M1337" s="1320"/>
      <c r="N1337" s="1632"/>
      <c r="O1337" s="1647"/>
      <c r="P1337" s="1634"/>
      <c r="Q1337" s="1632"/>
      <c r="R1337" s="1646"/>
      <c r="S1337" s="1625"/>
      <c r="T1337" s="1634"/>
      <c r="U1337" s="1635"/>
      <c r="V1337" s="1636"/>
      <c r="W1337" s="1714"/>
      <c r="X1337" s="1650"/>
      <c r="Y1337" s="1623"/>
      <c r="Z1337" s="1651"/>
      <c r="AA1337" s="1625"/>
      <c r="AB1337" s="1667"/>
      <c r="AC1337" s="1640"/>
      <c r="AD1337" s="1635"/>
      <c r="AE1337" s="1764"/>
      <c r="AF1337" s="1085"/>
      <c r="AG1337" s="1086"/>
      <c r="AH1337" s="1087"/>
      <c r="AI1337" s="1087"/>
      <c r="AJ1337" s="1768"/>
      <c r="AK1337" s="1089"/>
      <c r="AL1337" s="1090"/>
      <c r="AM1337" s="1086"/>
      <c r="AN1337" s="1086"/>
      <c r="AO1337" s="1087"/>
      <c r="AP1337" s="1764"/>
      <c r="AQ1337" s="1087"/>
      <c r="AR1337" s="1764"/>
      <c r="AS1337" s="1764"/>
      <c r="AT1337" s="1086"/>
      <c r="AU1337" s="1768"/>
      <c r="AV1337" s="1814"/>
    </row>
    <row r="1338" spans="1:48" ht="49.5" customHeight="1">
      <c r="A1338" s="1640"/>
      <c r="B1338" s="1658" t="s">
        <v>12</v>
      </c>
      <c r="C1338" s="1659" t="s">
        <v>1267</v>
      </c>
      <c r="D1338" s="1658" t="s">
        <v>12</v>
      </c>
      <c r="E1338" s="1659"/>
      <c r="F1338" s="1648"/>
      <c r="G1338" s="1625"/>
      <c r="H1338" s="1667"/>
      <c r="I1338" s="1629"/>
      <c r="J1338" s="1630"/>
      <c r="K1338" s="1631"/>
      <c r="L1338" s="1245"/>
      <c r="M1338" s="1320"/>
      <c r="N1338" s="1632"/>
      <c r="O1338" s="1647"/>
      <c r="P1338" s="1634"/>
      <c r="Q1338" s="1632"/>
      <c r="R1338" s="1646"/>
      <c r="S1338" s="1625"/>
      <c r="T1338" s="1634"/>
      <c r="U1338" s="1635"/>
      <c r="V1338" s="1636"/>
      <c r="W1338" s="1656"/>
      <c r="X1338" s="1656"/>
      <c r="Y1338" s="1657"/>
      <c r="Z1338" s="1639"/>
      <c r="AA1338" s="1625"/>
      <c r="AB1338" s="1667"/>
      <c r="AC1338" s="1640"/>
      <c r="AD1338" s="1635"/>
      <c r="AE1338" s="1764"/>
      <c r="AF1338" s="1085"/>
      <c r="AG1338" s="1086"/>
      <c r="AH1338" s="1087"/>
      <c r="AI1338" s="1087"/>
      <c r="AJ1338" s="1768"/>
      <c r="AK1338" s="1089"/>
      <c r="AL1338" s="1090"/>
      <c r="AM1338" s="1086"/>
      <c r="AN1338" s="1086"/>
      <c r="AO1338" s="1087"/>
      <c r="AP1338" s="1764"/>
      <c r="AQ1338" s="1087"/>
      <c r="AR1338" s="1764"/>
      <c r="AS1338" s="1764"/>
      <c r="AT1338" s="1086"/>
      <c r="AU1338" s="1768"/>
      <c r="AV1338" s="1814"/>
    </row>
    <row r="1339" spans="1:48" ht="16.5" customHeight="1">
      <c r="A1339" s="1673"/>
      <c r="B1339" s="1818" t="s">
        <v>8</v>
      </c>
      <c r="C1339" s="1819" t="s">
        <v>1266</v>
      </c>
      <c r="D1339" s="1818" t="s">
        <v>8</v>
      </c>
      <c r="E1339" s="1819"/>
      <c r="F1339" s="1678"/>
      <c r="G1339" s="1676"/>
      <c r="H1339" s="1679"/>
      <c r="I1339" s="1680"/>
      <c r="J1339" s="1681"/>
      <c r="K1339" s="1682"/>
      <c r="L1339" s="1245"/>
      <c r="M1339" s="1320"/>
      <c r="N1339" s="1632"/>
      <c r="O1339" s="1633"/>
      <c r="P1339" s="1685"/>
      <c r="Q1339" s="1683"/>
      <c r="R1339" s="1686"/>
      <c r="S1339" s="1676"/>
      <c r="T1339" s="1685"/>
      <c r="U1339" s="1773"/>
      <c r="V1339" s="1718"/>
      <c r="W1339" s="1719"/>
      <c r="X1339" s="1720"/>
      <c r="Y1339" s="1721"/>
      <c r="Z1339" s="1787"/>
      <c r="AA1339" s="1676"/>
      <c r="AB1339" s="1679"/>
      <c r="AC1339" s="1673"/>
      <c r="AD1339" s="1773"/>
      <c r="AE1339" s="1774"/>
      <c r="AF1339" s="1115"/>
      <c r="AG1339" s="1116"/>
      <c r="AH1339" s="1117"/>
      <c r="AI1339" s="1117"/>
      <c r="AJ1339" s="1775"/>
      <c r="AK1339" s="1119"/>
      <c r="AL1339" s="1120"/>
      <c r="AM1339" s="1116"/>
      <c r="AN1339" s="1116"/>
      <c r="AO1339" s="1117"/>
      <c r="AP1339" s="1774"/>
      <c r="AQ1339" s="1117"/>
      <c r="AR1339" s="1774"/>
      <c r="AS1339" s="1774"/>
      <c r="AT1339" s="1116"/>
      <c r="AU1339" s="1775"/>
      <c r="AV1339" s="1820"/>
    </row>
    <row r="1340" spans="1:48" ht="16.5" customHeight="1">
      <c r="A1340" s="1698">
        <v>105</v>
      </c>
      <c r="B1340" s="1699" t="s">
        <v>25</v>
      </c>
      <c r="C1340" s="1700" t="s">
        <v>1265</v>
      </c>
      <c r="D1340" s="1701"/>
      <c r="E1340" s="1702"/>
      <c r="F1340" s="1730" t="s">
        <v>1264</v>
      </c>
      <c r="G1340" s="1704" t="s">
        <v>25</v>
      </c>
      <c r="H1340" s="1705" t="s">
        <v>42</v>
      </c>
      <c r="I1340" s="1810">
        <v>1204</v>
      </c>
      <c r="J1340" s="1630" t="s">
        <v>41</v>
      </c>
      <c r="K1340" s="1722" t="s">
        <v>1263</v>
      </c>
      <c r="L1340" s="1373"/>
      <c r="M1340" s="1317"/>
      <c r="N1340" s="1707"/>
      <c r="O1340" s="1701" t="s">
        <v>1255</v>
      </c>
      <c r="P1340" s="1709"/>
      <c r="Q1340" s="1707"/>
      <c r="R1340" s="1699" t="s">
        <v>25</v>
      </c>
      <c r="S1340" s="1702" t="s">
        <v>24</v>
      </c>
      <c r="T1340" s="1709"/>
      <c r="U1340" s="1766">
        <v>1</v>
      </c>
      <c r="V1340" s="1711" t="s">
        <v>109</v>
      </c>
      <c r="W1340" s="1712">
        <v>4</v>
      </c>
      <c r="X1340" s="1713"/>
      <c r="Y1340" s="1700"/>
      <c r="Z1340" s="1651">
        <f t="shared" ref="Z1340:Z1345" si="111">SUM(W1340:Y1340)</f>
        <v>4</v>
      </c>
      <c r="AA1340" s="1702"/>
      <c r="AB1340" s="1809"/>
      <c r="AC1340" s="1641"/>
      <c r="AD1340" s="1710"/>
      <c r="AE1340" s="1766"/>
      <c r="AF1340" s="1056">
        <f>Resum!F1</f>
        <v>356000</v>
      </c>
      <c r="AG1340" s="1086">
        <f>AF1340*I1340</f>
        <v>428624000</v>
      </c>
      <c r="AH1340" s="1058"/>
      <c r="AI1340" s="1058"/>
      <c r="AJ1340" s="1811">
        <f>SUM(AI1340:AI1349)</f>
        <v>157325000</v>
      </c>
      <c r="AK1340" s="1336">
        <v>40000</v>
      </c>
      <c r="AL1340" s="1090">
        <f t="shared" ref="AL1340:AL1400" si="112">AK1340*W1340</f>
        <v>160000</v>
      </c>
      <c r="AM1340" s="1057">
        <f>SUM(AL1340:AL1358)</f>
        <v>7068425</v>
      </c>
      <c r="AN1340" s="1086">
        <f>AM1340+AJ1340+AG1340</f>
        <v>593017425</v>
      </c>
      <c r="AO1340" s="1058"/>
      <c r="AP1340" s="1136">
        <f>(48060000+AI1341)*15%</f>
        <v>18630000</v>
      </c>
      <c r="AQ1340" s="1087">
        <f>(AG1340+AI1341)*0.75%</f>
        <v>3785730</v>
      </c>
      <c r="AR1340" s="1136">
        <f>(AG1340+AI1341)*5%</f>
        <v>25238200</v>
      </c>
      <c r="AS1340" s="1087">
        <f>0.5%*(AG1340+AI1341)*(3)</f>
        <v>7571460</v>
      </c>
      <c r="AT1340" s="1086">
        <f>+AS1340+AR1340+AQ1340+AP1340+AO1340</f>
        <v>55225390</v>
      </c>
      <c r="AU1340" s="1137">
        <f>ROUND(AT1340+AN1340,-3)</f>
        <v>648243000</v>
      </c>
      <c r="AV1340" s="1812"/>
    </row>
    <row r="1341" spans="1:48" ht="16.5" customHeight="1">
      <c r="A1341" s="1640"/>
      <c r="B1341" s="1646" t="s">
        <v>16</v>
      </c>
      <c r="C1341" s="1647" t="s">
        <v>1262</v>
      </c>
      <c r="D1341" s="1625"/>
      <c r="E1341" s="1633"/>
      <c r="F1341" s="1648"/>
      <c r="G1341" s="1625" t="s">
        <v>16</v>
      </c>
      <c r="H1341" s="1625" t="s">
        <v>22</v>
      </c>
      <c r="I1341" s="1629"/>
      <c r="J1341" s="1630"/>
      <c r="K1341" s="1631"/>
      <c r="L1341" s="1245"/>
      <c r="M1341" s="1320"/>
      <c r="N1341" s="1632" t="s">
        <v>25</v>
      </c>
      <c r="O1341" s="1726" t="s">
        <v>26</v>
      </c>
      <c r="P1341" s="1634">
        <v>1</v>
      </c>
      <c r="Q1341" s="1632">
        <v>70.5</v>
      </c>
      <c r="R1341" s="1646"/>
      <c r="S1341" s="1625"/>
      <c r="T1341" s="1634"/>
      <c r="U1341" s="1764">
        <v>2</v>
      </c>
      <c r="V1341" s="1636" t="s">
        <v>807</v>
      </c>
      <c r="W1341" s="1714">
        <v>5</v>
      </c>
      <c r="X1341" s="1650"/>
      <c r="Y1341" s="1623"/>
      <c r="Z1341" s="1651">
        <f t="shared" si="111"/>
        <v>5</v>
      </c>
      <c r="AA1341" s="1625"/>
      <c r="AB1341" s="1667"/>
      <c r="AC1341" s="1640"/>
      <c r="AD1341" s="1635"/>
      <c r="AE1341" s="1764"/>
      <c r="AF1341" s="1085"/>
      <c r="AG1341" s="1086"/>
      <c r="AH1341" s="1087">
        <v>1800000</v>
      </c>
      <c r="AI1341" s="1089">
        <f>AH1341*Q1341*0.6</f>
        <v>76140000</v>
      </c>
      <c r="AJ1341" s="1768"/>
      <c r="AK1341" s="1089">
        <v>80000</v>
      </c>
      <c r="AL1341" s="1090">
        <f t="shared" si="112"/>
        <v>400000</v>
      </c>
      <c r="AM1341" s="1086"/>
      <c r="AN1341" s="1086"/>
      <c r="AO1341" s="1087"/>
      <c r="AP1341" s="1764"/>
      <c r="AQ1341" s="1087"/>
      <c r="AR1341" s="1764"/>
      <c r="AS1341" s="1764"/>
      <c r="AT1341" s="1086"/>
      <c r="AU1341" s="1768"/>
      <c r="AV1341" s="1814"/>
    </row>
    <row r="1342" spans="1:48" ht="16.5" customHeight="1">
      <c r="A1342" s="1640"/>
      <c r="B1342" s="1646" t="s">
        <v>18</v>
      </c>
      <c r="C1342" s="1623" t="s">
        <v>1191</v>
      </c>
      <c r="D1342" s="1625"/>
      <c r="E1342" s="1625"/>
      <c r="F1342" s="1648"/>
      <c r="G1342" s="1625" t="s">
        <v>18</v>
      </c>
      <c r="H1342" s="1625" t="s">
        <v>19</v>
      </c>
      <c r="I1342" s="1629"/>
      <c r="J1342" s="1630"/>
      <c r="K1342" s="1631"/>
      <c r="L1342" s="1245"/>
      <c r="M1342" s="1320"/>
      <c r="N1342" s="1632" t="s">
        <v>16</v>
      </c>
      <c r="O1342" s="1624" t="s">
        <v>21</v>
      </c>
      <c r="P1342" s="1634">
        <v>1</v>
      </c>
      <c r="Q1342" s="1632">
        <v>22.3</v>
      </c>
      <c r="R1342" s="1646"/>
      <c r="S1342" s="1625"/>
      <c r="T1342" s="1634"/>
      <c r="U1342" s="1764">
        <v>3</v>
      </c>
      <c r="V1342" s="1636" t="s">
        <v>56</v>
      </c>
      <c r="W1342" s="1714">
        <v>13</v>
      </c>
      <c r="X1342" s="1650"/>
      <c r="Y1342" s="1623"/>
      <c r="Z1342" s="1651">
        <f t="shared" si="111"/>
        <v>13</v>
      </c>
      <c r="AA1342" s="1625"/>
      <c r="AB1342" s="1667"/>
      <c r="AC1342" s="1640"/>
      <c r="AD1342" s="1635"/>
      <c r="AE1342" s="1764"/>
      <c r="AF1342" s="1085"/>
      <c r="AG1342" s="1086"/>
      <c r="AH1342" s="1087">
        <v>100000</v>
      </c>
      <c r="AI1342" s="1089">
        <f>AH1342*Q1342*0.6</f>
        <v>1338000</v>
      </c>
      <c r="AJ1342" s="1768"/>
      <c r="AK1342" s="1089">
        <v>40000</v>
      </c>
      <c r="AL1342" s="1090">
        <f>AK1342*W1342</f>
        <v>520000</v>
      </c>
      <c r="AM1342" s="1086"/>
      <c r="AN1342" s="1086"/>
      <c r="AO1342" s="1087"/>
      <c r="AP1342" s="1764"/>
      <c r="AQ1342" s="1087"/>
      <c r="AR1342" s="1764"/>
      <c r="AS1342" s="1764"/>
      <c r="AT1342" s="1086"/>
      <c r="AU1342" s="1768"/>
      <c r="AV1342" s="1814"/>
    </row>
    <row r="1343" spans="1:48" ht="66" customHeight="1">
      <c r="A1343" s="1640"/>
      <c r="B1343" s="1658" t="s">
        <v>12</v>
      </c>
      <c r="C1343" s="1659" t="s">
        <v>1261</v>
      </c>
      <c r="D1343" s="1625"/>
      <c r="E1343" s="1625"/>
      <c r="F1343" s="1648"/>
      <c r="G1343" s="1625"/>
      <c r="H1343" s="1625"/>
      <c r="I1343" s="1629"/>
      <c r="J1343" s="1630"/>
      <c r="K1343" s="1631"/>
      <c r="L1343" s="1245"/>
      <c r="M1343" s="1320"/>
      <c r="N1343" s="1632" t="s">
        <v>18</v>
      </c>
      <c r="O1343" s="1726" t="s">
        <v>26</v>
      </c>
      <c r="P1343" s="1634">
        <v>1</v>
      </c>
      <c r="Q1343" s="1632">
        <v>64.8</v>
      </c>
      <c r="R1343" s="1646"/>
      <c r="S1343" s="1625"/>
      <c r="T1343" s="1634"/>
      <c r="U1343" s="1764">
        <v>4</v>
      </c>
      <c r="V1343" s="1636" t="s">
        <v>58</v>
      </c>
      <c r="W1343" s="1714">
        <v>6</v>
      </c>
      <c r="X1343" s="1650"/>
      <c r="Y1343" s="1623"/>
      <c r="Z1343" s="1651">
        <f t="shared" si="111"/>
        <v>6</v>
      </c>
      <c r="AA1343" s="1625"/>
      <c r="AB1343" s="1667"/>
      <c r="AC1343" s="1640"/>
      <c r="AD1343" s="1635"/>
      <c r="AE1343" s="1764"/>
      <c r="AF1343" s="1085"/>
      <c r="AG1343" s="1086"/>
      <c r="AH1343" s="1087">
        <v>1800000</v>
      </c>
      <c r="AI1343" s="1089">
        <f>AH1343*Q1343*0.6</f>
        <v>69984000</v>
      </c>
      <c r="AJ1343" s="1768"/>
      <c r="AK1343" s="1300">
        <v>225000</v>
      </c>
      <c r="AL1343" s="1090">
        <f t="shared" si="112"/>
        <v>1350000</v>
      </c>
      <c r="AM1343" s="1086"/>
      <c r="AN1343" s="1086"/>
      <c r="AO1343" s="1087"/>
      <c r="AP1343" s="1764"/>
      <c r="AQ1343" s="1087"/>
      <c r="AR1343" s="1764"/>
      <c r="AS1343" s="1764"/>
      <c r="AT1343" s="1086"/>
      <c r="AU1343" s="1768"/>
      <c r="AV1343" s="1814"/>
    </row>
    <row r="1344" spans="1:48" ht="16.5" customHeight="1">
      <c r="A1344" s="1640"/>
      <c r="B1344" s="1646" t="s">
        <v>8</v>
      </c>
      <c r="C1344" s="1716" t="s">
        <v>1260</v>
      </c>
      <c r="D1344" s="1625"/>
      <c r="E1344" s="1625"/>
      <c r="F1344" s="1648"/>
      <c r="G1344" s="1625"/>
      <c r="H1344" s="1625"/>
      <c r="I1344" s="1629"/>
      <c r="J1344" s="1630"/>
      <c r="K1344" s="1631"/>
      <c r="L1344" s="1245"/>
      <c r="M1344" s="1320"/>
      <c r="N1344" s="1632" t="s">
        <v>12</v>
      </c>
      <c r="O1344" s="1624" t="s">
        <v>21</v>
      </c>
      <c r="P1344" s="1634">
        <v>1</v>
      </c>
      <c r="Q1344" s="1632">
        <v>8.64</v>
      </c>
      <c r="R1344" s="1646"/>
      <c r="S1344" s="1625"/>
      <c r="T1344" s="1634"/>
      <c r="U1344" s="1764">
        <v>5</v>
      </c>
      <c r="V1344" s="1636" t="s">
        <v>1259</v>
      </c>
      <c r="W1344" s="1714"/>
      <c r="X1344" s="1650"/>
      <c r="Y1344" s="1623">
        <v>10</v>
      </c>
      <c r="Z1344" s="1651">
        <f t="shared" si="111"/>
        <v>10</v>
      </c>
      <c r="AA1344" s="1625"/>
      <c r="AB1344" s="1667"/>
      <c r="AC1344" s="1640"/>
      <c r="AD1344" s="1635"/>
      <c r="AE1344" s="1764"/>
      <c r="AF1344" s="1085"/>
      <c r="AG1344" s="1086"/>
      <c r="AH1344" s="1087">
        <v>100000</v>
      </c>
      <c r="AI1344" s="1089">
        <f>AH1344*Q1344*0.75</f>
        <v>648000</v>
      </c>
      <c r="AJ1344" s="1768"/>
      <c r="AK1344" s="1300">
        <v>50000</v>
      </c>
      <c r="AL1344" s="1090">
        <f>AK1344*Y1344</f>
        <v>500000</v>
      </c>
      <c r="AM1344" s="1086"/>
      <c r="AN1344" s="1086"/>
      <c r="AO1344" s="1087"/>
      <c r="AP1344" s="1764"/>
      <c r="AQ1344" s="1087"/>
      <c r="AR1344" s="1764"/>
      <c r="AS1344" s="1764"/>
      <c r="AT1344" s="1086"/>
      <c r="AU1344" s="1768"/>
      <c r="AV1344" s="1814"/>
    </row>
    <row r="1345" spans="1:48" ht="16.5" customHeight="1">
      <c r="A1345" s="1640"/>
      <c r="B1345" s="1646"/>
      <c r="C1345" s="1716"/>
      <c r="D1345" s="1625"/>
      <c r="E1345" s="1625"/>
      <c r="F1345" s="1648"/>
      <c r="G1345" s="1625"/>
      <c r="H1345" s="1625"/>
      <c r="I1345" s="1629"/>
      <c r="J1345" s="1630"/>
      <c r="K1345" s="1631"/>
      <c r="L1345" s="1245"/>
      <c r="M1345" s="1320"/>
      <c r="N1345" s="1632" t="s">
        <v>8</v>
      </c>
      <c r="O1345" s="1624" t="s">
        <v>17</v>
      </c>
      <c r="P1345" s="1634">
        <v>1</v>
      </c>
      <c r="Q1345" s="1632">
        <v>1</v>
      </c>
      <c r="R1345" s="1646"/>
      <c r="S1345" s="1625"/>
      <c r="T1345" s="1634"/>
      <c r="U1345" s="1635">
        <v>6</v>
      </c>
      <c r="V1345" s="1636" t="s">
        <v>88</v>
      </c>
      <c r="W1345" s="1714"/>
      <c r="X1345" s="1650">
        <v>4</v>
      </c>
      <c r="Y1345" s="1623"/>
      <c r="Z1345" s="1651">
        <f t="shared" si="111"/>
        <v>4</v>
      </c>
      <c r="AA1345" s="1625"/>
      <c r="AB1345" s="1667"/>
      <c r="AC1345" s="1640"/>
      <c r="AD1345" s="1635"/>
      <c r="AE1345" s="1764"/>
      <c r="AF1345" s="1085"/>
      <c r="AG1345" s="1086"/>
      <c r="AH1345" s="1087">
        <v>2500000</v>
      </c>
      <c r="AI1345" s="1089">
        <f>AH1345*P1345*0.5</f>
        <v>1250000</v>
      </c>
      <c r="AJ1345" s="1768"/>
      <c r="AK1345" s="1089">
        <v>55000</v>
      </c>
      <c r="AL1345" s="1090">
        <f>AK1345*X1345</f>
        <v>220000</v>
      </c>
      <c r="AM1345" s="1086"/>
      <c r="AN1345" s="1086"/>
      <c r="AO1345" s="1087"/>
      <c r="AP1345" s="1764"/>
      <c r="AQ1345" s="1087"/>
      <c r="AR1345" s="1764"/>
      <c r="AS1345" s="1764"/>
      <c r="AT1345" s="1086"/>
      <c r="AU1345" s="1768"/>
      <c r="AV1345" s="1814"/>
    </row>
    <row r="1346" spans="1:48" ht="16.5" customHeight="1">
      <c r="A1346" s="1640"/>
      <c r="B1346" s="1646"/>
      <c r="C1346" s="1716"/>
      <c r="D1346" s="1625"/>
      <c r="E1346" s="1625"/>
      <c r="F1346" s="1648"/>
      <c r="G1346" s="1625"/>
      <c r="H1346" s="1625"/>
      <c r="I1346" s="1629"/>
      <c r="J1346" s="1630"/>
      <c r="K1346" s="1631"/>
      <c r="L1346" s="1245"/>
      <c r="M1346" s="1320"/>
      <c r="N1346" s="1632" t="s">
        <v>54</v>
      </c>
      <c r="O1346" s="1624" t="s">
        <v>11</v>
      </c>
      <c r="P1346" s="1634">
        <v>1</v>
      </c>
      <c r="Q1346" s="1634">
        <v>2</v>
      </c>
      <c r="R1346" s="1665"/>
      <c r="S1346" s="1666"/>
      <c r="T1346" s="1741"/>
      <c r="U1346" s="1764"/>
      <c r="V1346" s="1640"/>
      <c r="W1346" s="1650"/>
      <c r="X1346" s="1650"/>
      <c r="Y1346" s="1623"/>
      <c r="Z1346" s="1651"/>
      <c r="AA1346" s="1625"/>
      <c r="AB1346" s="1667"/>
      <c r="AC1346" s="1640"/>
      <c r="AD1346" s="1635"/>
      <c r="AE1346" s="1764"/>
      <c r="AF1346" s="1085"/>
      <c r="AG1346" s="1086"/>
      <c r="AH1346" s="1087">
        <v>2500000</v>
      </c>
      <c r="AI1346" s="1089">
        <f>AH1346*Q1346*0.75</f>
        <v>3750000</v>
      </c>
      <c r="AJ1346" s="1768"/>
      <c r="AK1346" s="1089"/>
      <c r="AL1346" s="1090"/>
      <c r="AM1346" s="1086"/>
      <c r="AN1346" s="1086"/>
      <c r="AO1346" s="1087"/>
      <c r="AP1346" s="1764"/>
      <c r="AQ1346" s="1087"/>
      <c r="AR1346" s="1764"/>
      <c r="AS1346" s="1764"/>
      <c r="AT1346" s="1086"/>
      <c r="AU1346" s="1768"/>
      <c r="AV1346" s="1814"/>
    </row>
    <row r="1347" spans="1:48" ht="16.5" customHeight="1">
      <c r="A1347" s="1640"/>
      <c r="B1347" s="1646"/>
      <c r="C1347" s="1716"/>
      <c r="D1347" s="1625"/>
      <c r="E1347" s="1625"/>
      <c r="F1347" s="1648"/>
      <c r="G1347" s="1625"/>
      <c r="H1347" s="1625"/>
      <c r="I1347" s="1629"/>
      <c r="J1347" s="1630"/>
      <c r="K1347" s="1631"/>
      <c r="L1347" s="1245"/>
      <c r="M1347" s="1320"/>
      <c r="N1347" s="1632" t="s">
        <v>53</v>
      </c>
      <c r="O1347" s="1726" t="s">
        <v>1254</v>
      </c>
      <c r="P1347" s="1634">
        <v>1</v>
      </c>
      <c r="Q1347" s="1632">
        <v>28.1</v>
      </c>
      <c r="R1347" s="1646" t="s">
        <v>16</v>
      </c>
      <c r="S1347" s="1625" t="s">
        <v>15</v>
      </c>
      <c r="T1347" s="1634">
        <v>11</v>
      </c>
      <c r="U1347" s="1635">
        <v>1</v>
      </c>
      <c r="V1347" s="1636" t="s">
        <v>14</v>
      </c>
      <c r="W1347" s="1714">
        <v>7</v>
      </c>
      <c r="X1347" s="1650"/>
      <c r="Y1347" s="1623"/>
      <c r="Z1347" s="1651">
        <f t="shared" ref="Z1347:Z1357" si="113">SUM(W1347:Y1347)</f>
        <v>7</v>
      </c>
      <c r="AA1347" s="1625"/>
      <c r="AB1347" s="1667"/>
      <c r="AC1347" s="1640"/>
      <c r="AD1347" s="1635"/>
      <c r="AE1347" s="1764"/>
      <c r="AF1347" s="1085"/>
      <c r="AG1347" s="1086"/>
      <c r="AH1347" s="1087">
        <v>300000</v>
      </c>
      <c r="AI1347" s="1089">
        <f>AH1347*Q1347*0.5</f>
        <v>4215000</v>
      </c>
      <c r="AJ1347" s="1768"/>
      <c r="AK1347" s="1089">
        <v>350000</v>
      </c>
      <c r="AL1347" s="1087">
        <f t="shared" si="112"/>
        <v>2450000</v>
      </c>
      <c r="AM1347" s="1086"/>
      <c r="AN1347" s="1086"/>
      <c r="AO1347" s="1087"/>
      <c r="AP1347" s="1764"/>
      <c r="AQ1347" s="1087"/>
      <c r="AR1347" s="1764"/>
      <c r="AS1347" s="1764"/>
      <c r="AT1347" s="1086"/>
      <c r="AU1347" s="1768"/>
      <c r="AV1347" s="1814"/>
    </row>
    <row r="1348" spans="1:48" ht="16.5" customHeight="1">
      <c r="A1348" s="1640"/>
      <c r="B1348" s="1646"/>
      <c r="C1348" s="1716"/>
      <c r="D1348" s="1625"/>
      <c r="E1348" s="1625"/>
      <c r="F1348" s="1648"/>
      <c r="G1348" s="1625"/>
      <c r="H1348" s="1625"/>
      <c r="I1348" s="1629"/>
      <c r="J1348" s="1630"/>
      <c r="K1348" s="1631"/>
      <c r="L1348" s="1245"/>
      <c r="M1348" s="1320"/>
      <c r="N1348" s="1632"/>
      <c r="O1348" s="1633"/>
      <c r="P1348" s="1634"/>
      <c r="Q1348" s="1632"/>
      <c r="R1348" s="1646"/>
      <c r="S1348" s="1625"/>
      <c r="T1348" s="1634"/>
      <c r="U1348" s="1635">
        <v>2</v>
      </c>
      <c r="V1348" s="1636" t="s">
        <v>48</v>
      </c>
      <c r="W1348" s="1714">
        <v>45</v>
      </c>
      <c r="X1348" s="1650"/>
      <c r="Y1348" s="1623"/>
      <c r="Z1348" s="1651">
        <f t="shared" si="113"/>
        <v>45</v>
      </c>
      <c r="AA1348" s="1625"/>
      <c r="AB1348" s="1667"/>
      <c r="AC1348" s="1640"/>
      <c r="AD1348" s="1635"/>
      <c r="AE1348" s="1764"/>
      <c r="AF1348" s="1085"/>
      <c r="AG1348" s="1086"/>
      <c r="AH1348" s="1087"/>
      <c r="AI1348" s="1087"/>
      <c r="AJ1348" s="1768"/>
      <c r="AK1348" s="1089">
        <v>15000</v>
      </c>
      <c r="AL1348" s="1090">
        <f t="shared" si="112"/>
        <v>675000</v>
      </c>
      <c r="AM1348" s="1086"/>
      <c r="AN1348" s="1086"/>
      <c r="AO1348" s="1087"/>
      <c r="AP1348" s="1764"/>
      <c r="AQ1348" s="1087"/>
      <c r="AR1348" s="1764"/>
      <c r="AS1348" s="1764"/>
      <c r="AT1348" s="1086"/>
      <c r="AU1348" s="1768"/>
      <c r="AV1348" s="1814"/>
    </row>
    <row r="1349" spans="1:48" ht="16.5" customHeight="1">
      <c r="A1349" s="1640"/>
      <c r="B1349" s="1646"/>
      <c r="C1349" s="1716"/>
      <c r="D1349" s="1625"/>
      <c r="E1349" s="1625"/>
      <c r="F1349" s="1648"/>
      <c r="G1349" s="1625"/>
      <c r="H1349" s="1625"/>
      <c r="I1349" s="1629"/>
      <c r="J1349" s="1630"/>
      <c r="K1349" s="1631"/>
      <c r="L1349" s="1245"/>
      <c r="M1349" s="1320"/>
      <c r="N1349" s="1632"/>
      <c r="O1349" s="1633"/>
      <c r="P1349" s="1634"/>
      <c r="Q1349" s="1632"/>
      <c r="R1349" s="1646"/>
      <c r="S1349" s="1625"/>
      <c r="T1349" s="1634"/>
      <c r="U1349" s="1635">
        <v>3</v>
      </c>
      <c r="V1349" s="1636" t="s">
        <v>137</v>
      </c>
      <c r="W1349" s="1714"/>
      <c r="X1349" s="1650"/>
      <c r="Y1349" s="1623">
        <v>4</v>
      </c>
      <c r="Z1349" s="1651">
        <f t="shared" si="113"/>
        <v>4</v>
      </c>
      <c r="AA1349" s="1625"/>
      <c r="AB1349" s="1667"/>
      <c r="AC1349" s="1640"/>
      <c r="AD1349" s="1635"/>
      <c r="AE1349" s="1764"/>
      <c r="AF1349" s="1085"/>
      <c r="AG1349" s="1086"/>
      <c r="AH1349" s="1087"/>
      <c r="AI1349" s="1087"/>
      <c r="AJ1349" s="1768"/>
      <c r="AK1349" s="1089">
        <v>41250</v>
      </c>
      <c r="AL1349" s="1090">
        <f>AK1349*Y1349</f>
        <v>165000</v>
      </c>
      <c r="AM1349" s="1086"/>
      <c r="AN1349" s="1086"/>
      <c r="AO1349" s="1087"/>
      <c r="AP1349" s="1764"/>
      <c r="AQ1349" s="1087"/>
      <c r="AR1349" s="1764"/>
      <c r="AS1349" s="1764"/>
      <c r="AT1349" s="1086"/>
      <c r="AU1349" s="1768"/>
      <c r="AV1349" s="1814"/>
    </row>
    <row r="1350" spans="1:48" ht="16.5" customHeight="1">
      <c r="A1350" s="1640"/>
      <c r="B1350" s="1646"/>
      <c r="C1350" s="1716"/>
      <c r="D1350" s="1625"/>
      <c r="E1350" s="1625"/>
      <c r="F1350" s="1648"/>
      <c r="G1350" s="1625"/>
      <c r="H1350" s="1625"/>
      <c r="I1350" s="1629"/>
      <c r="J1350" s="1630"/>
      <c r="K1350" s="1631"/>
      <c r="L1350" s="1245"/>
      <c r="M1350" s="1320"/>
      <c r="N1350" s="1632"/>
      <c r="O1350" s="1633"/>
      <c r="P1350" s="1634"/>
      <c r="Q1350" s="1632"/>
      <c r="R1350" s="1646"/>
      <c r="S1350" s="1625"/>
      <c r="T1350" s="1634"/>
      <c r="U1350" s="1635">
        <v>4</v>
      </c>
      <c r="V1350" s="1636" t="s">
        <v>1258</v>
      </c>
      <c r="W1350" s="1714">
        <v>20</v>
      </c>
      <c r="X1350" s="1650"/>
      <c r="Y1350" s="1623"/>
      <c r="Z1350" s="1651">
        <f t="shared" si="113"/>
        <v>20</v>
      </c>
      <c r="AA1350" s="1625"/>
      <c r="AB1350" s="1667"/>
      <c r="AC1350" s="1640"/>
      <c r="AD1350" s="1635"/>
      <c r="AE1350" s="1764"/>
      <c r="AF1350" s="1085"/>
      <c r="AG1350" s="1086"/>
      <c r="AH1350" s="1087"/>
      <c r="AI1350" s="1087"/>
      <c r="AJ1350" s="1768"/>
      <c r="AK1350" s="1089">
        <v>2645</v>
      </c>
      <c r="AL1350" s="1090">
        <f t="shared" si="112"/>
        <v>52900</v>
      </c>
      <c r="AM1350" s="1086"/>
      <c r="AN1350" s="1086"/>
      <c r="AO1350" s="1087"/>
      <c r="AP1350" s="1764"/>
      <c r="AQ1350" s="1087"/>
      <c r="AR1350" s="1764"/>
      <c r="AS1350" s="1764"/>
      <c r="AT1350" s="1086"/>
      <c r="AU1350" s="1768"/>
      <c r="AV1350" s="1814"/>
    </row>
    <row r="1351" spans="1:48" ht="16.5" customHeight="1">
      <c r="A1351" s="1640"/>
      <c r="B1351" s="1646"/>
      <c r="C1351" s="1716"/>
      <c r="D1351" s="1625"/>
      <c r="E1351" s="1625"/>
      <c r="F1351" s="1648"/>
      <c r="G1351" s="1625"/>
      <c r="H1351" s="1625"/>
      <c r="I1351" s="1629"/>
      <c r="J1351" s="1630"/>
      <c r="K1351" s="1631"/>
      <c r="L1351" s="1245"/>
      <c r="M1351" s="1320"/>
      <c r="N1351" s="1632"/>
      <c r="O1351" s="1633"/>
      <c r="P1351" s="1634"/>
      <c r="Q1351" s="1632"/>
      <c r="R1351" s="1646"/>
      <c r="S1351" s="1625"/>
      <c r="T1351" s="1634"/>
      <c r="U1351" s="1635">
        <v>5</v>
      </c>
      <c r="V1351" s="1636" t="s">
        <v>83</v>
      </c>
      <c r="W1351" s="1714"/>
      <c r="X1351" s="1650"/>
      <c r="Y1351" s="1623">
        <v>40</v>
      </c>
      <c r="Z1351" s="1651">
        <f t="shared" si="113"/>
        <v>40</v>
      </c>
      <c r="AA1351" s="1625"/>
      <c r="AB1351" s="1667"/>
      <c r="AC1351" s="1640"/>
      <c r="AD1351" s="1635"/>
      <c r="AE1351" s="1764"/>
      <c r="AF1351" s="1085"/>
      <c r="AG1351" s="1086"/>
      <c r="AH1351" s="1087"/>
      <c r="AI1351" s="1087"/>
      <c r="AJ1351" s="1768"/>
      <c r="AK1351" s="1089">
        <v>1000</v>
      </c>
      <c r="AL1351" s="1090">
        <f>AK1351*Y1351</f>
        <v>40000</v>
      </c>
      <c r="AM1351" s="1086"/>
      <c r="AN1351" s="1086"/>
      <c r="AO1351" s="1087"/>
      <c r="AP1351" s="1764"/>
      <c r="AQ1351" s="1087"/>
      <c r="AR1351" s="1764"/>
      <c r="AS1351" s="1764"/>
      <c r="AT1351" s="1086"/>
      <c r="AU1351" s="1768"/>
      <c r="AV1351" s="1814"/>
    </row>
    <row r="1352" spans="1:48" ht="16.5" customHeight="1">
      <c r="A1352" s="1640"/>
      <c r="B1352" s="1646"/>
      <c r="C1352" s="1716"/>
      <c r="D1352" s="1625"/>
      <c r="E1352" s="1625"/>
      <c r="F1352" s="1648"/>
      <c r="G1352" s="1625"/>
      <c r="H1352" s="1625"/>
      <c r="I1352" s="1629"/>
      <c r="J1352" s="1630"/>
      <c r="K1352" s="1631"/>
      <c r="L1352" s="1245"/>
      <c r="M1352" s="1320"/>
      <c r="N1352" s="1632"/>
      <c r="O1352" s="1633"/>
      <c r="P1352" s="1634"/>
      <c r="Q1352" s="1632"/>
      <c r="R1352" s="1646"/>
      <c r="S1352" s="1625"/>
      <c r="T1352" s="1634"/>
      <c r="U1352" s="1635">
        <v>6</v>
      </c>
      <c r="V1352" s="1636" t="s">
        <v>221</v>
      </c>
      <c r="W1352" s="1714"/>
      <c r="X1352" s="1650"/>
      <c r="Y1352" s="1623">
        <v>45</v>
      </c>
      <c r="Z1352" s="1651">
        <f t="shared" si="113"/>
        <v>45</v>
      </c>
      <c r="AA1352" s="1625"/>
      <c r="AB1352" s="1667"/>
      <c r="AC1352" s="1640"/>
      <c r="AD1352" s="1635"/>
      <c r="AE1352" s="1764"/>
      <c r="AF1352" s="1085"/>
      <c r="AG1352" s="1086"/>
      <c r="AH1352" s="1087"/>
      <c r="AI1352" s="1087"/>
      <c r="AJ1352" s="1768"/>
      <c r="AK1352" s="1089">
        <v>2435</v>
      </c>
      <c r="AL1352" s="1090">
        <f>AK1352*Y1352</f>
        <v>109575</v>
      </c>
      <c r="AM1352" s="1086"/>
      <c r="AN1352" s="1086"/>
      <c r="AO1352" s="1087"/>
      <c r="AP1352" s="1764"/>
      <c r="AQ1352" s="1087"/>
      <c r="AR1352" s="1764"/>
      <c r="AS1352" s="1764"/>
      <c r="AT1352" s="1086"/>
      <c r="AU1352" s="1768"/>
      <c r="AV1352" s="1814"/>
    </row>
    <row r="1353" spans="1:48" ht="16.5" customHeight="1">
      <c r="A1353" s="1640"/>
      <c r="B1353" s="1646"/>
      <c r="C1353" s="1716"/>
      <c r="D1353" s="1625"/>
      <c r="E1353" s="1625"/>
      <c r="F1353" s="1648"/>
      <c r="G1353" s="1625"/>
      <c r="H1353" s="1625"/>
      <c r="I1353" s="1629"/>
      <c r="J1353" s="1630"/>
      <c r="K1353" s="1631"/>
      <c r="L1353" s="1245"/>
      <c r="M1353" s="1320"/>
      <c r="N1353" s="1632"/>
      <c r="O1353" s="1633"/>
      <c r="P1353" s="1634"/>
      <c r="Q1353" s="1632"/>
      <c r="R1353" s="1646"/>
      <c r="S1353" s="1625"/>
      <c r="T1353" s="1634"/>
      <c r="U1353" s="1635">
        <v>7</v>
      </c>
      <c r="V1353" s="1636" t="s">
        <v>1257</v>
      </c>
      <c r="W1353" s="1714">
        <v>6</v>
      </c>
      <c r="X1353" s="1650"/>
      <c r="Y1353" s="1623"/>
      <c r="Z1353" s="1651">
        <f t="shared" si="113"/>
        <v>6</v>
      </c>
      <c r="AA1353" s="1625"/>
      <c r="AB1353" s="1667"/>
      <c r="AC1353" s="1640"/>
      <c r="AD1353" s="1635"/>
      <c r="AE1353" s="1764"/>
      <c r="AF1353" s="1085"/>
      <c r="AG1353" s="1086"/>
      <c r="AH1353" s="1087"/>
      <c r="AI1353" s="1087"/>
      <c r="AJ1353" s="1768"/>
      <c r="AK1353" s="1089">
        <v>4500</v>
      </c>
      <c r="AL1353" s="1090">
        <f t="shared" si="112"/>
        <v>27000</v>
      </c>
      <c r="AM1353" s="1086"/>
      <c r="AN1353" s="1086"/>
      <c r="AO1353" s="1087"/>
      <c r="AP1353" s="1764"/>
      <c r="AQ1353" s="1087"/>
      <c r="AR1353" s="1764"/>
      <c r="AS1353" s="1764"/>
      <c r="AT1353" s="1086"/>
      <c r="AU1353" s="1768"/>
      <c r="AV1353" s="1814"/>
    </row>
    <row r="1354" spans="1:48" ht="16.5" customHeight="1">
      <c r="A1354" s="1640"/>
      <c r="B1354" s="1646"/>
      <c r="C1354" s="1716"/>
      <c r="D1354" s="1625"/>
      <c r="E1354" s="1625"/>
      <c r="F1354" s="1648"/>
      <c r="G1354" s="1625"/>
      <c r="H1354" s="1625"/>
      <c r="I1354" s="1629"/>
      <c r="J1354" s="1630"/>
      <c r="K1354" s="1631"/>
      <c r="L1354" s="1245"/>
      <c r="M1354" s="1320"/>
      <c r="N1354" s="1632"/>
      <c r="O1354" s="1633"/>
      <c r="P1354" s="1634"/>
      <c r="Q1354" s="1632"/>
      <c r="R1354" s="1646"/>
      <c r="S1354" s="1625"/>
      <c r="T1354" s="1634"/>
      <c r="U1354" s="1635">
        <v>8</v>
      </c>
      <c r="V1354" s="1636" t="s">
        <v>1256</v>
      </c>
      <c r="W1354" s="1714">
        <v>5</v>
      </c>
      <c r="X1354" s="1650"/>
      <c r="Y1354" s="1623"/>
      <c r="Z1354" s="1651">
        <f t="shared" si="113"/>
        <v>5</v>
      </c>
      <c r="AA1354" s="1625"/>
      <c r="AB1354" s="1667"/>
      <c r="AC1354" s="1640"/>
      <c r="AD1354" s="1635"/>
      <c r="AE1354" s="1764"/>
      <c r="AF1354" s="1085"/>
      <c r="AG1354" s="1086"/>
      <c r="AH1354" s="1087"/>
      <c r="AI1354" s="1087"/>
      <c r="AJ1354" s="1768"/>
      <c r="AK1354" s="1089">
        <v>10000</v>
      </c>
      <c r="AL1354" s="1090">
        <f t="shared" si="112"/>
        <v>50000</v>
      </c>
      <c r="AM1354" s="1086"/>
      <c r="AN1354" s="1086"/>
      <c r="AO1354" s="1087"/>
      <c r="AP1354" s="1764"/>
      <c r="AQ1354" s="1087"/>
      <c r="AR1354" s="1764"/>
      <c r="AS1354" s="1764"/>
      <c r="AT1354" s="1086"/>
      <c r="AU1354" s="1768"/>
      <c r="AV1354" s="1814"/>
    </row>
    <row r="1355" spans="1:48" ht="16.5" customHeight="1">
      <c r="A1355" s="1640"/>
      <c r="B1355" s="1646"/>
      <c r="C1355" s="1716"/>
      <c r="D1355" s="1625"/>
      <c r="E1355" s="1625"/>
      <c r="F1355" s="1648"/>
      <c r="G1355" s="1625"/>
      <c r="H1355" s="1625"/>
      <c r="I1355" s="1629"/>
      <c r="J1355" s="1630"/>
      <c r="K1355" s="1631"/>
      <c r="L1355" s="1245"/>
      <c r="M1355" s="1320"/>
      <c r="N1355" s="1632"/>
      <c r="O1355" s="1633"/>
      <c r="P1355" s="1634"/>
      <c r="Q1355" s="1632"/>
      <c r="R1355" s="1646"/>
      <c r="S1355" s="1625"/>
      <c r="T1355" s="1634"/>
      <c r="U1355" s="1635">
        <v>9</v>
      </c>
      <c r="V1355" s="1636" t="s">
        <v>872</v>
      </c>
      <c r="W1355" s="1714">
        <v>3</v>
      </c>
      <c r="X1355" s="1650"/>
      <c r="Y1355" s="1623"/>
      <c r="Z1355" s="1651">
        <f t="shared" si="113"/>
        <v>3</v>
      </c>
      <c r="AA1355" s="1625"/>
      <c r="AB1355" s="1667"/>
      <c r="AC1355" s="1640"/>
      <c r="AD1355" s="1635"/>
      <c r="AE1355" s="1764"/>
      <c r="AF1355" s="1085"/>
      <c r="AG1355" s="1086"/>
      <c r="AH1355" s="1087"/>
      <c r="AI1355" s="1087"/>
      <c r="AJ1355" s="1768"/>
      <c r="AK1355" s="1089">
        <v>34650</v>
      </c>
      <c r="AL1355" s="1090">
        <f t="shared" si="112"/>
        <v>103950</v>
      </c>
      <c r="AM1355" s="1086"/>
      <c r="AN1355" s="1086"/>
      <c r="AO1355" s="1087"/>
      <c r="AP1355" s="1764"/>
      <c r="AQ1355" s="1087"/>
      <c r="AR1355" s="1764"/>
      <c r="AS1355" s="1764"/>
      <c r="AT1355" s="1086"/>
      <c r="AU1355" s="1768"/>
      <c r="AV1355" s="1814"/>
    </row>
    <row r="1356" spans="1:48" ht="16.5" customHeight="1">
      <c r="A1356" s="1640"/>
      <c r="B1356" s="1646"/>
      <c r="C1356" s="1716"/>
      <c r="D1356" s="1625"/>
      <c r="E1356" s="1625"/>
      <c r="F1356" s="1648"/>
      <c r="G1356" s="1625"/>
      <c r="H1356" s="1625"/>
      <c r="I1356" s="1629"/>
      <c r="J1356" s="1630"/>
      <c r="K1356" s="1631"/>
      <c r="L1356" s="1245"/>
      <c r="M1356" s="1320"/>
      <c r="N1356" s="1632"/>
      <c r="O1356" s="1633"/>
      <c r="P1356" s="1634"/>
      <c r="Q1356" s="1632"/>
      <c r="R1356" s="1646"/>
      <c r="S1356" s="1625"/>
      <c r="T1356" s="1634"/>
      <c r="U1356" s="1635">
        <v>10</v>
      </c>
      <c r="V1356" s="1636" t="s">
        <v>1239</v>
      </c>
      <c r="W1356" s="1714"/>
      <c r="X1356" s="1650"/>
      <c r="Y1356" s="1623">
        <v>60</v>
      </c>
      <c r="Z1356" s="1651">
        <f t="shared" si="113"/>
        <v>60</v>
      </c>
      <c r="AA1356" s="1625"/>
      <c r="AB1356" s="1667"/>
      <c r="AC1356" s="1640"/>
      <c r="AD1356" s="1635"/>
      <c r="AE1356" s="1764"/>
      <c r="AF1356" s="1085"/>
      <c r="AG1356" s="1086"/>
      <c r="AH1356" s="1087"/>
      <c r="AI1356" s="1087"/>
      <c r="AJ1356" s="1768"/>
      <c r="AK1356" s="1089">
        <v>3250</v>
      </c>
      <c r="AL1356" s="1090">
        <f>AK1356*Y1356</f>
        <v>195000</v>
      </c>
      <c r="AM1356" s="1086"/>
      <c r="AN1356" s="1086"/>
      <c r="AO1356" s="1087"/>
      <c r="AP1356" s="1764"/>
      <c r="AQ1356" s="1087"/>
      <c r="AR1356" s="1764"/>
      <c r="AS1356" s="1764"/>
      <c r="AT1356" s="1086"/>
      <c r="AU1356" s="1768"/>
      <c r="AV1356" s="1814"/>
    </row>
    <row r="1357" spans="1:48" ht="16.5" customHeight="1">
      <c r="A1357" s="1640"/>
      <c r="B1357" s="1646"/>
      <c r="C1357" s="1716"/>
      <c r="D1357" s="1625"/>
      <c r="E1357" s="1625"/>
      <c r="F1357" s="1648"/>
      <c r="G1357" s="1625"/>
      <c r="H1357" s="1625"/>
      <c r="I1357" s="1629"/>
      <c r="J1357" s="1630"/>
      <c r="K1357" s="1631"/>
      <c r="L1357" s="1245"/>
      <c r="M1357" s="1320"/>
      <c r="N1357" s="1632"/>
      <c r="O1357" s="1633"/>
      <c r="P1357" s="1634"/>
      <c r="Q1357" s="1632"/>
      <c r="R1357" s="1646"/>
      <c r="S1357" s="1625"/>
      <c r="T1357" s="1634"/>
      <c r="U1357" s="1635">
        <v>11</v>
      </c>
      <c r="V1357" s="1636" t="s">
        <v>849</v>
      </c>
      <c r="W1357" s="1714">
        <v>10</v>
      </c>
      <c r="X1357" s="1650"/>
      <c r="Y1357" s="1623"/>
      <c r="Z1357" s="1651">
        <f t="shared" si="113"/>
        <v>10</v>
      </c>
      <c r="AA1357" s="1625"/>
      <c r="AB1357" s="1667"/>
      <c r="AC1357" s="1640"/>
      <c r="AD1357" s="1635"/>
      <c r="AE1357" s="1764"/>
      <c r="AF1357" s="1085"/>
      <c r="AG1357" s="1086"/>
      <c r="AH1357" s="1087"/>
      <c r="AI1357" s="1087"/>
      <c r="AJ1357" s="1768"/>
      <c r="AK1357" s="1089">
        <v>5000</v>
      </c>
      <c r="AL1357" s="1090">
        <f t="shared" si="112"/>
        <v>50000</v>
      </c>
      <c r="AM1357" s="1086"/>
      <c r="AN1357" s="1086"/>
      <c r="AO1357" s="1087"/>
      <c r="AP1357" s="1764"/>
      <c r="AQ1357" s="1087"/>
      <c r="AR1357" s="1764"/>
      <c r="AS1357" s="1764"/>
      <c r="AT1357" s="1086"/>
      <c r="AU1357" s="1768"/>
      <c r="AV1357" s="1814"/>
    </row>
    <row r="1358" spans="1:48" ht="16.5" customHeight="1">
      <c r="A1358" s="1673"/>
      <c r="B1358" s="1674"/>
      <c r="C1358" s="1675"/>
      <c r="D1358" s="1676"/>
      <c r="E1358" s="1677"/>
      <c r="F1358" s="1678"/>
      <c r="G1358" s="1676"/>
      <c r="H1358" s="1679"/>
      <c r="I1358" s="1680"/>
      <c r="J1358" s="1681"/>
      <c r="K1358" s="1682"/>
      <c r="L1358" s="1270"/>
      <c r="M1358" s="1549"/>
      <c r="N1358" s="1683"/>
      <c r="O1358" s="1684"/>
      <c r="P1358" s="1685"/>
      <c r="Q1358" s="1683"/>
      <c r="R1358" s="1686"/>
      <c r="S1358" s="1676"/>
      <c r="T1358" s="1685"/>
      <c r="U1358" s="1773"/>
      <c r="V1358" s="1718"/>
      <c r="W1358" s="1719"/>
      <c r="X1358" s="1720"/>
      <c r="Y1358" s="1721"/>
      <c r="Z1358" s="1787"/>
      <c r="AA1358" s="1676"/>
      <c r="AB1358" s="1679"/>
      <c r="AC1358" s="1673"/>
      <c r="AD1358" s="1773"/>
      <c r="AE1358" s="1774"/>
      <c r="AF1358" s="1115"/>
      <c r="AG1358" s="1116"/>
      <c r="AH1358" s="1117"/>
      <c r="AI1358" s="1117"/>
      <c r="AJ1358" s="1775"/>
      <c r="AK1358" s="1119"/>
      <c r="AL1358" s="1120"/>
      <c r="AM1358" s="1116"/>
      <c r="AN1358" s="1116"/>
      <c r="AO1358" s="1117"/>
      <c r="AP1358" s="1774"/>
      <c r="AQ1358" s="1117"/>
      <c r="AR1358" s="1774"/>
      <c r="AS1358" s="1774"/>
      <c r="AT1358" s="1116"/>
      <c r="AU1358" s="1775"/>
      <c r="AV1358" s="1820"/>
    </row>
    <row r="1359" spans="1:48" ht="16.5" customHeight="1">
      <c r="A1359" s="1698">
        <v>106</v>
      </c>
      <c r="B1359" s="1699" t="s">
        <v>25</v>
      </c>
      <c r="C1359" s="1700" t="s">
        <v>1253</v>
      </c>
      <c r="D1359" s="1701"/>
      <c r="E1359" s="1702"/>
      <c r="F1359" s="1730" t="s">
        <v>1252</v>
      </c>
      <c r="G1359" s="1704" t="s">
        <v>25</v>
      </c>
      <c r="H1359" s="1705" t="s">
        <v>42</v>
      </c>
      <c r="I1359" s="1810">
        <v>195</v>
      </c>
      <c r="J1359" s="1630" t="s">
        <v>41</v>
      </c>
      <c r="K1359" s="1722" t="s">
        <v>1251</v>
      </c>
      <c r="L1359" s="1373"/>
      <c r="M1359" s="1317"/>
      <c r="N1359" s="1707"/>
      <c r="O1359" s="1708"/>
      <c r="P1359" s="1709"/>
      <c r="Q1359" s="1707"/>
      <c r="R1359" s="1699" t="s">
        <v>25</v>
      </c>
      <c r="S1359" s="1702" t="s">
        <v>24</v>
      </c>
      <c r="T1359" s="1709"/>
      <c r="U1359" s="1710"/>
      <c r="V1359" s="1711"/>
      <c r="W1359" s="1712"/>
      <c r="X1359" s="1713"/>
      <c r="Y1359" s="1700"/>
      <c r="Z1359" s="1761"/>
      <c r="AA1359" s="1702"/>
      <c r="AB1359" s="1809"/>
      <c r="AC1359" s="1641"/>
      <c r="AD1359" s="1710"/>
      <c r="AE1359" s="1766"/>
      <c r="AF1359" s="1056">
        <f>Resum!F1</f>
        <v>356000</v>
      </c>
      <c r="AG1359" s="1086">
        <f>AF1359*I1359</f>
        <v>69420000</v>
      </c>
      <c r="AH1359" s="1058"/>
      <c r="AI1359" s="1058"/>
      <c r="AJ1359" s="1767"/>
      <c r="AK1359" s="1060"/>
      <c r="AL1359" s="1090"/>
      <c r="AM1359" s="1057">
        <f>SUM(AL1362)</f>
        <v>1050000</v>
      </c>
      <c r="AN1359" s="1086">
        <f>AM1359+AJ1359+AG1359</f>
        <v>70470000</v>
      </c>
      <c r="AO1359" s="1058"/>
      <c r="AP1359" s="1136">
        <f>AI1360*15%</f>
        <v>0</v>
      </c>
      <c r="AQ1359" s="1087">
        <v>0</v>
      </c>
      <c r="AR1359" s="1136">
        <f>(AG1359+AI1359)*5%</f>
        <v>3471000</v>
      </c>
      <c r="AS1359" s="1087">
        <f>0.5%*(AG1359+AI1359)*(3)</f>
        <v>1041300</v>
      </c>
      <c r="AT1359" s="1086">
        <f>+AS1359+AR1359+AQ1359+AP1359+AO1359</f>
        <v>4512300</v>
      </c>
      <c r="AU1359" s="1137">
        <f>ROUND(AT1359+AN1359,-3)</f>
        <v>74982000</v>
      </c>
      <c r="AV1359" s="1812"/>
    </row>
    <row r="1360" spans="1:48" ht="16.5" customHeight="1">
      <c r="A1360" s="1640"/>
      <c r="B1360" s="1646" t="s">
        <v>16</v>
      </c>
      <c r="C1360" s="1647" t="s">
        <v>1250</v>
      </c>
      <c r="D1360" s="1625"/>
      <c r="E1360" s="1633"/>
      <c r="F1360" s="1648"/>
      <c r="G1360" s="1625" t="s">
        <v>16</v>
      </c>
      <c r="H1360" s="1625" t="s">
        <v>22</v>
      </c>
      <c r="I1360" s="1629"/>
      <c r="J1360" s="1630"/>
      <c r="K1360" s="1631"/>
      <c r="L1360" s="1245"/>
      <c r="M1360" s="1320"/>
      <c r="N1360" s="1632"/>
      <c r="O1360" s="1633"/>
      <c r="P1360" s="1634"/>
      <c r="Q1360" s="1632"/>
      <c r="R1360" s="1646"/>
      <c r="S1360" s="1625"/>
      <c r="T1360" s="1634"/>
      <c r="U1360" s="1635"/>
      <c r="V1360" s="1636"/>
      <c r="W1360" s="1714"/>
      <c r="X1360" s="1650"/>
      <c r="Y1360" s="1623"/>
      <c r="Z1360" s="1651"/>
      <c r="AA1360" s="1625"/>
      <c r="AB1360" s="1667"/>
      <c r="AC1360" s="1640"/>
      <c r="AD1360" s="1635"/>
      <c r="AE1360" s="1764"/>
      <c r="AF1360" s="1085"/>
      <c r="AG1360" s="1086"/>
      <c r="AH1360" s="1087"/>
      <c r="AI1360" s="1087"/>
      <c r="AJ1360" s="1768"/>
      <c r="AK1360" s="1089"/>
      <c r="AL1360" s="1090"/>
      <c r="AM1360" s="1086"/>
      <c r="AN1360" s="1086"/>
      <c r="AO1360" s="1087"/>
      <c r="AP1360" s="1764"/>
      <c r="AQ1360" s="1087"/>
      <c r="AR1360" s="1764"/>
      <c r="AS1360" s="1764"/>
      <c r="AT1360" s="1086"/>
      <c r="AU1360" s="1768"/>
      <c r="AV1360" s="1814"/>
    </row>
    <row r="1361" spans="1:48" ht="16.5" customHeight="1">
      <c r="A1361" s="1640"/>
      <c r="B1361" s="1646" t="s">
        <v>18</v>
      </c>
      <c r="C1361" s="1623"/>
      <c r="D1361" s="1625"/>
      <c r="E1361" s="1625"/>
      <c r="F1361" s="1648"/>
      <c r="G1361" s="1625" t="s">
        <v>18</v>
      </c>
      <c r="H1361" s="1625" t="s">
        <v>19</v>
      </c>
      <c r="I1361" s="1629"/>
      <c r="J1361" s="1630"/>
      <c r="K1361" s="1631"/>
      <c r="L1361" s="1245"/>
      <c r="M1361" s="1320"/>
      <c r="N1361" s="1632"/>
      <c r="O1361" s="1633"/>
      <c r="P1361" s="1634"/>
      <c r="Q1361" s="1632"/>
      <c r="R1361" s="1646" t="s">
        <v>16</v>
      </c>
      <c r="S1361" s="1625" t="s">
        <v>15</v>
      </c>
      <c r="T1361" s="1634">
        <v>2</v>
      </c>
      <c r="U1361" s="1635">
        <v>1</v>
      </c>
      <c r="V1361" s="1636" t="s">
        <v>3</v>
      </c>
      <c r="W1361" s="1714">
        <v>4</v>
      </c>
      <c r="X1361" s="1650"/>
      <c r="Y1361" s="1623"/>
      <c r="Z1361" s="1651">
        <f>SUM(W1361:Y1361)</f>
        <v>4</v>
      </c>
      <c r="AA1361" s="1625"/>
      <c r="AB1361" s="1667"/>
      <c r="AC1361" s="1640"/>
      <c r="AD1361" s="1635"/>
      <c r="AE1361" s="1764"/>
      <c r="AF1361" s="1085"/>
      <c r="AG1361" s="1086"/>
      <c r="AH1361" s="1087"/>
      <c r="AI1361" s="1087"/>
      <c r="AJ1361" s="1768"/>
      <c r="AK1361" s="1089">
        <v>85000</v>
      </c>
      <c r="AL1361" s="1090">
        <f t="shared" si="112"/>
        <v>340000</v>
      </c>
      <c r="AM1361" s="1086"/>
      <c r="AN1361" s="1086"/>
      <c r="AO1361" s="1087"/>
      <c r="AP1361" s="1764"/>
      <c r="AQ1361" s="1087"/>
      <c r="AR1361" s="1764"/>
      <c r="AS1361" s="1764"/>
      <c r="AT1361" s="1086"/>
      <c r="AU1361" s="1768"/>
      <c r="AV1361" s="1814"/>
    </row>
    <row r="1362" spans="1:48" ht="49.5" customHeight="1">
      <c r="A1362" s="1640"/>
      <c r="B1362" s="1658" t="s">
        <v>12</v>
      </c>
      <c r="C1362" s="1659" t="s">
        <v>1249</v>
      </c>
      <c r="D1362" s="1625"/>
      <c r="E1362" s="1628"/>
      <c r="F1362" s="1648"/>
      <c r="G1362" s="1625"/>
      <c r="H1362" s="1667"/>
      <c r="I1362" s="1629"/>
      <c r="J1362" s="1630"/>
      <c r="K1362" s="1631"/>
      <c r="L1362" s="1245"/>
      <c r="M1362" s="1320"/>
      <c r="N1362" s="1632"/>
      <c r="O1362" s="1633"/>
      <c r="P1362" s="1634"/>
      <c r="Q1362" s="1632"/>
      <c r="R1362" s="1646"/>
      <c r="S1362" s="1625"/>
      <c r="T1362" s="1634"/>
      <c r="U1362" s="1635">
        <v>2</v>
      </c>
      <c r="V1362" s="1636" t="s">
        <v>14</v>
      </c>
      <c r="W1362" s="1714">
        <v>3</v>
      </c>
      <c r="X1362" s="1650"/>
      <c r="Y1362" s="1623"/>
      <c r="Z1362" s="1651">
        <f>SUM(W1362:Y1362)</f>
        <v>3</v>
      </c>
      <c r="AA1362" s="1625"/>
      <c r="AB1362" s="1667"/>
      <c r="AC1362" s="1640"/>
      <c r="AD1362" s="1635"/>
      <c r="AE1362" s="1764"/>
      <c r="AF1362" s="1085"/>
      <c r="AG1362" s="1086"/>
      <c r="AH1362" s="1087"/>
      <c r="AI1362" s="1087"/>
      <c r="AJ1362" s="1768"/>
      <c r="AK1362" s="1089">
        <v>350000</v>
      </c>
      <c r="AL1362" s="1087">
        <f t="shared" si="112"/>
        <v>1050000</v>
      </c>
      <c r="AM1362" s="1086"/>
      <c r="AN1362" s="1086"/>
      <c r="AO1362" s="1087"/>
      <c r="AP1362" s="1764"/>
      <c r="AQ1362" s="1087"/>
      <c r="AR1362" s="1764"/>
      <c r="AS1362" s="1764"/>
      <c r="AT1362" s="1086"/>
      <c r="AU1362" s="1768"/>
      <c r="AV1362" s="1814"/>
    </row>
    <row r="1363" spans="1:48" ht="16.5" customHeight="1">
      <c r="A1363" s="1673"/>
      <c r="B1363" s="1686" t="s">
        <v>8</v>
      </c>
      <c r="C1363" s="1819" t="s">
        <v>1248</v>
      </c>
      <c r="D1363" s="1676"/>
      <c r="E1363" s="1677"/>
      <c r="F1363" s="1678"/>
      <c r="G1363" s="1676"/>
      <c r="H1363" s="1679"/>
      <c r="I1363" s="1680"/>
      <c r="J1363" s="1681"/>
      <c r="K1363" s="1682"/>
      <c r="L1363" s="1270"/>
      <c r="M1363" s="1549"/>
      <c r="N1363" s="1683"/>
      <c r="O1363" s="1684"/>
      <c r="P1363" s="1685"/>
      <c r="Q1363" s="1683"/>
      <c r="R1363" s="1686"/>
      <c r="S1363" s="1676"/>
      <c r="T1363" s="1685"/>
      <c r="U1363" s="1773"/>
      <c r="V1363" s="1718"/>
      <c r="W1363" s="1719"/>
      <c r="X1363" s="1720"/>
      <c r="Y1363" s="1721"/>
      <c r="Z1363" s="1787"/>
      <c r="AA1363" s="1676"/>
      <c r="AB1363" s="1679"/>
      <c r="AC1363" s="1673"/>
      <c r="AD1363" s="1773"/>
      <c r="AE1363" s="1774"/>
      <c r="AF1363" s="1115"/>
      <c r="AG1363" s="1116"/>
      <c r="AH1363" s="1117"/>
      <c r="AI1363" s="1117"/>
      <c r="AJ1363" s="1775"/>
      <c r="AK1363" s="1119"/>
      <c r="AL1363" s="1120"/>
      <c r="AM1363" s="1116"/>
      <c r="AN1363" s="1116"/>
      <c r="AO1363" s="1117"/>
      <c r="AP1363" s="1774"/>
      <c r="AQ1363" s="1117"/>
      <c r="AR1363" s="1774"/>
      <c r="AS1363" s="1774"/>
      <c r="AT1363" s="1116"/>
      <c r="AU1363" s="1775"/>
      <c r="AV1363" s="1820"/>
    </row>
    <row r="1364" spans="1:48" ht="16.5" customHeight="1">
      <c r="A1364" s="1698">
        <v>107</v>
      </c>
      <c r="B1364" s="1699" t="s">
        <v>25</v>
      </c>
      <c r="C1364" s="1700" t="s">
        <v>1247</v>
      </c>
      <c r="D1364" s="1701"/>
      <c r="E1364" s="1702"/>
      <c r="F1364" s="1730" t="s">
        <v>1246</v>
      </c>
      <c r="G1364" s="1704" t="s">
        <v>25</v>
      </c>
      <c r="H1364" s="1705" t="s">
        <v>42</v>
      </c>
      <c r="I1364" s="1810">
        <v>495</v>
      </c>
      <c r="J1364" s="1783" t="s">
        <v>41</v>
      </c>
      <c r="K1364" s="1722" t="s">
        <v>1245</v>
      </c>
      <c r="L1364" s="1373"/>
      <c r="M1364" s="1317"/>
      <c r="N1364" s="1707" t="s">
        <v>25</v>
      </c>
      <c r="O1364" s="1723" t="s">
        <v>26</v>
      </c>
      <c r="P1364" s="1709">
        <v>2</v>
      </c>
      <c r="Q1364" s="1707">
        <v>279</v>
      </c>
      <c r="R1364" s="1699" t="s">
        <v>25</v>
      </c>
      <c r="S1364" s="1702" t="s">
        <v>24</v>
      </c>
      <c r="T1364" s="1709">
        <v>2</v>
      </c>
      <c r="U1364" s="1710">
        <v>1</v>
      </c>
      <c r="V1364" s="1711" t="s">
        <v>109</v>
      </c>
      <c r="W1364" s="1712"/>
      <c r="X1364" s="1713">
        <v>4</v>
      </c>
      <c r="Y1364" s="1700"/>
      <c r="Z1364" s="1761">
        <f>SUM(W1364:Y1364)</f>
        <v>4</v>
      </c>
      <c r="AA1364" s="1702"/>
      <c r="AB1364" s="1809"/>
      <c r="AC1364" s="1641"/>
      <c r="AD1364" s="1710"/>
      <c r="AE1364" s="1766"/>
      <c r="AF1364" s="1056">
        <f>Resum!F1</f>
        <v>356000</v>
      </c>
      <c r="AG1364" s="1057">
        <f>AF1364*I1364</f>
        <v>176220000</v>
      </c>
      <c r="AH1364" s="1058">
        <v>1800000</v>
      </c>
      <c r="AI1364" s="1060">
        <f>AH1364*Q1364*0.65</f>
        <v>326430000</v>
      </c>
      <c r="AJ1364" s="1811">
        <f>SUM(AI1364:AI1373)</f>
        <v>395232500</v>
      </c>
      <c r="AK1364" s="1060">
        <v>25000</v>
      </c>
      <c r="AL1364" s="1061">
        <f>AK1364*X1364</f>
        <v>100000</v>
      </c>
      <c r="AM1364" s="1057">
        <f>SUM(AL1364:AL1379)</f>
        <v>2396680</v>
      </c>
      <c r="AN1364" s="1057">
        <f>AM1364+AJ1364+AG1364</f>
        <v>573849180</v>
      </c>
      <c r="AO1364" s="1058"/>
      <c r="AP1364" s="1548">
        <f>(AG1364+AI136)*15%</f>
        <v>26433000</v>
      </c>
      <c r="AQ1364" s="1058">
        <f>(AG1364+AI1364)*0.75%</f>
        <v>3769875</v>
      </c>
      <c r="AR1364" s="1548">
        <f>(AG1364+AI1364)*5%</f>
        <v>25132500</v>
      </c>
      <c r="AS1364" s="1058">
        <f>0.5%*(AG1364+AI1364)*(3)</f>
        <v>7539750</v>
      </c>
      <c r="AT1364" s="1057">
        <f>+AS1364+AR1364+AQ1364+AP1364+AO1364</f>
        <v>62875125</v>
      </c>
      <c r="AU1364" s="2015">
        <f>ROUND(AT1364+AN1364,-3)</f>
        <v>636724000</v>
      </c>
      <c r="AV1364" s="1812"/>
    </row>
    <row r="1365" spans="1:48" ht="16.5" customHeight="1">
      <c r="A1365" s="1640"/>
      <c r="B1365" s="1646" t="s">
        <v>16</v>
      </c>
      <c r="C1365" s="1647" t="s">
        <v>1244</v>
      </c>
      <c r="D1365" s="1625"/>
      <c r="E1365" s="1633"/>
      <c r="F1365" s="1648"/>
      <c r="G1365" s="1625" t="s">
        <v>16</v>
      </c>
      <c r="H1365" s="1625" t="s">
        <v>22</v>
      </c>
      <c r="I1365" s="1629"/>
      <c r="J1365" s="1630"/>
      <c r="K1365" s="1631"/>
      <c r="L1365" s="1245"/>
      <c r="M1365" s="1320"/>
      <c r="N1365" s="1632" t="s">
        <v>16</v>
      </c>
      <c r="O1365" s="1624" t="s">
        <v>21</v>
      </c>
      <c r="P1365" s="1634">
        <v>1</v>
      </c>
      <c r="Q1365" s="1632">
        <v>9</v>
      </c>
      <c r="R1365" s="1646"/>
      <c r="S1365" s="1625"/>
      <c r="T1365" s="1634"/>
      <c r="U1365" s="1635">
        <v>2</v>
      </c>
      <c r="V1365" s="1636" t="s">
        <v>80</v>
      </c>
      <c r="W1365" s="1714"/>
      <c r="X1365" s="1650"/>
      <c r="Y1365" s="1623">
        <v>1</v>
      </c>
      <c r="Z1365" s="1651" t="s">
        <v>215</v>
      </c>
      <c r="AA1365" s="1625"/>
      <c r="AB1365" s="1667"/>
      <c r="AC1365" s="1640"/>
      <c r="AD1365" s="1635"/>
      <c r="AE1365" s="1764"/>
      <c r="AF1365" s="1085"/>
      <c r="AG1365" s="1086"/>
      <c r="AH1365" s="1087">
        <v>100000</v>
      </c>
      <c r="AI1365" s="1089">
        <f>AH1365*Q1365*0.65</f>
        <v>585000</v>
      </c>
      <c r="AJ1365" s="1768"/>
      <c r="AK1365" s="1089">
        <v>1500</v>
      </c>
      <c r="AL1365" s="1090">
        <f>AK1365*Y1365</f>
        <v>1500</v>
      </c>
      <c r="AM1365" s="1086"/>
      <c r="AN1365" s="1086"/>
      <c r="AO1365" s="1087"/>
      <c r="AP1365" s="1764"/>
      <c r="AQ1365" s="1087"/>
      <c r="AR1365" s="1764"/>
      <c r="AS1365" s="1764"/>
      <c r="AT1365" s="1086"/>
      <c r="AU1365" s="1768"/>
      <c r="AV1365" s="1814"/>
    </row>
    <row r="1366" spans="1:48" ht="16.5" customHeight="1">
      <c r="A1366" s="1640"/>
      <c r="B1366" s="1646" t="s">
        <v>18</v>
      </c>
      <c r="C1366" s="1623" t="s">
        <v>1191</v>
      </c>
      <c r="D1366" s="1625"/>
      <c r="E1366" s="1625"/>
      <c r="F1366" s="1648"/>
      <c r="G1366" s="1625" t="s">
        <v>18</v>
      </c>
      <c r="H1366" s="1625" t="s">
        <v>19</v>
      </c>
      <c r="I1366" s="1629"/>
      <c r="J1366" s="1630"/>
      <c r="K1366" s="1631"/>
      <c r="L1366" s="1245"/>
      <c r="M1366" s="1320"/>
      <c r="N1366" s="1632" t="s">
        <v>18</v>
      </c>
      <c r="O1366" s="1624" t="s">
        <v>733</v>
      </c>
      <c r="P1366" s="1634">
        <v>1</v>
      </c>
      <c r="Q1366" s="1634"/>
      <c r="R1366" s="1739"/>
      <c r="S1366" s="1666"/>
      <c r="T1366" s="1741"/>
      <c r="U1366" s="1635"/>
      <c r="V1366" s="1636"/>
      <c r="W1366" s="1714"/>
      <c r="X1366" s="1650"/>
      <c r="Y1366" s="1623"/>
      <c r="Z1366" s="1651"/>
      <c r="AA1366" s="1625"/>
      <c r="AB1366" s="1667"/>
      <c r="AC1366" s="1640"/>
      <c r="AD1366" s="1635"/>
      <c r="AE1366" s="1764"/>
      <c r="AF1366" s="1085"/>
      <c r="AG1366" s="1086"/>
      <c r="AH1366" s="1087">
        <v>3000000</v>
      </c>
      <c r="AI1366" s="1089">
        <f>AH1366*P1366*0.5</f>
        <v>1500000</v>
      </c>
      <c r="AJ1366" s="1768"/>
      <c r="AK1366" s="1089"/>
      <c r="AL1366" s="1090"/>
      <c r="AM1366" s="1086"/>
      <c r="AN1366" s="1086"/>
      <c r="AO1366" s="1087"/>
      <c r="AP1366" s="1764"/>
      <c r="AQ1366" s="1087"/>
      <c r="AR1366" s="1764"/>
      <c r="AS1366" s="1764"/>
      <c r="AT1366" s="1086"/>
      <c r="AU1366" s="1768"/>
      <c r="AV1366" s="1814"/>
    </row>
    <row r="1367" spans="1:48" ht="49.5" customHeight="1">
      <c r="A1367" s="1640"/>
      <c r="B1367" s="1658" t="s">
        <v>12</v>
      </c>
      <c r="C1367" s="1659" t="s">
        <v>1141</v>
      </c>
      <c r="D1367" s="1625"/>
      <c r="E1367" s="1625"/>
      <c r="F1367" s="1648"/>
      <c r="G1367" s="1625"/>
      <c r="H1367" s="1625"/>
      <c r="I1367" s="1629"/>
      <c r="J1367" s="1630"/>
      <c r="K1367" s="1631"/>
      <c r="L1367" s="1245"/>
      <c r="M1367" s="1320"/>
      <c r="N1367" s="1632" t="s">
        <v>12</v>
      </c>
      <c r="O1367" s="1624" t="s">
        <v>17</v>
      </c>
      <c r="P1367" s="1634">
        <v>1</v>
      </c>
      <c r="Q1367" s="1632"/>
      <c r="R1367" s="1646" t="s">
        <v>16</v>
      </c>
      <c r="S1367" s="1625" t="s">
        <v>15</v>
      </c>
      <c r="T1367" s="1634">
        <v>13</v>
      </c>
      <c r="U1367" s="1635">
        <v>1</v>
      </c>
      <c r="V1367" s="1636" t="s">
        <v>290</v>
      </c>
      <c r="W1367" s="1714"/>
      <c r="X1367" s="1650">
        <v>3</v>
      </c>
      <c r="Y1367" s="1623"/>
      <c r="Z1367" s="1651"/>
      <c r="AA1367" s="1625"/>
      <c r="AB1367" s="1667"/>
      <c r="AC1367" s="1640"/>
      <c r="AD1367" s="1635"/>
      <c r="AE1367" s="1764"/>
      <c r="AF1367" s="1085"/>
      <c r="AG1367" s="1086"/>
      <c r="AH1367" s="1087">
        <v>2500000</v>
      </c>
      <c r="AI1367" s="1089">
        <f>AH1367*P1367*0.5</f>
        <v>1250000</v>
      </c>
      <c r="AJ1367" s="1768"/>
      <c r="AK1367" s="1089">
        <v>31000</v>
      </c>
      <c r="AL1367" s="1090">
        <f>AK1367*X1367</f>
        <v>93000</v>
      </c>
      <c r="AM1367" s="1086"/>
      <c r="AN1367" s="1086"/>
      <c r="AO1367" s="1087"/>
      <c r="AP1367" s="1764"/>
      <c r="AQ1367" s="1087"/>
      <c r="AR1367" s="1764"/>
      <c r="AS1367" s="1764"/>
      <c r="AT1367" s="1086"/>
      <c r="AU1367" s="1768"/>
      <c r="AV1367" s="1814"/>
    </row>
    <row r="1368" spans="1:48" ht="16.5" customHeight="1">
      <c r="A1368" s="1640"/>
      <c r="B1368" s="1646" t="s">
        <v>8</v>
      </c>
      <c r="C1368" s="1716" t="s">
        <v>1243</v>
      </c>
      <c r="D1368" s="1625"/>
      <c r="E1368" s="1625"/>
      <c r="F1368" s="1648"/>
      <c r="G1368" s="1625"/>
      <c r="H1368" s="1625"/>
      <c r="I1368" s="1629"/>
      <c r="J1368" s="1630"/>
      <c r="K1368" s="1631"/>
      <c r="L1368" s="1245"/>
      <c r="M1368" s="1320"/>
      <c r="N1368" s="1632" t="s">
        <v>8</v>
      </c>
      <c r="O1368" s="1624" t="s">
        <v>11</v>
      </c>
      <c r="P1368" s="1634">
        <v>1</v>
      </c>
      <c r="Q1368" s="1632"/>
      <c r="R1368" s="1646"/>
      <c r="S1368" s="1625"/>
      <c r="T1368" s="1634"/>
      <c r="U1368" s="1635">
        <v>2</v>
      </c>
      <c r="V1368" s="1636" t="s">
        <v>217</v>
      </c>
      <c r="W1368" s="1650">
        <v>10</v>
      </c>
      <c r="X1368" s="1650"/>
      <c r="Y1368" s="1623"/>
      <c r="Z1368" s="1651" t="s">
        <v>1242</v>
      </c>
      <c r="AA1368" s="1625"/>
      <c r="AB1368" s="1667"/>
      <c r="AC1368" s="1640"/>
      <c r="AD1368" s="1635"/>
      <c r="AE1368" s="1764"/>
      <c r="AF1368" s="1085"/>
      <c r="AG1368" s="1086"/>
      <c r="AH1368" s="1087">
        <v>2500000</v>
      </c>
      <c r="AI1368" s="1089">
        <f>AH1368*P1368*0.75</f>
        <v>1875000</v>
      </c>
      <c r="AJ1368" s="1768"/>
      <c r="AK1368" s="1089">
        <v>8750</v>
      </c>
      <c r="AL1368" s="1090">
        <f t="shared" si="112"/>
        <v>87500</v>
      </c>
      <c r="AM1368" s="1086"/>
      <c r="AN1368" s="1086"/>
      <c r="AO1368" s="1087"/>
      <c r="AP1368" s="1764"/>
      <c r="AQ1368" s="1087"/>
      <c r="AR1368" s="1764"/>
      <c r="AS1368" s="1764"/>
      <c r="AT1368" s="1086"/>
      <c r="AU1368" s="1768"/>
      <c r="AV1368" s="1814"/>
    </row>
    <row r="1369" spans="1:48" ht="16.5" customHeight="1">
      <c r="A1369" s="1640"/>
      <c r="B1369" s="1646"/>
      <c r="C1369" s="1623"/>
      <c r="D1369" s="1625"/>
      <c r="E1369" s="1625"/>
      <c r="F1369" s="1648"/>
      <c r="G1369" s="1625"/>
      <c r="H1369" s="1625"/>
      <c r="I1369" s="1629"/>
      <c r="J1369" s="1630"/>
      <c r="K1369" s="1631"/>
      <c r="L1369" s="1245"/>
      <c r="M1369" s="1320"/>
      <c r="N1369" s="1632" t="s">
        <v>54</v>
      </c>
      <c r="O1369" s="1624" t="s">
        <v>447</v>
      </c>
      <c r="P1369" s="1634"/>
      <c r="Q1369" s="1632">
        <v>126</v>
      </c>
      <c r="R1369" s="1646"/>
      <c r="S1369" s="1625"/>
      <c r="T1369" s="1634"/>
      <c r="U1369" s="1635">
        <v>3</v>
      </c>
      <c r="V1369" s="1636" t="s">
        <v>1241</v>
      </c>
      <c r="W1369" s="1714">
        <v>4</v>
      </c>
      <c r="X1369" s="1650"/>
      <c r="Y1369" s="1623"/>
      <c r="Z1369" s="1651">
        <f t="shared" ref="Z1369:Z1377" si="114">SUM(W1369:Y1369)</f>
        <v>4</v>
      </c>
      <c r="AA1369" s="1625"/>
      <c r="AB1369" s="1667"/>
      <c r="AC1369" s="1640"/>
      <c r="AD1369" s="1635"/>
      <c r="AE1369" s="1764"/>
      <c r="AF1369" s="1085"/>
      <c r="AG1369" s="1086"/>
      <c r="AH1369" s="1087">
        <v>300000</v>
      </c>
      <c r="AI1369" s="1089">
        <f>AH1369*Q1369*0.5</f>
        <v>18900000</v>
      </c>
      <c r="AJ1369" s="1768"/>
      <c r="AK1369" s="1089">
        <v>2645</v>
      </c>
      <c r="AL1369" s="1090">
        <f t="shared" si="112"/>
        <v>10580</v>
      </c>
      <c r="AM1369" s="1086"/>
      <c r="AN1369" s="1086"/>
      <c r="AO1369" s="1087"/>
      <c r="AP1369" s="1764"/>
      <c r="AQ1369" s="1087"/>
      <c r="AR1369" s="1764"/>
      <c r="AS1369" s="1764"/>
      <c r="AT1369" s="1086"/>
      <c r="AU1369" s="1768"/>
      <c r="AV1369" s="1814"/>
    </row>
    <row r="1370" spans="1:48" ht="33" customHeight="1">
      <c r="A1370" s="1640"/>
      <c r="B1370" s="1646"/>
      <c r="C1370" s="1623"/>
      <c r="D1370" s="1625"/>
      <c r="E1370" s="1625"/>
      <c r="F1370" s="1648"/>
      <c r="G1370" s="1625"/>
      <c r="H1370" s="1625"/>
      <c r="I1370" s="1629"/>
      <c r="J1370" s="1630"/>
      <c r="K1370" s="1631"/>
      <c r="L1370" s="1245"/>
      <c r="M1370" s="1320"/>
      <c r="N1370" s="1632" t="s">
        <v>53</v>
      </c>
      <c r="O1370" s="1726" t="s">
        <v>1240</v>
      </c>
      <c r="P1370" s="1634"/>
      <c r="Q1370" s="1651">
        <v>3</v>
      </c>
      <c r="R1370" s="1646"/>
      <c r="S1370" s="1625"/>
      <c r="T1370" s="1634"/>
      <c r="U1370" s="1635">
        <v>4</v>
      </c>
      <c r="V1370" s="1636" t="s">
        <v>1070</v>
      </c>
      <c r="W1370" s="1714">
        <v>10</v>
      </c>
      <c r="X1370" s="1650"/>
      <c r="Y1370" s="1623"/>
      <c r="Z1370" s="1651">
        <f t="shared" si="114"/>
        <v>10</v>
      </c>
      <c r="AA1370" s="1625"/>
      <c r="AB1370" s="1667"/>
      <c r="AC1370" s="1640"/>
      <c r="AD1370" s="1635"/>
      <c r="AE1370" s="1764"/>
      <c r="AF1370" s="1085"/>
      <c r="AG1370" s="1086"/>
      <c r="AH1370" s="1087">
        <v>125000</v>
      </c>
      <c r="AI1370" s="1089">
        <f>AH1370*Q1370*0.5</f>
        <v>187500</v>
      </c>
      <c r="AJ1370" s="1768"/>
      <c r="AK1370" s="1089">
        <v>3000</v>
      </c>
      <c r="AL1370" s="1090">
        <f t="shared" si="112"/>
        <v>30000</v>
      </c>
      <c r="AM1370" s="1086"/>
      <c r="AN1370" s="1086"/>
      <c r="AO1370" s="1087"/>
      <c r="AP1370" s="1764"/>
      <c r="AQ1370" s="1087"/>
      <c r="AR1370" s="1764"/>
      <c r="AS1370" s="1764"/>
      <c r="AT1370" s="1086"/>
      <c r="AU1370" s="1768"/>
      <c r="AV1370" s="1814"/>
    </row>
    <row r="1371" spans="1:48" ht="16.5" customHeight="1">
      <c r="A1371" s="1640"/>
      <c r="B1371" s="1646"/>
      <c r="C1371" s="1623"/>
      <c r="D1371" s="1625"/>
      <c r="E1371" s="1625"/>
      <c r="F1371" s="1648"/>
      <c r="G1371" s="1625"/>
      <c r="H1371" s="1625"/>
      <c r="I1371" s="1629"/>
      <c r="J1371" s="1630"/>
      <c r="K1371" s="1631"/>
      <c r="L1371" s="1245"/>
      <c r="M1371" s="1320"/>
      <c r="N1371" s="1632" t="s">
        <v>51</v>
      </c>
      <c r="O1371" s="1726" t="s">
        <v>62</v>
      </c>
      <c r="P1371" s="1634"/>
      <c r="Q1371" s="1632">
        <v>36</v>
      </c>
      <c r="R1371" s="1646"/>
      <c r="S1371" s="1625"/>
      <c r="T1371" s="1634"/>
      <c r="U1371" s="1635">
        <v>5</v>
      </c>
      <c r="V1371" s="1636" t="s">
        <v>418</v>
      </c>
      <c r="W1371" s="1714">
        <v>3</v>
      </c>
      <c r="X1371" s="1650"/>
      <c r="Y1371" s="1623"/>
      <c r="Z1371" s="1651">
        <f t="shared" si="114"/>
        <v>3</v>
      </c>
      <c r="AA1371" s="1625"/>
      <c r="AB1371" s="1667"/>
      <c r="AC1371" s="1640"/>
      <c r="AD1371" s="1635"/>
      <c r="AE1371" s="1764"/>
      <c r="AF1371" s="1085"/>
      <c r="AG1371" s="1086"/>
      <c r="AH1371" s="1087">
        <v>430000</v>
      </c>
      <c r="AI1371" s="1089">
        <f>AH1371*Q1371*0.5</f>
        <v>7740000</v>
      </c>
      <c r="AJ1371" s="1768"/>
      <c r="AK1371" s="1089">
        <v>50000</v>
      </c>
      <c r="AL1371" s="1090">
        <f t="shared" si="112"/>
        <v>150000</v>
      </c>
      <c r="AM1371" s="1086"/>
      <c r="AN1371" s="1086"/>
      <c r="AO1371" s="1087"/>
      <c r="AP1371" s="1764"/>
      <c r="AQ1371" s="1087"/>
      <c r="AR1371" s="1764"/>
      <c r="AS1371" s="1764"/>
      <c r="AT1371" s="1086"/>
      <c r="AU1371" s="1768"/>
      <c r="AV1371" s="1814"/>
    </row>
    <row r="1372" spans="1:48" ht="16.5" customHeight="1">
      <c r="A1372" s="1640"/>
      <c r="B1372" s="1646"/>
      <c r="C1372" s="1623"/>
      <c r="D1372" s="1625"/>
      <c r="E1372" s="1625"/>
      <c r="F1372" s="1648"/>
      <c r="G1372" s="1625"/>
      <c r="H1372" s="1625"/>
      <c r="I1372" s="1629"/>
      <c r="J1372" s="1630"/>
      <c r="K1372" s="1631"/>
      <c r="L1372" s="1245"/>
      <c r="M1372" s="1320"/>
      <c r="N1372" s="1632" t="s">
        <v>154</v>
      </c>
      <c r="O1372" s="1726" t="s">
        <v>62</v>
      </c>
      <c r="P1372" s="1634"/>
      <c r="Q1372" s="1632">
        <v>117</v>
      </c>
      <c r="R1372" s="1646"/>
      <c r="S1372" s="1625"/>
      <c r="T1372" s="1634"/>
      <c r="U1372" s="1635">
        <v>6</v>
      </c>
      <c r="V1372" s="1636" t="s">
        <v>34</v>
      </c>
      <c r="W1372" s="1714">
        <v>3</v>
      </c>
      <c r="X1372" s="1650"/>
      <c r="Y1372" s="1623"/>
      <c r="Z1372" s="1651">
        <f t="shared" si="114"/>
        <v>3</v>
      </c>
      <c r="AA1372" s="1625"/>
      <c r="AB1372" s="1667"/>
      <c r="AC1372" s="1640"/>
      <c r="AD1372" s="1635"/>
      <c r="AE1372" s="1764"/>
      <c r="AF1372" s="1085"/>
      <c r="AG1372" s="1086"/>
      <c r="AH1372" s="1087">
        <v>430000</v>
      </c>
      <c r="AI1372" s="1089">
        <f>AH1372*Q1372*0.5</f>
        <v>25155000</v>
      </c>
      <c r="AJ1372" s="1768"/>
      <c r="AK1372" s="1089">
        <v>125000</v>
      </c>
      <c r="AL1372" s="1090">
        <f t="shared" si="112"/>
        <v>375000</v>
      </c>
      <c r="AM1372" s="1086"/>
      <c r="AN1372" s="1086"/>
      <c r="AO1372" s="1087"/>
      <c r="AP1372" s="1764"/>
      <c r="AQ1372" s="1087"/>
      <c r="AR1372" s="1764"/>
      <c r="AS1372" s="1764"/>
      <c r="AT1372" s="1086"/>
      <c r="AU1372" s="1768"/>
      <c r="AV1372" s="1814"/>
    </row>
    <row r="1373" spans="1:48" ht="16.5" customHeight="1">
      <c r="A1373" s="1640"/>
      <c r="B1373" s="1646"/>
      <c r="C1373" s="1623"/>
      <c r="D1373" s="1625"/>
      <c r="E1373" s="1625"/>
      <c r="F1373" s="1648"/>
      <c r="G1373" s="1625"/>
      <c r="H1373" s="1625"/>
      <c r="I1373" s="1629"/>
      <c r="J1373" s="1630"/>
      <c r="K1373" s="1631"/>
      <c r="L1373" s="1245"/>
      <c r="M1373" s="1320"/>
      <c r="N1373" s="1632" t="s">
        <v>172</v>
      </c>
      <c r="O1373" s="1726" t="s">
        <v>62</v>
      </c>
      <c r="P1373" s="1634"/>
      <c r="Q1373" s="1651">
        <v>54</v>
      </c>
      <c r="R1373" s="1646"/>
      <c r="S1373" s="1625"/>
      <c r="T1373" s="1634"/>
      <c r="U1373" s="1635">
        <v>7</v>
      </c>
      <c r="V1373" s="1636" t="s">
        <v>1239</v>
      </c>
      <c r="W1373" s="1714">
        <v>2</v>
      </c>
      <c r="X1373" s="1650"/>
      <c r="Y1373" s="1623"/>
      <c r="Z1373" s="1651">
        <f t="shared" si="114"/>
        <v>2</v>
      </c>
      <c r="AA1373" s="1625"/>
      <c r="AB1373" s="1667"/>
      <c r="AC1373" s="1640"/>
      <c r="AD1373" s="1635"/>
      <c r="AE1373" s="1764"/>
      <c r="AF1373" s="1085"/>
      <c r="AG1373" s="1086"/>
      <c r="AH1373" s="1087">
        <v>430000</v>
      </c>
      <c r="AI1373" s="1089">
        <f>AH1373*Q1373*0.5</f>
        <v>11610000</v>
      </c>
      <c r="AJ1373" s="1768"/>
      <c r="AK1373" s="1089">
        <v>10000</v>
      </c>
      <c r="AL1373" s="1090">
        <f t="shared" si="112"/>
        <v>20000</v>
      </c>
      <c r="AM1373" s="1086"/>
      <c r="AN1373" s="1086"/>
      <c r="AO1373" s="1087"/>
      <c r="AP1373" s="1764"/>
      <c r="AQ1373" s="1087"/>
      <c r="AR1373" s="1764"/>
      <c r="AS1373" s="1764"/>
      <c r="AT1373" s="1086"/>
      <c r="AU1373" s="1768"/>
      <c r="AV1373" s="1814"/>
    </row>
    <row r="1374" spans="1:48" ht="16.5" customHeight="1">
      <c r="A1374" s="1640"/>
      <c r="B1374" s="1646"/>
      <c r="C1374" s="1623"/>
      <c r="D1374" s="1625"/>
      <c r="E1374" s="1625"/>
      <c r="F1374" s="1648"/>
      <c r="G1374" s="1625"/>
      <c r="H1374" s="1625"/>
      <c r="I1374" s="1629"/>
      <c r="J1374" s="1630"/>
      <c r="K1374" s="1631"/>
      <c r="L1374" s="1245"/>
      <c r="M1374" s="1320"/>
      <c r="N1374" s="1739"/>
      <c r="O1374" s="1740"/>
      <c r="P1374" s="1741"/>
      <c r="Q1374" s="1666"/>
      <c r="R1374" s="1646"/>
      <c r="S1374" s="1625"/>
      <c r="T1374" s="1634"/>
      <c r="U1374" s="1635">
        <v>8</v>
      </c>
      <c r="V1374" s="1636" t="s">
        <v>221</v>
      </c>
      <c r="W1374" s="1714">
        <v>10</v>
      </c>
      <c r="X1374" s="1650"/>
      <c r="Y1374" s="1623"/>
      <c r="Z1374" s="1651">
        <f t="shared" si="114"/>
        <v>10</v>
      </c>
      <c r="AA1374" s="1625"/>
      <c r="AB1374" s="1667"/>
      <c r="AC1374" s="1640"/>
      <c r="AD1374" s="1635"/>
      <c r="AE1374" s="1764"/>
      <c r="AF1374" s="1085"/>
      <c r="AG1374" s="1086"/>
      <c r="AH1374" s="1087"/>
      <c r="AI1374" s="1087"/>
      <c r="AJ1374" s="1768"/>
      <c r="AK1374" s="1089">
        <v>4810</v>
      </c>
      <c r="AL1374" s="1090">
        <f t="shared" si="112"/>
        <v>48100</v>
      </c>
      <c r="AM1374" s="1086"/>
      <c r="AN1374" s="1086"/>
      <c r="AO1374" s="1087"/>
      <c r="AP1374" s="1764"/>
      <c r="AQ1374" s="1087"/>
      <c r="AR1374" s="1764"/>
      <c r="AS1374" s="1764"/>
      <c r="AT1374" s="1086"/>
      <c r="AU1374" s="1768"/>
      <c r="AV1374" s="1814"/>
    </row>
    <row r="1375" spans="1:48" ht="16.5" customHeight="1">
      <c r="A1375" s="1640"/>
      <c r="B1375" s="1646"/>
      <c r="C1375" s="1623"/>
      <c r="D1375" s="1625"/>
      <c r="E1375" s="1625"/>
      <c r="F1375" s="1648"/>
      <c r="G1375" s="1625"/>
      <c r="H1375" s="1625"/>
      <c r="I1375" s="1629"/>
      <c r="J1375" s="1630"/>
      <c r="K1375" s="1631"/>
      <c r="L1375" s="1245"/>
      <c r="M1375" s="1320"/>
      <c r="N1375" s="1739"/>
      <c r="O1375" s="1740"/>
      <c r="P1375" s="1741"/>
      <c r="Q1375" s="1739"/>
      <c r="R1375" s="1646"/>
      <c r="S1375" s="1625"/>
      <c r="T1375" s="1634"/>
      <c r="U1375" s="1635">
        <v>9</v>
      </c>
      <c r="V1375" s="1636" t="s">
        <v>808</v>
      </c>
      <c r="W1375" s="1714">
        <v>6</v>
      </c>
      <c r="X1375" s="1650"/>
      <c r="Y1375" s="1623"/>
      <c r="Z1375" s="1651">
        <f t="shared" si="114"/>
        <v>6</v>
      </c>
      <c r="AA1375" s="1625"/>
      <c r="AB1375" s="1667"/>
      <c r="AC1375" s="1640"/>
      <c r="AD1375" s="1635"/>
      <c r="AE1375" s="1764"/>
      <c r="AF1375" s="1085"/>
      <c r="AG1375" s="1086"/>
      <c r="AH1375" s="1087"/>
      <c r="AI1375" s="1087"/>
      <c r="AJ1375" s="1768"/>
      <c r="AK1375" s="1300">
        <v>125000</v>
      </c>
      <c r="AL1375" s="1090">
        <f t="shared" si="112"/>
        <v>750000</v>
      </c>
      <c r="AM1375" s="1086"/>
      <c r="AN1375" s="1086"/>
      <c r="AO1375" s="1087"/>
      <c r="AP1375" s="1764"/>
      <c r="AQ1375" s="1087"/>
      <c r="AR1375" s="1764"/>
      <c r="AS1375" s="1764"/>
      <c r="AT1375" s="1086"/>
      <c r="AU1375" s="1768"/>
      <c r="AV1375" s="1814"/>
    </row>
    <row r="1376" spans="1:48" ht="16.5" customHeight="1">
      <c r="A1376" s="1640"/>
      <c r="B1376" s="1646"/>
      <c r="C1376" s="1623"/>
      <c r="D1376" s="1625"/>
      <c r="E1376" s="1625"/>
      <c r="F1376" s="1648"/>
      <c r="G1376" s="1625"/>
      <c r="H1376" s="1625"/>
      <c r="I1376" s="1629"/>
      <c r="J1376" s="1630"/>
      <c r="K1376" s="1631"/>
      <c r="L1376" s="1245"/>
      <c r="M1376" s="1320"/>
      <c r="N1376" s="1739"/>
      <c r="O1376" s="1740"/>
      <c r="P1376" s="1741"/>
      <c r="Q1376" s="1739"/>
      <c r="R1376" s="1646"/>
      <c r="S1376" s="1625"/>
      <c r="T1376" s="1634"/>
      <c r="U1376" s="1635">
        <v>10</v>
      </c>
      <c r="V1376" s="1636" t="s">
        <v>48</v>
      </c>
      <c r="W1376" s="1714"/>
      <c r="X1376" s="1650">
        <v>50</v>
      </c>
      <c r="Y1376" s="1623"/>
      <c r="Z1376" s="1651">
        <f t="shared" si="114"/>
        <v>50</v>
      </c>
      <c r="AA1376" s="1625"/>
      <c r="AB1376" s="1667"/>
      <c r="AC1376" s="1640"/>
      <c r="AD1376" s="1635"/>
      <c r="AE1376" s="1764"/>
      <c r="AF1376" s="1085"/>
      <c r="AG1376" s="1086"/>
      <c r="AH1376" s="1087"/>
      <c r="AI1376" s="1087"/>
      <c r="AJ1376" s="1768"/>
      <c r="AK1376" s="1089">
        <v>10000</v>
      </c>
      <c r="AL1376" s="1090">
        <f>AK1376*X1376</f>
        <v>500000</v>
      </c>
      <c r="AM1376" s="1086"/>
      <c r="AN1376" s="1086"/>
      <c r="AO1376" s="1087"/>
      <c r="AP1376" s="1764"/>
      <c r="AQ1376" s="1087"/>
      <c r="AR1376" s="1764"/>
      <c r="AS1376" s="1764"/>
      <c r="AT1376" s="1086"/>
      <c r="AU1376" s="1768"/>
      <c r="AV1376" s="1814"/>
    </row>
    <row r="1377" spans="1:48" ht="16.5" customHeight="1">
      <c r="A1377" s="1640"/>
      <c r="B1377" s="1646"/>
      <c r="C1377" s="1623"/>
      <c r="D1377" s="1625"/>
      <c r="E1377" s="1625"/>
      <c r="F1377" s="1648"/>
      <c r="G1377" s="1625"/>
      <c r="H1377" s="1625"/>
      <c r="I1377" s="1629"/>
      <c r="J1377" s="1630"/>
      <c r="K1377" s="1631"/>
      <c r="L1377" s="1245"/>
      <c r="M1377" s="1320"/>
      <c r="N1377" s="1739"/>
      <c r="O1377" s="1740"/>
      <c r="P1377" s="1741"/>
      <c r="Q1377" s="1739"/>
      <c r="R1377" s="1646"/>
      <c r="S1377" s="1625"/>
      <c r="T1377" s="1634"/>
      <c r="U1377" s="1635">
        <v>11</v>
      </c>
      <c r="V1377" s="1636" t="s">
        <v>14</v>
      </c>
      <c r="W1377" s="1714"/>
      <c r="X1377" s="1650"/>
      <c r="Y1377" s="1623">
        <v>2</v>
      </c>
      <c r="Z1377" s="1651">
        <f t="shared" si="114"/>
        <v>2</v>
      </c>
      <c r="AA1377" s="1625"/>
      <c r="AB1377" s="1667"/>
      <c r="AC1377" s="1640"/>
      <c r="AD1377" s="1635"/>
      <c r="AE1377" s="1764"/>
      <c r="AF1377" s="1085"/>
      <c r="AG1377" s="1086"/>
      <c r="AH1377" s="1087"/>
      <c r="AI1377" s="1087"/>
      <c r="AJ1377" s="1768"/>
      <c r="AK1377" s="1089">
        <v>115500</v>
      </c>
      <c r="AL1377" s="1087">
        <f>AK1377*Y1377</f>
        <v>231000</v>
      </c>
      <c r="AM1377" s="1086"/>
      <c r="AN1377" s="1086"/>
      <c r="AO1377" s="1087"/>
      <c r="AP1377" s="1764"/>
      <c r="AQ1377" s="1087"/>
      <c r="AR1377" s="1764"/>
      <c r="AS1377" s="1764"/>
      <c r="AT1377" s="1086"/>
      <c r="AU1377" s="1768"/>
      <c r="AV1377" s="1814"/>
    </row>
    <row r="1378" spans="1:48" ht="16.5" customHeight="1">
      <c r="A1378" s="1640"/>
      <c r="B1378" s="1665"/>
      <c r="C1378" s="1666"/>
      <c r="D1378" s="1625"/>
      <c r="E1378" s="1628"/>
      <c r="F1378" s="1648"/>
      <c r="G1378" s="1625"/>
      <c r="H1378" s="1667"/>
      <c r="I1378" s="1629"/>
      <c r="J1378" s="1630"/>
      <c r="K1378" s="1631"/>
      <c r="L1378" s="1245"/>
      <c r="M1378" s="1320"/>
      <c r="N1378" s="1739"/>
      <c r="O1378" s="1740"/>
      <c r="P1378" s="1741"/>
      <c r="Q1378" s="1739"/>
      <c r="R1378" s="1646"/>
      <c r="S1378" s="1625"/>
      <c r="T1378" s="1634"/>
      <c r="U1378" s="1635"/>
      <c r="V1378" s="1636"/>
      <c r="W1378" s="1714"/>
      <c r="X1378" s="1650"/>
      <c r="Y1378" s="1623"/>
      <c r="Z1378" s="1651"/>
      <c r="AA1378" s="1625"/>
      <c r="AB1378" s="1667"/>
      <c r="AC1378" s="1640"/>
      <c r="AD1378" s="1635"/>
      <c r="AE1378" s="1764"/>
      <c r="AF1378" s="1085"/>
      <c r="AG1378" s="1086"/>
      <c r="AH1378" s="1087"/>
      <c r="AI1378" s="1087"/>
      <c r="AJ1378" s="1768"/>
      <c r="AK1378" s="1089"/>
      <c r="AL1378" s="1090"/>
      <c r="AM1378" s="1086"/>
      <c r="AN1378" s="1086"/>
      <c r="AO1378" s="1087"/>
      <c r="AP1378" s="1764"/>
      <c r="AQ1378" s="1087"/>
      <c r="AR1378" s="1764"/>
      <c r="AS1378" s="1764"/>
      <c r="AT1378" s="1086"/>
      <c r="AU1378" s="1768"/>
      <c r="AV1378" s="1814"/>
    </row>
    <row r="1379" spans="1:48" ht="16.5" customHeight="1">
      <c r="A1379" s="1673"/>
      <c r="B1379" s="1674"/>
      <c r="C1379" s="1675"/>
      <c r="D1379" s="1676"/>
      <c r="E1379" s="1677"/>
      <c r="F1379" s="1678"/>
      <c r="G1379" s="1676"/>
      <c r="H1379" s="1679"/>
      <c r="I1379" s="1680"/>
      <c r="J1379" s="1681"/>
      <c r="K1379" s="1682"/>
      <c r="L1379" s="1270"/>
      <c r="M1379" s="1549"/>
      <c r="N1379" s="1734"/>
      <c r="O1379" s="1735"/>
      <c r="P1379" s="1736"/>
      <c r="Q1379" s="1734"/>
      <c r="R1379" s="1686"/>
      <c r="S1379" s="1676"/>
      <c r="T1379" s="1685"/>
      <c r="U1379" s="1773"/>
      <c r="V1379" s="1718"/>
      <c r="W1379" s="1719"/>
      <c r="X1379" s="1720"/>
      <c r="Y1379" s="1721"/>
      <c r="Z1379" s="1787"/>
      <c r="AA1379" s="1676"/>
      <c r="AB1379" s="1679"/>
      <c r="AC1379" s="1673"/>
      <c r="AD1379" s="1773"/>
      <c r="AE1379" s="1774"/>
      <c r="AF1379" s="1115"/>
      <c r="AG1379" s="1116"/>
      <c r="AH1379" s="1117"/>
      <c r="AI1379" s="1117"/>
      <c r="AJ1379" s="1775"/>
      <c r="AK1379" s="1119"/>
      <c r="AL1379" s="1120"/>
      <c r="AM1379" s="1116"/>
      <c r="AN1379" s="1116"/>
      <c r="AO1379" s="1117"/>
      <c r="AP1379" s="1774"/>
      <c r="AQ1379" s="1117"/>
      <c r="AR1379" s="1774"/>
      <c r="AS1379" s="1774"/>
      <c r="AT1379" s="1116"/>
      <c r="AU1379" s="1775"/>
      <c r="AV1379" s="1820"/>
    </row>
    <row r="1380" spans="1:48" ht="16.5" customHeight="1">
      <c r="A1380" s="1698">
        <v>108</v>
      </c>
      <c r="B1380" s="1699" t="s">
        <v>25</v>
      </c>
      <c r="C1380" s="1700" t="s">
        <v>1238</v>
      </c>
      <c r="D1380" s="1699"/>
      <c r="E1380" s="1700"/>
      <c r="F1380" s="1730" t="s">
        <v>1237</v>
      </c>
      <c r="G1380" s="1704" t="s">
        <v>25</v>
      </c>
      <c r="H1380" s="1792" t="s">
        <v>42</v>
      </c>
      <c r="I1380" s="1706">
        <v>647</v>
      </c>
      <c r="J1380" s="1630" t="s">
        <v>41</v>
      </c>
      <c r="K1380" s="1722" t="s">
        <v>1236</v>
      </c>
      <c r="L1380" s="1245"/>
      <c r="M1380" s="1320"/>
      <c r="N1380" s="1707"/>
      <c r="O1380" s="1701" t="s">
        <v>1235</v>
      </c>
      <c r="P1380" s="1709"/>
      <c r="Q1380" s="1707"/>
      <c r="R1380" s="1699" t="s">
        <v>25</v>
      </c>
      <c r="S1380" s="1702" t="s">
        <v>24</v>
      </c>
      <c r="T1380" s="1709">
        <v>3</v>
      </c>
      <c r="U1380" s="1821">
        <v>1</v>
      </c>
      <c r="V1380" s="1822" t="s">
        <v>58</v>
      </c>
      <c r="W1380" s="1823">
        <v>30</v>
      </c>
      <c r="X1380" s="1823"/>
      <c r="Y1380" s="1824"/>
      <c r="Z1380" s="1761">
        <f>SUM(W1380:Y1380)</f>
        <v>30</v>
      </c>
      <c r="AA1380" s="1702"/>
      <c r="AB1380" s="1809"/>
      <c r="AC1380" s="1641"/>
      <c r="AD1380" s="1710"/>
      <c r="AE1380" s="1766"/>
      <c r="AF1380" s="1056">
        <f>Resum!F1</f>
        <v>356000</v>
      </c>
      <c r="AG1380" s="1086">
        <f>AF1380*I1380</f>
        <v>230332000</v>
      </c>
      <c r="AH1380" s="1058"/>
      <c r="AI1380" s="1058"/>
      <c r="AJ1380" s="1811">
        <f>SUM(AI1380:AI1390)</f>
        <v>326865000</v>
      </c>
      <c r="AK1380" s="1300">
        <v>225000</v>
      </c>
      <c r="AL1380" s="1090">
        <f t="shared" si="112"/>
        <v>6750000</v>
      </c>
      <c r="AM1380" s="1057">
        <f>SUM(AL1380:AL1404)</f>
        <v>20921750</v>
      </c>
      <c r="AN1380" s="1086">
        <f>AM1380+AJ1380+AG1380</f>
        <v>578118750</v>
      </c>
      <c r="AO1380" s="1058"/>
      <c r="AP1380" s="1136">
        <f>(AG1380+AI1381)*15%</f>
        <v>56095800</v>
      </c>
      <c r="AQ1380" s="1087">
        <f>(AG1380+AI1381)*1%</f>
        <v>3739720</v>
      </c>
      <c r="AR1380" s="1136">
        <f>(AG1380+AI1381)*5%</f>
        <v>18698600</v>
      </c>
      <c r="AS1380" s="1087">
        <f>0.5%*(AG1380+AI1381)*(3)</f>
        <v>5609580</v>
      </c>
      <c r="AT1380" s="1086">
        <f>+AS1380+AR1380+AQ1380+AP1380+AO1380</f>
        <v>84143700</v>
      </c>
      <c r="AU1380" s="1137">
        <f>ROUND(AT1380+AN1380,-3)</f>
        <v>662262000</v>
      </c>
      <c r="AV1380" s="1812"/>
    </row>
    <row r="1381" spans="1:48" ht="16.5" customHeight="1">
      <c r="A1381" s="1640"/>
      <c r="B1381" s="1646" t="s">
        <v>16</v>
      </c>
      <c r="C1381" s="1647" t="s">
        <v>1234</v>
      </c>
      <c r="D1381" s="1646"/>
      <c r="E1381" s="1647"/>
      <c r="F1381" s="1648"/>
      <c r="G1381" s="1625" t="s">
        <v>16</v>
      </c>
      <c r="H1381" s="1623" t="s">
        <v>22</v>
      </c>
      <c r="I1381" s="1629"/>
      <c r="J1381" s="1630"/>
      <c r="K1381" s="1631"/>
      <c r="L1381" s="1245"/>
      <c r="M1381" s="1320"/>
      <c r="N1381" s="1632" t="s">
        <v>25</v>
      </c>
      <c r="O1381" s="1726" t="s">
        <v>26</v>
      </c>
      <c r="P1381" s="1634">
        <v>1</v>
      </c>
      <c r="Q1381" s="1632">
        <v>114</v>
      </c>
      <c r="R1381" s="1646"/>
      <c r="S1381" s="1625"/>
      <c r="T1381" s="1634"/>
      <c r="U1381" s="1749">
        <v>2</v>
      </c>
      <c r="V1381" s="1825" t="s">
        <v>88</v>
      </c>
      <c r="W1381" s="1826"/>
      <c r="X1381" s="1826">
        <v>30</v>
      </c>
      <c r="Y1381" s="1827"/>
      <c r="Z1381" s="1651">
        <f>SUM(W1381:Y1381)</f>
        <v>30</v>
      </c>
      <c r="AA1381" s="1625"/>
      <c r="AB1381" s="1667"/>
      <c r="AC1381" s="1640"/>
      <c r="AD1381" s="1635"/>
      <c r="AE1381" s="1764"/>
      <c r="AF1381" s="1085"/>
      <c r="AG1381" s="1086"/>
      <c r="AH1381" s="1087">
        <v>1800000</v>
      </c>
      <c r="AI1381" s="1089">
        <f>AH1381*Q1381*0.7</f>
        <v>143640000</v>
      </c>
      <c r="AJ1381" s="1768"/>
      <c r="AK1381" s="1089">
        <v>55000</v>
      </c>
      <c r="AL1381" s="1090">
        <f>AK1381*X1381</f>
        <v>1650000</v>
      </c>
      <c r="AM1381" s="1086"/>
      <c r="AN1381" s="1086"/>
      <c r="AO1381" s="1087"/>
      <c r="AP1381" s="1764"/>
      <c r="AQ1381" s="1087"/>
      <c r="AR1381" s="1764"/>
      <c r="AS1381" s="1764"/>
      <c r="AT1381" s="1086"/>
      <c r="AU1381" s="1768"/>
      <c r="AV1381" s="1814"/>
    </row>
    <row r="1382" spans="1:48" ht="16.5" customHeight="1">
      <c r="A1382" s="1640"/>
      <c r="B1382" s="1646" t="s">
        <v>18</v>
      </c>
      <c r="C1382" s="1623" t="s">
        <v>1191</v>
      </c>
      <c r="D1382" s="1646"/>
      <c r="E1382" s="1623"/>
      <c r="F1382" s="1648"/>
      <c r="G1382" s="1625" t="s">
        <v>18</v>
      </c>
      <c r="H1382" s="1623" t="s">
        <v>19</v>
      </c>
      <c r="I1382" s="1629"/>
      <c r="J1382" s="1630"/>
      <c r="K1382" s="1631"/>
      <c r="L1382" s="1245"/>
      <c r="M1382" s="1320"/>
      <c r="N1382" s="1632" t="s">
        <v>16</v>
      </c>
      <c r="O1382" s="1624" t="s">
        <v>21</v>
      </c>
      <c r="P1382" s="1634">
        <v>1</v>
      </c>
      <c r="Q1382" s="1632">
        <v>6</v>
      </c>
      <c r="R1382" s="1646"/>
      <c r="S1382" s="1625"/>
      <c r="T1382" s="1634"/>
      <c r="U1382" s="1749">
        <v>3</v>
      </c>
      <c r="V1382" s="1825" t="s">
        <v>56</v>
      </c>
      <c r="W1382" s="1826"/>
      <c r="X1382" s="1826"/>
      <c r="Y1382" s="1827">
        <v>200</v>
      </c>
      <c r="Z1382" s="1651">
        <f>SUM(W1382:Y1382)</f>
        <v>200</v>
      </c>
      <c r="AA1382" s="1625"/>
      <c r="AB1382" s="1667"/>
      <c r="AC1382" s="1640"/>
      <c r="AD1382" s="1635"/>
      <c r="AE1382" s="1764"/>
      <c r="AF1382" s="1085"/>
      <c r="AG1382" s="1086"/>
      <c r="AH1382" s="1087">
        <v>350000</v>
      </c>
      <c r="AI1382" s="1089">
        <f>AH1382*Q1382*0.6</f>
        <v>1260000</v>
      </c>
      <c r="AJ1382" s="1768"/>
      <c r="AK1382" s="1089">
        <v>10000</v>
      </c>
      <c r="AL1382" s="1090">
        <f>AK1382*Y1382</f>
        <v>2000000</v>
      </c>
      <c r="AM1382" s="1086"/>
      <c r="AN1382" s="1086"/>
      <c r="AO1382" s="1087"/>
      <c r="AP1382" s="1764"/>
      <c r="AQ1382" s="1087"/>
      <c r="AR1382" s="1764"/>
      <c r="AS1382" s="1764"/>
      <c r="AT1382" s="1086"/>
      <c r="AU1382" s="1768"/>
      <c r="AV1382" s="1814"/>
    </row>
    <row r="1383" spans="1:48" ht="49.5" customHeight="1">
      <c r="A1383" s="1640"/>
      <c r="B1383" s="1658" t="s">
        <v>12</v>
      </c>
      <c r="C1383" s="1659" t="s">
        <v>1233</v>
      </c>
      <c r="D1383" s="1658"/>
      <c r="E1383" s="1659"/>
      <c r="F1383" s="1648"/>
      <c r="G1383" s="1625"/>
      <c r="H1383" s="1807"/>
      <c r="I1383" s="1629"/>
      <c r="J1383" s="1630"/>
      <c r="K1383" s="1631"/>
      <c r="L1383" s="1245"/>
      <c r="M1383" s="1320"/>
      <c r="N1383" s="1632" t="s">
        <v>18</v>
      </c>
      <c r="O1383" s="1624" t="s">
        <v>7</v>
      </c>
      <c r="P1383" s="1634"/>
      <c r="Q1383" s="1632">
        <v>111.5</v>
      </c>
      <c r="R1383" s="1646"/>
      <c r="S1383" s="1625"/>
      <c r="T1383" s="1634"/>
      <c r="U1383" s="1749"/>
      <c r="V1383" s="1636"/>
      <c r="W1383" s="1714"/>
      <c r="X1383" s="1650"/>
      <c r="Y1383" s="1623"/>
      <c r="Z1383" s="1651"/>
      <c r="AA1383" s="1625"/>
      <c r="AB1383" s="1667"/>
      <c r="AC1383" s="1640"/>
      <c r="AD1383" s="1635"/>
      <c r="AE1383" s="1764"/>
      <c r="AF1383" s="1085"/>
      <c r="AG1383" s="1086"/>
      <c r="AH1383" s="1087">
        <v>300000</v>
      </c>
      <c r="AI1383" s="1089">
        <f>AH1383*Q1383*0.5</f>
        <v>16725000</v>
      </c>
      <c r="AJ1383" s="1768"/>
      <c r="AK1383" s="1089"/>
      <c r="AL1383" s="1090"/>
      <c r="AM1383" s="1086"/>
      <c r="AN1383" s="1086"/>
      <c r="AO1383" s="1087"/>
      <c r="AP1383" s="1764"/>
      <c r="AQ1383" s="1087"/>
      <c r="AR1383" s="1764"/>
      <c r="AS1383" s="1764"/>
      <c r="AT1383" s="1086"/>
      <c r="AU1383" s="1768"/>
      <c r="AV1383" s="1814"/>
    </row>
    <row r="1384" spans="1:48" ht="16.5" customHeight="1">
      <c r="A1384" s="1640"/>
      <c r="B1384" s="1646" t="s">
        <v>8</v>
      </c>
      <c r="C1384" s="1780" t="s">
        <v>1232</v>
      </c>
      <c r="D1384" s="1658"/>
      <c r="E1384" s="1659"/>
      <c r="F1384" s="1648"/>
      <c r="G1384" s="1625"/>
      <c r="H1384" s="1807"/>
      <c r="I1384" s="1629"/>
      <c r="J1384" s="1630"/>
      <c r="K1384" s="1631"/>
      <c r="L1384" s="1245"/>
      <c r="M1384" s="1320"/>
      <c r="N1384" s="1632"/>
      <c r="O1384" s="1624" t="s">
        <v>1231</v>
      </c>
      <c r="P1384" s="1634"/>
      <c r="Q1384" s="1632"/>
      <c r="R1384" s="1646" t="s">
        <v>16</v>
      </c>
      <c r="S1384" s="1625" t="s">
        <v>15</v>
      </c>
      <c r="T1384" s="1634">
        <v>20</v>
      </c>
      <c r="U1384" s="1749">
        <v>1</v>
      </c>
      <c r="V1384" s="1825" t="s">
        <v>14</v>
      </c>
      <c r="W1384" s="1826">
        <v>20</v>
      </c>
      <c r="X1384" s="1826"/>
      <c r="Y1384" s="1827"/>
      <c r="Z1384" s="1651">
        <f t="shared" ref="Z1384:Z1395" si="115">SUM(W1384:Y1384)</f>
        <v>20</v>
      </c>
      <c r="AA1384" s="1625"/>
      <c r="AB1384" s="1667"/>
      <c r="AC1384" s="1640"/>
      <c r="AD1384" s="1635"/>
      <c r="AE1384" s="1764"/>
      <c r="AF1384" s="1085"/>
      <c r="AG1384" s="1086"/>
      <c r="AH1384" s="1087"/>
      <c r="AI1384" s="1089">
        <f t="shared" ref="AI1384:AI1388" si="116">AH1384*Q1384*0.5</f>
        <v>0</v>
      </c>
      <c r="AJ1384" s="1768"/>
      <c r="AK1384" s="1089">
        <v>350000</v>
      </c>
      <c r="AL1384" s="1087">
        <f t="shared" si="112"/>
        <v>7000000</v>
      </c>
      <c r="AM1384" s="1086"/>
      <c r="AN1384" s="1086"/>
      <c r="AO1384" s="1087"/>
      <c r="AP1384" s="1764"/>
      <c r="AQ1384" s="1087"/>
      <c r="AR1384" s="1764"/>
      <c r="AS1384" s="1764"/>
      <c r="AT1384" s="1086"/>
      <c r="AU1384" s="1768"/>
      <c r="AV1384" s="1814"/>
    </row>
    <row r="1385" spans="1:48" ht="33" customHeight="1">
      <c r="A1385" s="1640"/>
      <c r="B1385" s="1658"/>
      <c r="C1385" s="1659"/>
      <c r="D1385" s="1658"/>
      <c r="E1385" s="1659"/>
      <c r="F1385" s="1648"/>
      <c r="G1385" s="1625"/>
      <c r="H1385" s="1807"/>
      <c r="I1385" s="1629"/>
      <c r="J1385" s="1630"/>
      <c r="K1385" s="1631"/>
      <c r="L1385" s="1245"/>
      <c r="M1385" s="1320"/>
      <c r="N1385" s="1632" t="s">
        <v>25</v>
      </c>
      <c r="O1385" s="1726" t="s">
        <v>62</v>
      </c>
      <c r="P1385" s="1634">
        <v>1</v>
      </c>
      <c r="Q1385" s="1632">
        <v>108</v>
      </c>
      <c r="R1385" s="1646"/>
      <c r="S1385" s="1625"/>
      <c r="T1385" s="1634"/>
      <c r="U1385" s="1749">
        <v>2</v>
      </c>
      <c r="V1385" s="1825" t="s">
        <v>3</v>
      </c>
      <c r="W1385" s="1826"/>
      <c r="X1385" s="1826">
        <v>3</v>
      </c>
      <c r="Y1385" s="1827"/>
      <c r="Z1385" s="1651">
        <f t="shared" si="115"/>
        <v>3</v>
      </c>
      <c r="AA1385" s="1625"/>
      <c r="AB1385" s="1667"/>
      <c r="AC1385" s="1640"/>
      <c r="AD1385" s="1635"/>
      <c r="AE1385" s="1764"/>
      <c r="AF1385" s="1085"/>
      <c r="AG1385" s="1086"/>
      <c r="AH1385" s="1087">
        <v>1800000</v>
      </c>
      <c r="AI1385" s="1089">
        <f>AH1385*Q1385*0.6</f>
        <v>116640000</v>
      </c>
      <c r="AJ1385" s="1768"/>
      <c r="AK1385" s="1089">
        <v>40000</v>
      </c>
      <c r="AL1385" s="1090">
        <f>AK1385*X1385</f>
        <v>120000</v>
      </c>
      <c r="AM1385" s="1086"/>
      <c r="AN1385" s="1086"/>
      <c r="AO1385" s="1087"/>
      <c r="AP1385" s="1764"/>
      <c r="AQ1385" s="1087"/>
      <c r="AR1385" s="1764"/>
      <c r="AS1385" s="1764"/>
      <c r="AT1385" s="1086"/>
      <c r="AU1385" s="1768"/>
      <c r="AV1385" s="1814"/>
    </row>
    <row r="1386" spans="1:48" ht="16.5" customHeight="1">
      <c r="A1386" s="1640"/>
      <c r="B1386" s="1658"/>
      <c r="C1386" s="1659"/>
      <c r="D1386" s="1658"/>
      <c r="E1386" s="1659"/>
      <c r="F1386" s="1648"/>
      <c r="G1386" s="1625"/>
      <c r="H1386" s="1807"/>
      <c r="I1386" s="1629"/>
      <c r="J1386" s="1630"/>
      <c r="K1386" s="1631"/>
      <c r="L1386" s="1245"/>
      <c r="M1386" s="1320"/>
      <c r="N1386" s="1632" t="s">
        <v>16</v>
      </c>
      <c r="O1386" s="1624" t="s">
        <v>21</v>
      </c>
      <c r="P1386" s="1634">
        <v>1</v>
      </c>
      <c r="Q1386" s="1632">
        <v>6</v>
      </c>
      <c r="R1386" s="1646"/>
      <c r="S1386" s="1625"/>
      <c r="T1386" s="1634"/>
      <c r="U1386" s="1749">
        <v>3</v>
      </c>
      <c r="V1386" s="1825" t="s">
        <v>344</v>
      </c>
      <c r="W1386" s="1826">
        <v>2</v>
      </c>
      <c r="X1386" s="1826"/>
      <c r="Y1386" s="1827"/>
      <c r="Z1386" s="1651">
        <f t="shared" si="115"/>
        <v>2</v>
      </c>
      <c r="AA1386" s="1625"/>
      <c r="AB1386" s="1667"/>
      <c r="AC1386" s="1640"/>
      <c r="AD1386" s="1635"/>
      <c r="AE1386" s="1764"/>
      <c r="AF1386" s="1085"/>
      <c r="AG1386" s="1086"/>
      <c r="AH1386" s="1087">
        <v>350000</v>
      </c>
      <c r="AI1386" s="1089">
        <f>AH1386*Q1386*0.6</f>
        <v>1260000</v>
      </c>
      <c r="AJ1386" s="1768"/>
      <c r="AK1386" s="1089">
        <v>150000</v>
      </c>
      <c r="AL1386" s="1090">
        <f t="shared" si="112"/>
        <v>300000</v>
      </c>
      <c r="AM1386" s="1086"/>
      <c r="AN1386" s="1086"/>
      <c r="AO1386" s="1087"/>
      <c r="AP1386" s="1764"/>
      <c r="AQ1386" s="1087"/>
      <c r="AR1386" s="1764"/>
      <c r="AS1386" s="1764"/>
      <c r="AT1386" s="1086"/>
      <c r="AU1386" s="1768"/>
      <c r="AV1386" s="1814"/>
    </row>
    <row r="1387" spans="1:48" ht="16.5" customHeight="1">
      <c r="A1387" s="1640"/>
      <c r="B1387" s="1658"/>
      <c r="C1387" s="1659"/>
      <c r="D1387" s="1658"/>
      <c r="E1387" s="1659"/>
      <c r="F1387" s="1648"/>
      <c r="G1387" s="1625"/>
      <c r="H1387" s="1807"/>
      <c r="I1387" s="1629"/>
      <c r="J1387" s="1630"/>
      <c r="K1387" s="1631"/>
      <c r="L1387" s="1245"/>
      <c r="M1387" s="1320"/>
      <c r="N1387" s="1632"/>
      <c r="O1387" s="1624"/>
      <c r="P1387" s="1634"/>
      <c r="Q1387" s="1632"/>
      <c r="R1387" s="1646"/>
      <c r="S1387" s="1625"/>
      <c r="T1387" s="1634"/>
      <c r="U1387" s="1749">
        <v>4</v>
      </c>
      <c r="V1387" s="1825" t="s">
        <v>34</v>
      </c>
      <c r="W1387" s="1826"/>
      <c r="X1387" s="1826"/>
      <c r="Y1387" s="1827">
        <v>2</v>
      </c>
      <c r="Z1387" s="1651">
        <f t="shared" si="115"/>
        <v>2</v>
      </c>
      <c r="AA1387" s="1625"/>
      <c r="AB1387" s="1667"/>
      <c r="AC1387" s="1640"/>
      <c r="AD1387" s="1635"/>
      <c r="AE1387" s="1764"/>
      <c r="AF1387" s="1085"/>
      <c r="AG1387" s="1086"/>
      <c r="AH1387" s="1087"/>
      <c r="AI1387" s="1089">
        <f t="shared" si="116"/>
        <v>0</v>
      </c>
      <c r="AJ1387" s="1768"/>
      <c r="AK1387" s="1089">
        <v>41250</v>
      </c>
      <c r="AL1387" s="1090">
        <f>AK1387*Y1387</f>
        <v>82500</v>
      </c>
      <c r="AM1387" s="1086"/>
      <c r="AN1387" s="1086"/>
      <c r="AO1387" s="1087"/>
      <c r="AP1387" s="1764"/>
      <c r="AQ1387" s="1087"/>
      <c r="AR1387" s="1764"/>
      <c r="AS1387" s="1764"/>
      <c r="AT1387" s="1086"/>
      <c r="AU1387" s="1768"/>
      <c r="AV1387" s="1814"/>
    </row>
    <row r="1388" spans="1:48" ht="16.5" customHeight="1">
      <c r="A1388" s="1640"/>
      <c r="B1388" s="1658"/>
      <c r="C1388" s="1659"/>
      <c r="D1388" s="1658"/>
      <c r="E1388" s="1659"/>
      <c r="F1388" s="1648"/>
      <c r="G1388" s="1625"/>
      <c r="H1388" s="1807"/>
      <c r="I1388" s="1629"/>
      <c r="J1388" s="1630"/>
      <c r="K1388" s="1631"/>
      <c r="L1388" s="1245"/>
      <c r="M1388" s="1320"/>
      <c r="N1388" s="1632"/>
      <c r="O1388" s="1624" t="s">
        <v>1987</v>
      </c>
      <c r="P1388" s="1634"/>
      <c r="Q1388" s="1632"/>
      <c r="R1388" s="1646"/>
      <c r="S1388" s="1625"/>
      <c r="T1388" s="1634"/>
      <c r="U1388" s="1749">
        <v>5</v>
      </c>
      <c r="V1388" s="1825" t="s">
        <v>142</v>
      </c>
      <c r="W1388" s="1826"/>
      <c r="X1388" s="1826">
        <v>3</v>
      </c>
      <c r="Y1388" s="1827"/>
      <c r="Z1388" s="1651">
        <f t="shared" si="115"/>
        <v>3</v>
      </c>
      <c r="AA1388" s="1625"/>
      <c r="AB1388" s="1667"/>
      <c r="AC1388" s="1640"/>
      <c r="AD1388" s="1635"/>
      <c r="AE1388" s="1764"/>
      <c r="AF1388" s="1085"/>
      <c r="AG1388" s="1086"/>
      <c r="AH1388" s="1087"/>
      <c r="AI1388" s="1089">
        <f t="shared" si="116"/>
        <v>0</v>
      </c>
      <c r="AJ1388" s="1768"/>
      <c r="AK1388" s="1089">
        <v>165000</v>
      </c>
      <c r="AL1388" s="1090">
        <f>AK1388*X1388</f>
        <v>495000</v>
      </c>
      <c r="AM1388" s="1086"/>
      <c r="AN1388" s="1086"/>
      <c r="AO1388" s="1087"/>
      <c r="AP1388" s="1764"/>
      <c r="AQ1388" s="1087"/>
      <c r="AR1388" s="1764"/>
      <c r="AS1388" s="1764"/>
      <c r="AT1388" s="1086"/>
      <c r="AU1388" s="1768"/>
      <c r="AV1388" s="1814"/>
    </row>
    <row r="1389" spans="1:48" ht="16.5" customHeight="1">
      <c r="A1389" s="1640"/>
      <c r="B1389" s="1658"/>
      <c r="C1389" s="1659"/>
      <c r="D1389" s="1658"/>
      <c r="E1389" s="1659"/>
      <c r="F1389" s="1648"/>
      <c r="G1389" s="1625"/>
      <c r="H1389" s="1807"/>
      <c r="I1389" s="1629"/>
      <c r="J1389" s="1630"/>
      <c r="K1389" s="1631"/>
      <c r="L1389" s="1245"/>
      <c r="M1389" s="1320"/>
      <c r="N1389" s="1632" t="s">
        <v>25</v>
      </c>
      <c r="O1389" s="1726" t="s">
        <v>62</v>
      </c>
      <c r="P1389" s="1634"/>
      <c r="Q1389" s="1632">
        <v>216</v>
      </c>
      <c r="R1389" s="1646"/>
      <c r="S1389" s="1625"/>
      <c r="T1389" s="1634"/>
      <c r="U1389" s="1749">
        <v>6</v>
      </c>
      <c r="V1389" s="1825" t="s">
        <v>165</v>
      </c>
      <c r="W1389" s="1826"/>
      <c r="X1389" s="1826"/>
      <c r="Y1389" s="1827">
        <v>100</v>
      </c>
      <c r="Z1389" s="1651">
        <f t="shared" si="115"/>
        <v>100</v>
      </c>
      <c r="AA1389" s="1625"/>
      <c r="AB1389" s="1667"/>
      <c r="AC1389" s="1640"/>
      <c r="AD1389" s="1635"/>
      <c r="AE1389" s="1764"/>
      <c r="AF1389" s="1085"/>
      <c r="AG1389" s="1086"/>
      <c r="AH1389" s="1087">
        <v>430000</v>
      </c>
      <c r="AI1389" s="1089">
        <f>AH1389*Q1389*0.5</f>
        <v>46440000</v>
      </c>
      <c r="AJ1389" s="1768"/>
      <c r="AK1389" s="1089">
        <v>5000</v>
      </c>
      <c r="AL1389" s="1090">
        <f>AK1389*Y1389</f>
        <v>500000</v>
      </c>
      <c r="AM1389" s="1086"/>
      <c r="AN1389" s="1086"/>
      <c r="AO1389" s="1087"/>
      <c r="AP1389" s="1764"/>
      <c r="AQ1389" s="1087"/>
      <c r="AR1389" s="1764"/>
      <c r="AS1389" s="1764"/>
      <c r="AT1389" s="1086"/>
      <c r="AU1389" s="1768"/>
      <c r="AV1389" s="1814"/>
    </row>
    <row r="1390" spans="1:48" ht="16.5" customHeight="1">
      <c r="A1390" s="1640"/>
      <c r="B1390" s="1658"/>
      <c r="C1390" s="1659"/>
      <c r="D1390" s="1658"/>
      <c r="E1390" s="1659"/>
      <c r="F1390" s="1648"/>
      <c r="G1390" s="1625"/>
      <c r="H1390" s="1807"/>
      <c r="I1390" s="1629"/>
      <c r="J1390" s="1630"/>
      <c r="K1390" s="1631"/>
      <c r="L1390" s="1245"/>
      <c r="M1390" s="1320"/>
      <c r="N1390" s="1632" t="s">
        <v>16</v>
      </c>
      <c r="O1390" s="1624" t="s">
        <v>21</v>
      </c>
      <c r="P1390" s="1634"/>
      <c r="Q1390" s="1632">
        <v>18</v>
      </c>
      <c r="R1390" s="1646"/>
      <c r="S1390" s="1625"/>
      <c r="T1390" s="1634"/>
      <c r="U1390" s="1749">
        <v>7</v>
      </c>
      <c r="V1390" s="1825" t="s">
        <v>1230</v>
      </c>
      <c r="W1390" s="1826">
        <v>6</v>
      </c>
      <c r="X1390" s="1826"/>
      <c r="Y1390" s="1827"/>
      <c r="Z1390" s="1651">
        <f t="shared" si="115"/>
        <v>6</v>
      </c>
      <c r="AA1390" s="1625"/>
      <c r="AB1390" s="1667"/>
      <c r="AC1390" s="1640"/>
      <c r="AD1390" s="1635"/>
      <c r="AE1390" s="1764"/>
      <c r="AF1390" s="1085"/>
      <c r="AG1390" s="1086"/>
      <c r="AH1390" s="1087">
        <v>100000</v>
      </c>
      <c r="AI1390" s="1089">
        <f>AH1390*Q1390*0.5</f>
        <v>900000</v>
      </c>
      <c r="AJ1390" s="1768"/>
      <c r="AK1390" s="1089">
        <v>63000</v>
      </c>
      <c r="AL1390" s="1090">
        <f t="shared" si="112"/>
        <v>378000</v>
      </c>
      <c r="AM1390" s="1086"/>
      <c r="AN1390" s="1086"/>
      <c r="AO1390" s="1087"/>
      <c r="AP1390" s="1764"/>
      <c r="AQ1390" s="1087"/>
      <c r="AR1390" s="1764"/>
      <c r="AS1390" s="1764"/>
      <c r="AT1390" s="1086"/>
      <c r="AU1390" s="1768"/>
      <c r="AV1390" s="1814"/>
    </row>
    <row r="1391" spans="1:48" ht="16.5" customHeight="1">
      <c r="A1391" s="1640"/>
      <c r="B1391" s="1658"/>
      <c r="C1391" s="1659"/>
      <c r="D1391" s="1658"/>
      <c r="E1391" s="1659"/>
      <c r="F1391" s="1648"/>
      <c r="G1391" s="1625"/>
      <c r="H1391" s="1807"/>
      <c r="I1391" s="1629"/>
      <c r="J1391" s="1630"/>
      <c r="K1391" s="1631"/>
      <c r="L1391" s="1245"/>
      <c r="M1391" s="1320"/>
      <c r="N1391" s="1632"/>
      <c r="O1391" s="1633"/>
      <c r="P1391" s="1634"/>
      <c r="Q1391" s="1632"/>
      <c r="R1391" s="1646"/>
      <c r="S1391" s="1625"/>
      <c r="T1391" s="1634"/>
      <c r="U1391" s="1749">
        <v>8</v>
      </c>
      <c r="V1391" s="1825" t="s">
        <v>48</v>
      </c>
      <c r="W1391" s="1826"/>
      <c r="X1391" s="1826">
        <v>10</v>
      </c>
      <c r="Y1391" s="1827"/>
      <c r="Z1391" s="1651">
        <f t="shared" si="115"/>
        <v>10</v>
      </c>
      <c r="AA1391" s="1625"/>
      <c r="AB1391" s="1667"/>
      <c r="AC1391" s="1640"/>
      <c r="AD1391" s="1635"/>
      <c r="AE1391" s="1764"/>
      <c r="AF1391" s="1085"/>
      <c r="AG1391" s="1086"/>
      <c r="AH1391" s="1087"/>
      <c r="AI1391" s="1087"/>
      <c r="AJ1391" s="1768"/>
      <c r="AK1391" s="1089">
        <v>10000</v>
      </c>
      <c r="AL1391" s="1090">
        <f>AK1391*X1391</f>
        <v>100000</v>
      </c>
      <c r="AM1391" s="1086"/>
      <c r="AN1391" s="1086"/>
      <c r="AO1391" s="1087"/>
      <c r="AP1391" s="1764"/>
      <c r="AQ1391" s="1087"/>
      <c r="AR1391" s="1764"/>
      <c r="AS1391" s="1764"/>
      <c r="AT1391" s="1086"/>
      <c r="AU1391" s="1768"/>
      <c r="AV1391" s="1814"/>
    </row>
    <row r="1392" spans="1:48" ht="16.5" customHeight="1">
      <c r="A1392" s="1640"/>
      <c r="B1392" s="1658"/>
      <c r="C1392" s="1659"/>
      <c r="D1392" s="1658"/>
      <c r="E1392" s="1659"/>
      <c r="F1392" s="1648"/>
      <c r="G1392" s="1625"/>
      <c r="H1392" s="1807"/>
      <c r="I1392" s="1629"/>
      <c r="J1392" s="1630"/>
      <c r="K1392" s="1631"/>
      <c r="L1392" s="1245"/>
      <c r="M1392" s="1320"/>
      <c r="N1392" s="1632"/>
      <c r="O1392" s="1633"/>
      <c r="P1392" s="1634"/>
      <c r="Q1392" s="1632"/>
      <c r="R1392" s="1646"/>
      <c r="S1392" s="1625"/>
      <c r="T1392" s="1634"/>
      <c r="U1392" s="1749">
        <v>9</v>
      </c>
      <c r="V1392" s="1825" t="s">
        <v>808</v>
      </c>
      <c r="W1392" s="1826"/>
      <c r="X1392" s="1826"/>
      <c r="Y1392" s="1827">
        <v>10</v>
      </c>
      <c r="Z1392" s="1651">
        <f t="shared" si="115"/>
        <v>10</v>
      </c>
      <c r="AA1392" s="1625"/>
      <c r="AB1392" s="1667"/>
      <c r="AC1392" s="1640"/>
      <c r="AD1392" s="1635"/>
      <c r="AE1392" s="1764"/>
      <c r="AF1392" s="1085"/>
      <c r="AG1392" s="1086"/>
      <c r="AH1392" s="1087"/>
      <c r="AI1392" s="1087"/>
      <c r="AJ1392" s="1768"/>
      <c r="AK1392" s="1089">
        <v>41200</v>
      </c>
      <c r="AL1392" s="1090">
        <f>AK1392*Y1392</f>
        <v>412000</v>
      </c>
      <c r="AM1392" s="1086"/>
      <c r="AN1392" s="1086"/>
      <c r="AO1392" s="1087"/>
      <c r="AP1392" s="1764"/>
      <c r="AQ1392" s="1087"/>
      <c r="AR1392" s="1764"/>
      <c r="AS1392" s="1764"/>
      <c r="AT1392" s="1086"/>
      <c r="AU1392" s="1768"/>
      <c r="AV1392" s="1814"/>
    </row>
    <row r="1393" spans="1:48" ht="16.5" customHeight="1">
      <c r="A1393" s="1640"/>
      <c r="B1393" s="1658"/>
      <c r="C1393" s="1659"/>
      <c r="D1393" s="1658"/>
      <c r="E1393" s="1659"/>
      <c r="F1393" s="1648"/>
      <c r="G1393" s="1625"/>
      <c r="H1393" s="1807"/>
      <c r="I1393" s="1629"/>
      <c r="J1393" s="1630"/>
      <c r="K1393" s="1631"/>
      <c r="L1393" s="1245"/>
      <c r="M1393" s="1320"/>
      <c r="N1393" s="1632"/>
      <c r="O1393" s="1633"/>
      <c r="P1393" s="1634"/>
      <c r="Q1393" s="1632"/>
      <c r="R1393" s="1646"/>
      <c r="S1393" s="1625"/>
      <c r="T1393" s="1634"/>
      <c r="U1393" s="1749">
        <v>10</v>
      </c>
      <c r="V1393" s="1825" t="s">
        <v>1229</v>
      </c>
      <c r="W1393" s="1826"/>
      <c r="X1393" s="1826">
        <v>7</v>
      </c>
      <c r="Y1393" s="1827"/>
      <c r="Z1393" s="1651">
        <f t="shared" si="115"/>
        <v>7</v>
      </c>
      <c r="AA1393" s="1625"/>
      <c r="AB1393" s="1667"/>
      <c r="AC1393" s="1640"/>
      <c r="AD1393" s="1635"/>
      <c r="AE1393" s="1764"/>
      <c r="AF1393" s="1085"/>
      <c r="AG1393" s="1086"/>
      <c r="AH1393" s="1087"/>
      <c r="AI1393" s="1087"/>
      <c r="AJ1393" s="1768"/>
      <c r="AK1393" s="1089">
        <v>20000</v>
      </c>
      <c r="AL1393" s="1090">
        <f>AK1393*X1393</f>
        <v>140000</v>
      </c>
      <c r="AM1393" s="1086"/>
      <c r="AN1393" s="1086"/>
      <c r="AO1393" s="1087"/>
      <c r="AP1393" s="1764"/>
      <c r="AQ1393" s="1087"/>
      <c r="AR1393" s="1764"/>
      <c r="AS1393" s="1764"/>
      <c r="AT1393" s="1086"/>
      <c r="AU1393" s="1768"/>
      <c r="AV1393" s="1814"/>
    </row>
    <row r="1394" spans="1:48" ht="16.5" customHeight="1">
      <c r="A1394" s="1640"/>
      <c r="B1394" s="1658"/>
      <c r="C1394" s="1659"/>
      <c r="D1394" s="1658"/>
      <c r="E1394" s="1659"/>
      <c r="F1394" s="1648"/>
      <c r="G1394" s="1625"/>
      <c r="H1394" s="1807"/>
      <c r="I1394" s="1629"/>
      <c r="J1394" s="1630"/>
      <c r="K1394" s="1631"/>
      <c r="L1394" s="1245"/>
      <c r="M1394" s="1320"/>
      <c r="N1394" s="1632"/>
      <c r="O1394" s="1633"/>
      <c r="P1394" s="1634"/>
      <c r="Q1394" s="1632"/>
      <c r="R1394" s="1646"/>
      <c r="S1394" s="1625"/>
      <c r="T1394" s="1634"/>
      <c r="U1394" s="1749">
        <v>11</v>
      </c>
      <c r="V1394" s="1825" t="s">
        <v>1228</v>
      </c>
      <c r="W1394" s="1826"/>
      <c r="X1394" s="1826">
        <v>20</v>
      </c>
      <c r="Y1394" s="1827"/>
      <c r="Z1394" s="1651">
        <f t="shared" si="115"/>
        <v>20</v>
      </c>
      <c r="AA1394" s="1625"/>
      <c r="AB1394" s="1667"/>
      <c r="AC1394" s="1640"/>
      <c r="AD1394" s="1635"/>
      <c r="AE1394" s="1764"/>
      <c r="AF1394" s="1085"/>
      <c r="AG1394" s="1086"/>
      <c r="AH1394" s="1087"/>
      <c r="AI1394" s="1087"/>
      <c r="AJ1394" s="1768"/>
      <c r="AK1394" s="1089">
        <v>1725</v>
      </c>
      <c r="AL1394" s="1090">
        <f>AK1394*X1394</f>
        <v>34500</v>
      </c>
      <c r="AM1394" s="1086"/>
      <c r="AN1394" s="1086"/>
      <c r="AO1394" s="1087"/>
      <c r="AP1394" s="1764"/>
      <c r="AQ1394" s="1087"/>
      <c r="AR1394" s="1764"/>
      <c r="AS1394" s="1764"/>
      <c r="AT1394" s="1086"/>
      <c r="AU1394" s="1768"/>
      <c r="AV1394" s="1814"/>
    </row>
    <row r="1395" spans="1:48" ht="16.5" customHeight="1">
      <c r="A1395" s="1640"/>
      <c r="B1395" s="1658"/>
      <c r="C1395" s="1659"/>
      <c r="D1395" s="1658"/>
      <c r="E1395" s="1659"/>
      <c r="F1395" s="1648"/>
      <c r="G1395" s="1625"/>
      <c r="H1395" s="1807"/>
      <c r="I1395" s="1629"/>
      <c r="J1395" s="1630"/>
      <c r="K1395" s="1631"/>
      <c r="L1395" s="1245"/>
      <c r="M1395" s="1320"/>
      <c r="N1395" s="1632"/>
      <c r="O1395" s="1633"/>
      <c r="P1395" s="1634"/>
      <c r="Q1395" s="1632"/>
      <c r="R1395" s="1646"/>
      <c r="S1395" s="1625"/>
      <c r="T1395" s="1634"/>
      <c r="U1395" s="1749">
        <v>12</v>
      </c>
      <c r="V1395" s="1825" t="s">
        <v>218</v>
      </c>
      <c r="W1395" s="1826"/>
      <c r="X1395" s="1826">
        <v>10</v>
      </c>
      <c r="Y1395" s="1827"/>
      <c r="Z1395" s="1651">
        <f t="shared" si="115"/>
        <v>10</v>
      </c>
      <c r="AA1395" s="1625"/>
      <c r="AB1395" s="1667"/>
      <c r="AC1395" s="1640"/>
      <c r="AD1395" s="1635"/>
      <c r="AE1395" s="1764"/>
      <c r="AF1395" s="1085"/>
      <c r="AG1395" s="1086"/>
      <c r="AH1395" s="1087"/>
      <c r="AI1395" s="1087"/>
      <c r="AJ1395" s="1768"/>
      <c r="AK1395" s="1089">
        <v>2300</v>
      </c>
      <c r="AL1395" s="1090">
        <f>AK1395*X1395</f>
        <v>23000</v>
      </c>
      <c r="AM1395" s="1086"/>
      <c r="AN1395" s="1086"/>
      <c r="AO1395" s="1087"/>
      <c r="AP1395" s="1764"/>
      <c r="AQ1395" s="1087"/>
      <c r="AR1395" s="1764"/>
      <c r="AS1395" s="1764"/>
      <c r="AT1395" s="1086"/>
      <c r="AU1395" s="1768"/>
      <c r="AV1395" s="1814"/>
    </row>
    <row r="1396" spans="1:48" ht="16.5" customHeight="1">
      <c r="A1396" s="1640"/>
      <c r="B1396" s="1658"/>
      <c r="C1396" s="1659"/>
      <c r="D1396" s="1658"/>
      <c r="E1396" s="1659"/>
      <c r="F1396" s="1648"/>
      <c r="G1396" s="1625"/>
      <c r="H1396" s="1807"/>
      <c r="I1396" s="1629"/>
      <c r="J1396" s="1630"/>
      <c r="K1396" s="1631"/>
      <c r="L1396" s="1245"/>
      <c r="M1396" s="1320"/>
      <c r="N1396" s="1632"/>
      <c r="O1396" s="1633"/>
      <c r="P1396" s="1634"/>
      <c r="Q1396" s="1632"/>
      <c r="R1396" s="1646"/>
      <c r="S1396" s="1625"/>
      <c r="T1396" s="1634"/>
      <c r="U1396" s="1749">
        <v>13</v>
      </c>
      <c r="V1396" s="1825" t="s">
        <v>1227</v>
      </c>
      <c r="W1396" s="1826"/>
      <c r="X1396" s="1826"/>
      <c r="Y1396" s="1827"/>
      <c r="Z1396" s="1651" t="s">
        <v>1226</v>
      </c>
      <c r="AA1396" s="1625"/>
      <c r="AB1396" s="1667"/>
      <c r="AC1396" s="1640"/>
      <c r="AD1396" s="1635"/>
      <c r="AE1396" s="1764"/>
      <c r="AF1396" s="1085"/>
      <c r="AG1396" s="1086"/>
      <c r="AH1396" s="1087"/>
      <c r="AI1396" s="1087"/>
      <c r="AJ1396" s="1768"/>
      <c r="AK1396" s="1089">
        <v>2650</v>
      </c>
      <c r="AL1396" s="1090">
        <f t="shared" si="112"/>
        <v>0</v>
      </c>
      <c r="AM1396" s="1086"/>
      <c r="AN1396" s="1086"/>
      <c r="AO1396" s="1087"/>
      <c r="AP1396" s="1764"/>
      <c r="AQ1396" s="1087"/>
      <c r="AR1396" s="1764"/>
      <c r="AS1396" s="1764"/>
      <c r="AT1396" s="1086"/>
      <c r="AU1396" s="1768"/>
      <c r="AV1396" s="1814"/>
    </row>
    <row r="1397" spans="1:48" ht="16.5" customHeight="1">
      <c r="A1397" s="1640"/>
      <c r="B1397" s="1658"/>
      <c r="C1397" s="1659"/>
      <c r="D1397" s="1658"/>
      <c r="E1397" s="1659"/>
      <c r="F1397" s="1648"/>
      <c r="G1397" s="1625"/>
      <c r="H1397" s="1807"/>
      <c r="I1397" s="1629"/>
      <c r="J1397" s="1630"/>
      <c r="K1397" s="1631"/>
      <c r="L1397" s="1245"/>
      <c r="M1397" s="1320"/>
      <c r="N1397" s="1632"/>
      <c r="O1397" s="1633"/>
      <c r="P1397" s="1634"/>
      <c r="Q1397" s="1632"/>
      <c r="R1397" s="1646"/>
      <c r="S1397" s="1625"/>
      <c r="T1397" s="1634"/>
      <c r="U1397" s="1749">
        <v>14</v>
      </c>
      <c r="V1397" s="1825" t="s">
        <v>322</v>
      </c>
      <c r="W1397" s="1826"/>
      <c r="X1397" s="1826"/>
      <c r="Y1397" s="1827">
        <v>9</v>
      </c>
      <c r="Z1397" s="1651">
        <f>SUM(Y1397)</f>
        <v>9</v>
      </c>
      <c r="AA1397" s="1625"/>
      <c r="AB1397" s="1667"/>
      <c r="AC1397" s="1640"/>
      <c r="AD1397" s="1635"/>
      <c r="AE1397" s="1764"/>
      <c r="AF1397" s="1085"/>
      <c r="AG1397" s="1086"/>
      <c r="AH1397" s="1087"/>
      <c r="AI1397" s="1087"/>
      <c r="AJ1397" s="1768"/>
      <c r="AK1397" s="1089">
        <v>2000</v>
      </c>
      <c r="AL1397" s="1090">
        <f>AK1397*Y1397</f>
        <v>18000</v>
      </c>
      <c r="AM1397" s="1086"/>
      <c r="AN1397" s="1086"/>
      <c r="AO1397" s="1087"/>
      <c r="AP1397" s="1764"/>
      <c r="AQ1397" s="1087"/>
      <c r="AR1397" s="1764"/>
      <c r="AS1397" s="1764"/>
      <c r="AT1397" s="1086"/>
      <c r="AU1397" s="1768"/>
      <c r="AV1397" s="1814"/>
    </row>
    <row r="1398" spans="1:48" ht="16.5" customHeight="1">
      <c r="A1398" s="1640"/>
      <c r="B1398" s="1658"/>
      <c r="C1398" s="1659"/>
      <c r="D1398" s="1658"/>
      <c r="E1398" s="1659"/>
      <c r="F1398" s="1648"/>
      <c r="G1398" s="1625"/>
      <c r="H1398" s="1807"/>
      <c r="I1398" s="1629"/>
      <c r="J1398" s="1630"/>
      <c r="K1398" s="1631"/>
      <c r="L1398" s="1245"/>
      <c r="M1398" s="1320"/>
      <c r="N1398" s="1632"/>
      <c r="O1398" s="1633"/>
      <c r="P1398" s="1634"/>
      <c r="Q1398" s="1632"/>
      <c r="R1398" s="1646"/>
      <c r="S1398" s="1625"/>
      <c r="T1398" s="1634"/>
      <c r="U1398" s="1749">
        <v>15</v>
      </c>
      <c r="V1398" s="1825" t="s">
        <v>265</v>
      </c>
      <c r="W1398" s="1826"/>
      <c r="X1398" s="1826"/>
      <c r="Y1398" s="1827">
        <v>7</v>
      </c>
      <c r="Z1398" s="1651">
        <f>SUM(Y1398)</f>
        <v>7</v>
      </c>
      <c r="AA1398" s="1625"/>
      <c r="AB1398" s="1667"/>
      <c r="AC1398" s="1640"/>
      <c r="AD1398" s="1635"/>
      <c r="AE1398" s="1764"/>
      <c r="AF1398" s="1085"/>
      <c r="AG1398" s="1086"/>
      <c r="AH1398" s="1087"/>
      <c r="AI1398" s="1087"/>
      <c r="AJ1398" s="1768"/>
      <c r="AK1398" s="1089">
        <v>33000</v>
      </c>
      <c r="AL1398" s="1090">
        <f>AK1398*Y1398</f>
        <v>231000</v>
      </c>
      <c r="AM1398" s="1086"/>
      <c r="AN1398" s="1086"/>
      <c r="AO1398" s="1087"/>
      <c r="AP1398" s="1764"/>
      <c r="AQ1398" s="1087"/>
      <c r="AR1398" s="1764"/>
      <c r="AS1398" s="1764"/>
      <c r="AT1398" s="1086"/>
      <c r="AU1398" s="1768"/>
      <c r="AV1398" s="1814"/>
    </row>
    <row r="1399" spans="1:48" ht="16.5" customHeight="1">
      <c r="A1399" s="1640"/>
      <c r="B1399" s="1658"/>
      <c r="C1399" s="1659"/>
      <c r="D1399" s="1658"/>
      <c r="E1399" s="1659"/>
      <c r="F1399" s="1648"/>
      <c r="G1399" s="1625"/>
      <c r="H1399" s="1807"/>
      <c r="I1399" s="1629"/>
      <c r="J1399" s="1630"/>
      <c r="K1399" s="1631"/>
      <c r="L1399" s="1245"/>
      <c r="M1399" s="1320"/>
      <c r="N1399" s="1632"/>
      <c r="O1399" s="1633"/>
      <c r="P1399" s="1634"/>
      <c r="Q1399" s="1632"/>
      <c r="R1399" s="1646"/>
      <c r="S1399" s="1625"/>
      <c r="T1399" s="1634"/>
      <c r="U1399" s="1749">
        <v>16</v>
      </c>
      <c r="V1399" s="1825" t="s">
        <v>4</v>
      </c>
      <c r="W1399" s="1826"/>
      <c r="X1399" s="1826"/>
      <c r="Y1399" s="1827"/>
      <c r="Z1399" s="1651" t="s">
        <v>1225</v>
      </c>
      <c r="AA1399" s="1625"/>
      <c r="AB1399" s="1667"/>
      <c r="AC1399" s="1640"/>
      <c r="AD1399" s="1635"/>
      <c r="AE1399" s="1764"/>
      <c r="AF1399" s="1085"/>
      <c r="AG1399" s="1086"/>
      <c r="AH1399" s="1087"/>
      <c r="AI1399" s="1087"/>
      <c r="AJ1399" s="1768"/>
      <c r="AK1399" s="1089"/>
      <c r="AL1399" s="1090"/>
      <c r="AM1399" s="1086"/>
      <c r="AN1399" s="1086"/>
      <c r="AO1399" s="1087"/>
      <c r="AP1399" s="1764"/>
      <c r="AQ1399" s="1087"/>
      <c r="AR1399" s="1764"/>
      <c r="AS1399" s="1764"/>
      <c r="AT1399" s="1086"/>
      <c r="AU1399" s="1768"/>
      <c r="AV1399" s="1814"/>
    </row>
    <row r="1400" spans="1:48" ht="16.5" customHeight="1">
      <c r="A1400" s="1640"/>
      <c r="B1400" s="1658"/>
      <c r="C1400" s="1659"/>
      <c r="D1400" s="1658"/>
      <c r="E1400" s="1659"/>
      <c r="F1400" s="1648"/>
      <c r="G1400" s="1625"/>
      <c r="H1400" s="1807"/>
      <c r="I1400" s="1629"/>
      <c r="J1400" s="1630"/>
      <c r="K1400" s="1631"/>
      <c r="L1400" s="1245"/>
      <c r="M1400" s="1320"/>
      <c r="N1400" s="1632"/>
      <c r="O1400" s="1633"/>
      <c r="P1400" s="1634"/>
      <c r="Q1400" s="1632"/>
      <c r="R1400" s="1646"/>
      <c r="S1400" s="1625"/>
      <c r="T1400" s="1634"/>
      <c r="U1400" s="1749">
        <v>17</v>
      </c>
      <c r="V1400" s="1825" t="s">
        <v>1224</v>
      </c>
      <c r="W1400" s="1826">
        <v>3</v>
      </c>
      <c r="X1400" s="1826"/>
      <c r="Y1400" s="1827"/>
      <c r="Z1400" s="1651">
        <f>SUM(W1400:Y1400)</f>
        <v>3</v>
      </c>
      <c r="AA1400" s="1625"/>
      <c r="AB1400" s="1667"/>
      <c r="AC1400" s="1640"/>
      <c r="AD1400" s="1635"/>
      <c r="AE1400" s="1764"/>
      <c r="AF1400" s="1085"/>
      <c r="AG1400" s="1086"/>
      <c r="AH1400" s="1087"/>
      <c r="AI1400" s="1087"/>
      <c r="AJ1400" s="1768"/>
      <c r="AK1400" s="1089">
        <v>63000</v>
      </c>
      <c r="AL1400" s="1090">
        <f t="shared" si="112"/>
        <v>189000</v>
      </c>
      <c r="AM1400" s="1086"/>
      <c r="AN1400" s="1086"/>
      <c r="AO1400" s="1087"/>
      <c r="AP1400" s="1764"/>
      <c r="AQ1400" s="1087"/>
      <c r="AR1400" s="1764"/>
      <c r="AS1400" s="1764"/>
      <c r="AT1400" s="1086"/>
      <c r="AU1400" s="1768"/>
      <c r="AV1400" s="1814"/>
    </row>
    <row r="1401" spans="1:48" ht="16.5" customHeight="1">
      <c r="A1401" s="1640"/>
      <c r="B1401" s="1658"/>
      <c r="C1401" s="1659"/>
      <c r="D1401" s="1658"/>
      <c r="E1401" s="1659"/>
      <c r="F1401" s="1648"/>
      <c r="G1401" s="1625"/>
      <c r="H1401" s="1807"/>
      <c r="I1401" s="1629"/>
      <c r="J1401" s="1630"/>
      <c r="K1401" s="1631"/>
      <c r="L1401" s="1245"/>
      <c r="M1401" s="1320"/>
      <c r="N1401" s="1632"/>
      <c r="O1401" s="1633"/>
      <c r="P1401" s="1634"/>
      <c r="Q1401" s="1632"/>
      <c r="R1401" s="1646"/>
      <c r="S1401" s="1625"/>
      <c r="T1401" s="1634"/>
      <c r="U1401" s="1749">
        <v>18</v>
      </c>
      <c r="V1401" s="1825" t="s">
        <v>139</v>
      </c>
      <c r="W1401" s="1826"/>
      <c r="X1401" s="1826">
        <v>5</v>
      </c>
      <c r="Y1401" s="1827"/>
      <c r="Z1401" s="1651">
        <f>SUM(W1401:Y1401)</f>
        <v>5</v>
      </c>
      <c r="AA1401" s="1625"/>
      <c r="AB1401" s="1667"/>
      <c r="AC1401" s="1640"/>
      <c r="AD1401" s="1635"/>
      <c r="AE1401" s="1764"/>
      <c r="AF1401" s="1085"/>
      <c r="AG1401" s="1086"/>
      <c r="AH1401" s="1087"/>
      <c r="AI1401" s="1087"/>
      <c r="AJ1401" s="1768"/>
      <c r="AK1401" s="1089">
        <v>24750</v>
      </c>
      <c r="AL1401" s="1090">
        <f>AK1401*X1401</f>
        <v>123750</v>
      </c>
      <c r="AM1401" s="1086"/>
      <c r="AN1401" s="1086"/>
      <c r="AO1401" s="1087"/>
      <c r="AP1401" s="1764"/>
      <c r="AQ1401" s="1087"/>
      <c r="AR1401" s="1764"/>
      <c r="AS1401" s="1764"/>
      <c r="AT1401" s="1086"/>
      <c r="AU1401" s="1768"/>
      <c r="AV1401" s="1814"/>
    </row>
    <row r="1402" spans="1:48" ht="16.5" customHeight="1">
      <c r="A1402" s="1640"/>
      <c r="B1402" s="1658"/>
      <c r="C1402" s="1659"/>
      <c r="D1402" s="1658"/>
      <c r="E1402" s="1659"/>
      <c r="F1402" s="1648"/>
      <c r="G1402" s="1625"/>
      <c r="H1402" s="1807"/>
      <c r="I1402" s="1629"/>
      <c r="J1402" s="1630"/>
      <c r="K1402" s="1631"/>
      <c r="L1402" s="1245"/>
      <c r="M1402" s="1320"/>
      <c r="N1402" s="1632"/>
      <c r="O1402" s="1633"/>
      <c r="P1402" s="1634"/>
      <c r="Q1402" s="1632"/>
      <c r="R1402" s="1646"/>
      <c r="S1402" s="1625"/>
      <c r="T1402" s="1634"/>
      <c r="U1402" s="1749">
        <v>19</v>
      </c>
      <c r="V1402" s="1825" t="s">
        <v>403</v>
      </c>
      <c r="W1402" s="1826"/>
      <c r="X1402" s="1826">
        <v>3</v>
      </c>
      <c r="Y1402" s="1827"/>
      <c r="Z1402" s="1651">
        <f>SUM(W1402:Y1402)</f>
        <v>3</v>
      </c>
      <c r="AA1402" s="1625"/>
      <c r="AB1402" s="1667"/>
      <c r="AC1402" s="1640"/>
      <c r="AD1402" s="1635"/>
      <c r="AE1402" s="1764"/>
      <c r="AF1402" s="1085"/>
      <c r="AG1402" s="1086"/>
      <c r="AH1402" s="1087"/>
      <c r="AI1402" s="1087"/>
      <c r="AJ1402" s="1768"/>
      <c r="AK1402" s="1089"/>
      <c r="AL1402" s="1090">
        <f>AK1402*X1402</f>
        <v>0</v>
      </c>
      <c r="AM1402" s="1086"/>
      <c r="AN1402" s="1086"/>
      <c r="AO1402" s="1087"/>
      <c r="AP1402" s="1764"/>
      <c r="AQ1402" s="1087"/>
      <c r="AR1402" s="1764"/>
      <c r="AS1402" s="1764"/>
      <c r="AT1402" s="1086"/>
      <c r="AU1402" s="1768"/>
      <c r="AV1402" s="1814"/>
    </row>
    <row r="1403" spans="1:48" ht="16.5" customHeight="1">
      <c r="A1403" s="1640"/>
      <c r="B1403" s="1658"/>
      <c r="C1403" s="1659"/>
      <c r="D1403" s="1658"/>
      <c r="E1403" s="1659"/>
      <c r="F1403" s="1648"/>
      <c r="G1403" s="1625"/>
      <c r="H1403" s="1807"/>
      <c r="I1403" s="1629"/>
      <c r="J1403" s="1630"/>
      <c r="K1403" s="1631"/>
      <c r="L1403" s="1245"/>
      <c r="M1403" s="1320"/>
      <c r="N1403" s="1632"/>
      <c r="O1403" s="1633"/>
      <c r="P1403" s="1634"/>
      <c r="Q1403" s="1632"/>
      <c r="R1403" s="1646"/>
      <c r="S1403" s="1625"/>
      <c r="T1403" s="1634"/>
      <c r="U1403" s="1749">
        <v>20</v>
      </c>
      <c r="V1403" s="1825" t="s">
        <v>10</v>
      </c>
      <c r="W1403" s="1826"/>
      <c r="X1403" s="1826"/>
      <c r="Y1403" s="1827">
        <v>15</v>
      </c>
      <c r="Z1403" s="1651">
        <f>SUM(W1403:Y1403)</f>
        <v>15</v>
      </c>
      <c r="AA1403" s="1625"/>
      <c r="AB1403" s="1667"/>
      <c r="AC1403" s="1640"/>
      <c r="AD1403" s="1635"/>
      <c r="AE1403" s="1764"/>
      <c r="AF1403" s="1085"/>
      <c r="AG1403" s="1086"/>
      <c r="AH1403" s="1087"/>
      <c r="AI1403" s="1087"/>
      <c r="AJ1403" s="1768"/>
      <c r="AK1403" s="1089">
        <v>25000</v>
      </c>
      <c r="AL1403" s="1090">
        <f>AK1403*Y1403</f>
        <v>375000</v>
      </c>
      <c r="AM1403" s="1086"/>
      <c r="AN1403" s="1086"/>
      <c r="AO1403" s="1087"/>
      <c r="AP1403" s="1764"/>
      <c r="AQ1403" s="1087"/>
      <c r="AR1403" s="1764"/>
      <c r="AS1403" s="1764"/>
      <c r="AT1403" s="1086"/>
      <c r="AU1403" s="1768"/>
      <c r="AV1403" s="1814"/>
    </row>
    <row r="1404" spans="1:48" ht="16.5" customHeight="1">
      <c r="A1404" s="1640"/>
      <c r="B1404" s="1738"/>
      <c r="C1404" s="1738"/>
      <c r="D1404" s="1818"/>
      <c r="E1404" s="1803"/>
      <c r="F1404" s="1648"/>
      <c r="G1404" s="1625"/>
      <c r="H1404" s="1807"/>
      <c r="I1404" s="1629"/>
      <c r="J1404" s="1681"/>
      <c r="K1404" s="1631"/>
      <c r="L1404" s="1245"/>
      <c r="M1404" s="1320"/>
      <c r="N1404" s="1632"/>
      <c r="O1404" s="1633"/>
      <c r="P1404" s="1634"/>
      <c r="Q1404" s="1632"/>
      <c r="R1404" s="1646"/>
      <c r="S1404" s="1625"/>
      <c r="T1404" s="1634"/>
      <c r="U1404" s="1828"/>
      <c r="V1404" s="1718"/>
      <c r="W1404" s="1719"/>
      <c r="X1404" s="1720"/>
      <c r="Y1404" s="1721"/>
      <c r="Z1404" s="1787"/>
      <c r="AA1404" s="1676"/>
      <c r="AB1404" s="1679"/>
      <c r="AC1404" s="1673"/>
      <c r="AD1404" s="1773"/>
      <c r="AE1404" s="1774"/>
      <c r="AF1404" s="1115"/>
      <c r="AG1404" s="1116"/>
      <c r="AH1404" s="1117"/>
      <c r="AI1404" s="1117"/>
      <c r="AJ1404" s="1775"/>
      <c r="AK1404" s="1119"/>
      <c r="AL1404" s="1120"/>
      <c r="AM1404" s="1116"/>
      <c r="AN1404" s="1116"/>
      <c r="AO1404" s="1117"/>
      <c r="AP1404" s="1774"/>
      <c r="AQ1404" s="1117"/>
      <c r="AR1404" s="1774"/>
      <c r="AS1404" s="1774"/>
      <c r="AT1404" s="1116"/>
      <c r="AU1404" s="1775"/>
      <c r="AV1404" s="1820"/>
    </row>
    <row r="1405" spans="1:48" s="1498" customFormat="1" ht="16.5" customHeight="1">
      <c r="A1405" s="1829">
        <v>109</v>
      </c>
      <c r="B1405" s="1830" t="s">
        <v>25</v>
      </c>
      <c r="C1405" s="1831" t="s">
        <v>1058</v>
      </c>
      <c r="D1405" s="1832"/>
      <c r="E1405" s="1833"/>
      <c r="F1405" s="1834" t="s">
        <v>1223</v>
      </c>
      <c r="G1405" s="1835" t="s">
        <v>25</v>
      </c>
      <c r="H1405" s="1836" t="s">
        <v>42</v>
      </c>
      <c r="I1405" s="1837">
        <v>397</v>
      </c>
      <c r="J1405" s="1838" t="s">
        <v>41</v>
      </c>
      <c r="K1405" s="1839" t="s">
        <v>1222</v>
      </c>
      <c r="L1405" s="1840"/>
      <c r="M1405" s="1841"/>
      <c r="N1405" s="1842"/>
      <c r="O1405" s="1843" t="s">
        <v>1221</v>
      </c>
      <c r="P1405" s="1844"/>
      <c r="Q1405" s="1842"/>
      <c r="R1405" s="1830" t="s">
        <v>25</v>
      </c>
      <c r="S1405" s="1845" t="s">
        <v>24</v>
      </c>
      <c r="T1405" s="1844">
        <v>1</v>
      </c>
      <c r="U1405" s="1846">
        <v>1</v>
      </c>
      <c r="V1405" s="1847" t="s">
        <v>58</v>
      </c>
      <c r="W1405" s="1848"/>
      <c r="X1405" s="1849">
        <v>20</v>
      </c>
      <c r="Y1405" s="1831"/>
      <c r="Z1405" s="1850">
        <f>SUM(W1405:Y1405)</f>
        <v>20</v>
      </c>
      <c r="AA1405" s="1845"/>
      <c r="AB1405" s="1851"/>
      <c r="AC1405" s="1852"/>
      <c r="AD1405" s="1846"/>
      <c r="AE1405" s="1853"/>
      <c r="AF1405" s="1854">
        <f>Resum!F1</f>
        <v>356000</v>
      </c>
      <c r="AG1405" s="1409">
        <f>AF1405*I1405</f>
        <v>141332000</v>
      </c>
      <c r="AH1405" s="1855"/>
      <c r="AI1405" s="1855"/>
      <c r="AJ1405" s="1856"/>
      <c r="AK1405" s="1857">
        <v>150000</v>
      </c>
      <c r="AL1405" s="1413">
        <f>AK1405*X1405</f>
        <v>3000000</v>
      </c>
      <c r="AM1405" s="1858">
        <f>SUM(AL1405:AL1425)</f>
        <v>3212400</v>
      </c>
      <c r="AN1405" s="1409">
        <f>AM1405+AJ1405+AG1405</f>
        <v>144544400</v>
      </c>
      <c r="AO1405" s="1855"/>
      <c r="AP1405" s="1415">
        <f>AI1406*15%</f>
        <v>0</v>
      </c>
      <c r="AQ1405" s="1416"/>
      <c r="AR1405" s="1415">
        <f>(AG1405+AI1405)*5%</f>
        <v>7066600</v>
      </c>
      <c r="AS1405" s="1416">
        <f>0.5%*(AG1405+AI1405)*(3)</f>
        <v>2119980</v>
      </c>
      <c r="AT1405" s="1409">
        <f>+AS1405+AR1405+AQ1405+AP1405+AO1405</f>
        <v>9186580</v>
      </c>
      <c r="AU1405" s="1417">
        <f>ROUND(AT1405+AN1405,-3)</f>
        <v>153731000</v>
      </c>
      <c r="AV1405" s="1859"/>
    </row>
    <row r="1406" spans="1:48" s="1498" customFormat="1" ht="16.5" customHeight="1">
      <c r="A1406" s="1860"/>
      <c r="B1406" s="1861" t="s">
        <v>16</v>
      </c>
      <c r="C1406" s="1862" t="s">
        <v>1055</v>
      </c>
      <c r="D1406" s="1833"/>
      <c r="E1406" s="1863"/>
      <c r="F1406" s="1864"/>
      <c r="G1406" s="1833" t="s">
        <v>16</v>
      </c>
      <c r="H1406" s="1833" t="s">
        <v>22</v>
      </c>
      <c r="I1406" s="1865"/>
      <c r="J1406" s="1838"/>
      <c r="K1406" s="1866"/>
      <c r="L1406" s="1867"/>
      <c r="M1406" s="1868"/>
      <c r="N1406" s="1869" t="s">
        <v>25</v>
      </c>
      <c r="O1406" s="1870" t="s">
        <v>26</v>
      </c>
      <c r="P1406" s="1871">
        <v>1</v>
      </c>
      <c r="Q1406" s="1869">
        <v>333</v>
      </c>
      <c r="R1406" s="1861"/>
      <c r="S1406" s="1833"/>
      <c r="T1406" s="1871"/>
      <c r="U1406" s="1872"/>
      <c r="V1406" s="1873"/>
      <c r="W1406" s="1874"/>
      <c r="X1406" s="1875"/>
      <c r="Y1406" s="1876"/>
      <c r="Z1406" s="1877"/>
      <c r="AA1406" s="1833"/>
      <c r="AB1406" s="1878"/>
      <c r="AC1406" s="1860"/>
      <c r="AD1406" s="1872"/>
      <c r="AE1406" s="1879"/>
      <c r="AF1406" s="1880"/>
      <c r="AG1406" s="1409"/>
      <c r="AH1406" s="1416"/>
      <c r="AI1406" s="1416"/>
      <c r="AJ1406" s="1881"/>
      <c r="AK1406" s="1446"/>
      <c r="AL1406" s="1413">
        <f t="shared" ref="AL1406:AL1464" si="117">AK1406*W1406</f>
        <v>0</v>
      </c>
      <c r="AM1406" s="1409"/>
      <c r="AN1406" s="1409"/>
      <c r="AO1406" s="1416"/>
      <c r="AP1406" s="1879"/>
      <c r="AQ1406" s="1416"/>
      <c r="AR1406" s="1879"/>
      <c r="AS1406" s="1879"/>
      <c r="AT1406" s="1409"/>
      <c r="AU1406" s="1881"/>
      <c r="AV1406" s="1882"/>
    </row>
    <row r="1407" spans="1:48" s="1498" customFormat="1" ht="16.5" customHeight="1">
      <c r="A1407" s="1860"/>
      <c r="B1407" s="1861" t="s">
        <v>18</v>
      </c>
      <c r="C1407" s="1876" t="s">
        <v>449</v>
      </c>
      <c r="D1407" s="1833"/>
      <c r="E1407" s="1833"/>
      <c r="F1407" s="1864"/>
      <c r="G1407" s="1833" t="s">
        <v>18</v>
      </c>
      <c r="H1407" s="1833" t="s">
        <v>19</v>
      </c>
      <c r="I1407" s="1865"/>
      <c r="J1407" s="1838"/>
      <c r="K1407" s="1866"/>
      <c r="L1407" s="1867"/>
      <c r="M1407" s="1868"/>
      <c r="N1407" s="1869"/>
      <c r="O1407" s="1883" t="s">
        <v>1217</v>
      </c>
      <c r="P1407" s="1871"/>
      <c r="Q1407" s="1869"/>
      <c r="R1407" s="1861" t="s">
        <v>16</v>
      </c>
      <c r="S1407" s="1833" t="s">
        <v>15</v>
      </c>
      <c r="T1407" s="1871">
        <v>2</v>
      </c>
      <c r="U1407" s="1872">
        <v>1</v>
      </c>
      <c r="V1407" s="1873" t="s">
        <v>10</v>
      </c>
      <c r="W1407" s="1874"/>
      <c r="X1407" s="1875">
        <v>5</v>
      </c>
      <c r="Y1407" s="1876"/>
      <c r="Z1407" s="1877">
        <f>SUM(W1407:Y1407)</f>
        <v>5</v>
      </c>
      <c r="AA1407" s="1833"/>
      <c r="AB1407" s="1878"/>
      <c r="AC1407" s="1860"/>
      <c r="AD1407" s="1872"/>
      <c r="AE1407" s="1879"/>
      <c r="AF1407" s="1880"/>
      <c r="AG1407" s="1409"/>
      <c r="AH1407" s="1416"/>
      <c r="AI1407" s="1416"/>
      <c r="AJ1407" s="1881"/>
      <c r="AK1407" s="1446">
        <v>25000</v>
      </c>
      <c r="AL1407" s="1413">
        <f>AK1407*X1407</f>
        <v>125000</v>
      </c>
      <c r="AM1407" s="1409"/>
      <c r="AN1407" s="1409"/>
      <c r="AO1407" s="1416"/>
      <c r="AP1407" s="1879"/>
      <c r="AQ1407" s="1416"/>
      <c r="AR1407" s="1879"/>
      <c r="AS1407" s="1879"/>
      <c r="AT1407" s="1409"/>
      <c r="AU1407" s="1881"/>
      <c r="AV1407" s="1882"/>
    </row>
    <row r="1408" spans="1:48" s="1498" customFormat="1" ht="49.5" customHeight="1">
      <c r="A1408" s="1860"/>
      <c r="B1408" s="1884" t="s">
        <v>12</v>
      </c>
      <c r="C1408" s="1885" t="s">
        <v>1220</v>
      </c>
      <c r="D1408" s="1833"/>
      <c r="E1408" s="1833"/>
      <c r="F1408" s="1864"/>
      <c r="G1408" s="1833"/>
      <c r="H1408" s="1833"/>
      <c r="I1408" s="1865"/>
      <c r="J1408" s="1838"/>
      <c r="K1408" s="1866"/>
      <c r="L1408" s="1867"/>
      <c r="M1408" s="1868"/>
      <c r="N1408" s="1869" t="s">
        <v>25</v>
      </c>
      <c r="O1408" s="1870" t="s">
        <v>62</v>
      </c>
      <c r="P1408" s="1871">
        <v>1</v>
      </c>
      <c r="Q1408" s="1869">
        <v>67.5</v>
      </c>
      <c r="R1408" s="1861"/>
      <c r="S1408" s="1833"/>
      <c r="T1408" s="1871"/>
      <c r="U1408" s="1872">
        <v>2</v>
      </c>
      <c r="V1408" s="1873" t="s">
        <v>240</v>
      </c>
      <c r="W1408" s="1874"/>
      <c r="X1408" s="1875"/>
      <c r="Y1408" s="1876"/>
      <c r="Z1408" s="1877" t="s">
        <v>1075</v>
      </c>
      <c r="AA1408" s="1833"/>
      <c r="AB1408" s="1878"/>
      <c r="AC1408" s="1860"/>
      <c r="AD1408" s="1872"/>
      <c r="AE1408" s="1879"/>
      <c r="AF1408" s="1880"/>
      <c r="AG1408" s="1409"/>
      <c r="AH1408" s="1416"/>
      <c r="AI1408" s="1416"/>
      <c r="AJ1408" s="1881"/>
      <c r="AK1408" s="1446">
        <v>10000</v>
      </c>
      <c r="AL1408" s="1413">
        <f t="shared" si="117"/>
        <v>0</v>
      </c>
      <c r="AM1408" s="1409"/>
      <c r="AN1408" s="1409"/>
      <c r="AO1408" s="1416"/>
      <c r="AP1408" s="1879"/>
      <c r="AQ1408" s="1416"/>
      <c r="AR1408" s="1879"/>
      <c r="AS1408" s="1879"/>
      <c r="AT1408" s="1409"/>
      <c r="AU1408" s="1881"/>
      <c r="AV1408" s="1882"/>
    </row>
    <row r="1409" spans="1:48" s="1498" customFormat="1" ht="16.5" customHeight="1">
      <c r="A1409" s="1860"/>
      <c r="B1409" s="1861" t="s">
        <v>8</v>
      </c>
      <c r="C1409" s="1886" t="s">
        <v>1053</v>
      </c>
      <c r="D1409" s="1833"/>
      <c r="E1409" s="1833"/>
      <c r="F1409" s="1864"/>
      <c r="G1409" s="1833"/>
      <c r="H1409" s="1833"/>
      <c r="I1409" s="1865"/>
      <c r="J1409" s="1838"/>
      <c r="K1409" s="1866"/>
      <c r="L1409" s="1867"/>
      <c r="M1409" s="1868"/>
      <c r="N1409" s="1869" t="s">
        <v>16</v>
      </c>
      <c r="O1409" s="1883" t="s">
        <v>21</v>
      </c>
      <c r="P1409" s="1871">
        <v>1</v>
      </c>
      <c r="Q1409" s="1869">
        <v>12</v>
      </c>
      <c r="R1409" s="1861"/>
      <c r="S1409" s="1833"/>
      <c r="T1409" s="1871"/>
      <c r="U1409" s="1872"/>
      <c r="V1409" s="1873"/>
      <c r="W1409" s="1874"/>
      <c r="X1409" s="1875"/>
      <c r="Y1409" s="1876"/>
      <c r="Z1409" s="1877"/>
      <c r="AA1409" s="1833"/>
      <c r="AB1409" s="1878"/>
      <c r="AC1409" s="1860"/>
      <c r="AD1409" s="1872"/>
      <c r="AE1409" s="1879"/>
      <c r="AF1409" s="1880"/>
      <c r="AG1409" s="1409"/>
      <c r="AH1409" s="1416"/>
      <c r="AI1409" s="1416"/>
      <c r="AJ1409" s="1881"/>
      <c r="AK1409" s="1446"/>
      <c r="AL1409" s="1413"/>
      <c r="AM1409" s="1409"/>
      <c r="AN1409" s="1409"/>
      <c r="AO1409" s="1416"/>
      <c r="AP1409" s="1879"/>
      <c r="AQ1409" s="1416"/>
      <c r="AR1409" s="1879"/>
      <c r="AS1409" s="1879"/>
      <c r="AT1409" s="1409"/>
      <c r="AU1409" s="1881"/>
      <c r="AV1409" s="1882"/>
    </row>
    <row r="1410" spans="1:48" s="1498" customFormat="1" ht="16.5" customHeight="1">
      <c r="A1410" s="1860"/>
      <c r="B1410" s="1887"/>
      <c r="C1410" s="1888"/>
      <c r="D1410" s="1878"/>
      <c r="E1410" s="1889"/>
      <c r="F1410" s="1864"/>
      <c r="G1410" s="1833"/>
      <c r="H1410" s="1878"/>
      <c r="I1410" s="1865"/>
      <c r="J1410" s="1838"/>
      <c r="K1410" s="1866"/>
      <c r="L1410" s="1867"/>
      <c r="M1410" s="1868"/>
      <c r="N1410" s="1869" t="s">
        <v>18</v>
      </c>
      <c r="O1410" s="1883" t="s">
        <v>11</v>
      </c>
      <c r="P1410" s="1871">
        <v>1</v>
      </c>
      <c r="Q1410" s="1869"/>
      <c r="R1410" s="1890" t="s">
        <v>25</v>
      </c>
      <c r="S1410" s="1876" t="s">
        <v>24</v>
      </c>
      <c r="T1410" s="1871"/>
      <c r="U1410" s="1872"/>
      <c r="V1410" s="1873"/>
      <c r="W1410" s="1874"/>
      <c r="X1410" s="1875"/>
      <c r="Y1410" s="1876"/>
      <c r="Z1410" s="1877"/>
      <c r="AA1410" s="1833"/>
      <c r="AB1410" s="1878"/>
      <c r="AC1410" s="1860"/>
      <c r="AD1410" s="1872"/>
      <c r="AE1410" s="1879"/>
      <c r="AF1410" s="1880"/>
      <c r="AG1410" s="1409"/>
      <c r="AH1410" s="1416"/>
      <c r="AI1410" s="1416"/>
      <c r="AJ1410" s="1881"/>
      <c r="AK1410" s="1446"/>
      <c r="AL1410" s="1413"/>
      <c r="AM1410" s="1409"/>
      <c r="AN1410" s="1409"/>
      <c r="AO1410" s="1416"/>
      <c r="AP1410" s="1879"/>
      <c r="AQ1410" s="1416"/>
      <c r="AR1410" s="1879"/>
      <c r="AS1410" s="1879"/>
      <c r="AT1410" s="1409"/>
      <c r="AU1410" s="1881"/>
      <c r="AV1410" s="1882"/>
    </row>
    <row r="1411" spans="1:48" s="1498" customFormat="1" ht="16.5" customHeight="1">
      <c r="A1411" s="1860"/>
      <c r="B1411" s="1891"/>
      <c r="C1411" s="1888"/>
      <c r="D1411" s="1878"/>
      <c r="E1411" s="1889"/>
      <c r="F1411" s="1864"/>
      <c r="G1411" s="1833"/>
      <c r="H1411" s="1878"/>
      <c r="I1411" s="1865"/>
      <c r="J1411" s="1838"/>
      <c r="K1411" s="1866"/>
      <c r="L1411" s="1867"/>
      <c r="M1411" s="1868"/>
      <c r="N1411" s="1869"/>
      <c r="O1411" s="1883" t="s">
        <v>1219</v>
      </c>
      <c r="P1411" s="1871"/>
      <c r="Q1411" s="1869"/>
      <c r="R1411" s="1861"/>
      <c r="S1411" s="1833"/>
      <c r="T1411" s="1871"/>
      <c r="U1411" s="1872"/>
      <c r="V1411" s="1873"/>
      <c r="W1411" s="1874"/>
      <c r="X1411" s="1875"/>
      <c r="Y1411" s="1876"/>
      <c r="Z1411" s="1877"/>
      <c r="AA1411" s="1833"/>
      <c r="AB1411" s="1878"/>
      <c r="AC1411" s="1860"/>
      <c r="AD1411" s="1872"/>
      <c r="AE1411" s="1879"/>
      <c r="AF1411" s="1880"/>
      <c r="AG1411" s="1409"/>
      <c r="AH1411" s="1416"/>
      <c r="AI1411" s="1416"/>
      <c r="AJ1411" s="1881"/>
      <c r="AK1411" s="1446"/>
      <c r="AL1411" s="1413"/>
      <c r="AM1411" s="1409"/>
      <c r="AN1411" s="1409"/>
      <c r="AO1411" s="1416"/>
      <c r="AP1411" s="1879"/>
      <c r="AQ1411" s="1416"/>
      <c r="AR1411" s="1879"/>
      <c r="AS1411" s="1879"/>
      <c r="AT1411" s="1409"/>
      <c r="AU1411" s="1881"/>
      <c r="AV1411" s="1882"/>
    </row>
    <row r="1412" spans="1:48" s="1498" customFormat="1" ht="33" customHeight="1">
      <c r="A1412" s="1860"/>
      <c r="B1412" s="1891"/>
      <c r="C1412" s="1888"/>
      <c r="D1412" s="1878"/>
      <c r="E1412" s="1889"/>
      <c r="F1412" s="1864"/>
      <c r="G1412" s="1833"/>
      <c r="H1412" s="1878"/>
      <c r="I1412" s="1865"/>
      <c r="J1412" s="1838"/>
      <c r="K1412" s="1866"/>
      <c r="L1412" s="1867"/>
      <c r="M1412" s="1868"/>
      <c r="N1412" s="1869" t="s">
        <v>25</v>
      </c>
      <c r="O1412" s="1870" t="s">
        <v>62</v>
      </c>
      <c r="P1412" s="1871">
        <v>1</v>
      </c>
      <c r="Q1412" s="1869">
        <v>72.45</v>
      </c>
      <c r="R1412" s="1861" t="s">
        <v>16</v>
      </c>
      <c r="S1412" s="1833" t="s">
        <v>15</v>
      </c>
      <c r="T1412" s="1871">
        <v>3</v>
      </c>
      <c r="U1412" s="1872">
        <v>1</v>
      </c>
      <c r="V1412" s="1873" t="s">
        <v>286</v>
      </c>
      <c r="W1412" s="1874"/>
      <c r="X1412" s="1875"/>
      <c r="Y1412" s="1876"/>
      <c r="Z1412" s="1877" t="s">
        <v>1218</v>
      </c>
      <c r="AA1412" s="1833"/>
      <c r="AB1412" s="1878"/>
      <c r="AC1412" s="1860"/>
      <c r="AD1412" s="1872"/>
      <c r="AE1412" s="1879"/>
      <c r="AF1412" s="1880"/>
      <c r="AG1412" s="1409"/>
      <c r="AH1412" s="1416"/>
      <c r="AI1412" s="1416"/>
      <c r="AJ1412" s="1881"/>
      <c r="AK1412" s="1446"/>
      <c r="AL1412" s="1413">
        <f>AK1412*W1412</f>
        <v>0</v>
      </c>
      <c r="AM1412" s="1409"/>
      <c r="AN1412" s="1409"/>
      <c r="AO1412" s="1416"/>
      <c r="AP1412" s="1879"/>
      <c r="AQ1412" s="1416"/>
      <c r="AR1412" s="1879"/>
      <c r="AS1412" s="1879"/>
      <c r="AT1412" s="1409"/>
      <c r="AU1412" s="1881"/>
      <c r="AV1412" s="1882"/>
    </row>
    <row r="1413" spans="1:48" s="1498" customFormat="1" ht="16.5" customHeight="1">
      <c r="A1413" s="1860"/>
      <c r="B1413" s="1891"/>
      <c r="C1413" s="1888"/>
      <c r="D1413" s="1878"/>
      <c r="E1413" s="1889"/>
      <c r="F1413" s="1864"/>
      <c r="G1413" s="1833"/>
      <c r="H1413" s="1878"/>
      <c r="I1413" s="1865"/>
      <c r="J1413" s="1838"/>
      <c r="K1413" s="1866"/>
      <c r="L1413" s="1867"/>
      <c r="M1413" s="1868"/>
      <c r="N1413" s="1869" t="s">
        <v>16</v>
      </c>
      <c r="O1413" s="1883" t="s">
        <v>21</v>
      </c>
      <c r="P1413" s="1871">
        <v>1</v>
      </c>
      <c r="Q1413" s="1869">
        <v>13.86</v>
      </c>
      <c r="R1413" s="1861"/>
      <c r="S1413" s="1833"/>
      <c r="T1413" s="1871"/>
      <c r="U1413" s="1872">
        <v>2</v>
      </c>
      <c r="V1413" s="1873" t="s">
        <v>144</v>
      </c>
      <c r="W1413" s="1874">
        <v>2</v>
      </c>
      <c r="X1413" s="1875"/>
      <c r="Y1413" s="1876"/>
      <c r="Z1413" s="1877">
        <f>SUM(W1413:Y1413)</f>
        <v>2</v>
      </c>
      <c r="AA1413" s="1833"/>
      <c r="AB1413" s="1878"/>
      <c r="AC1413" s="1860"/>
      <c r="AD1413" s="1872"/>
      <c r="AE1413" s="1879"/>
      <c r="AF1413" s="1880"/>
      <c r="AG1413" s="1409"/>
      <c r="AH1413" s="1416"/>
      <c r="AI1413" s="1416"/>
      <c r="AJ1413" s="1881"/>
      <c r="AK1413" s="1446">
        <v>20100</v>
      </c>
      <c r="AL1413" s="1413">
        <f>AK1413*W1413</f>
        <v>40200</v>
      </c>
      <c r="AM1413" s="1409"/>
      <c r="AN1413" s="1409"/>
      <c r="AO1413" s="1416"/>
      <c r="AP1413" s="1879"/>
      <c r="AQ1413" s="1416"/>
      <c r="AR1413" s="1879"/>
      <c r="AS1413" s="1879"/>
      <c r="AT1413" s="1409"/>
      <c r="AU1413" s="1881"/>
      <c r="AV1413" s="1882"/>
    </row>
    <row r="1414" spans="1:48" s="1498" customFormat="1" ht="16.5" customHeight="1">
      <c r="A1414" s="1860"/>
      <c r="B1414" s="1891"/>
      <c r="C1414" s="1888"/>
      <c r="D1414" s="1878"/>
      <c r="E1414" s="1889"/>
      <c r="F1414" s="1864"/>
      <c r="G1414" s="1833"/>
      <c r="H1414" s="1878"/>
      <c r="I1414" s="1865"/>
      <c r="J1414" s="1838"/>
      <c r="K1414" s="1866"/>
      <c r="L1414" s="1867"/>
      <c r="M1414" s="1868"/>
      <c r="N1414" s="1869" t="s">
        <v>18</v>
      </c>
      <c r="O1414" s="1883" t="s">
        <v>11</v>
      </c>
      <c r="P1414" s="1871">
        <v>1</v>
      </c>
      <c r="Q1414" s="1869"/>
      <c r="R1414" s="1861"/>
      <c r="S1414" s="1833"/>
      <c r="T1414" s="1871"/>
      <c r="U1414" s="1872">
        <v>3</v>
      </c>
      <c r="V1414" s="1873" t="s">
        <v>290</v>
      </c>
      <c r="W1414" s="1874">
        <v>1</v>
      </c>
      <c r="X1414" s="1875"/>
      <c r="Y1414" s="1876"/>
      <c r="Z1414" s="1877">
        <f>SUM(W1414:Y1414)</f>
        <v>1</v>
      </c>
      <c r="AA1414" s="1833"/>
      <c r="AB1414" s="1878"/>
      <c r="AC1414" s="1860"/>
      <c r="AD1414" s="1872"/>
      <c r="AE1414" s="1879"/>
      <c r="AF1414" s="1880"/>
      <c r="AG1414" s="1409"/>
      <c r="AH1414" s="1416"/>
      <c r="AI1414" s="1416"/>
      <c r="AJ1414" s="1881"/>
      <c r="AK1414" s="1446">
        <v>47200</v>
      </c>
      <c r="AL1414" s="1413">
        <f t="shared" si="117"/>
        <v>47200</v>
      </c>
      <c r="AM1414" s="1409"/>
      <c r="AN1414" s="1409"/>
      <c r="AO1414" s="1416"/>
      <c r="AP1414" s="1879"/>
      <c r="AQ1414" s="1416"/>
      <c r="AR1414" s="1879"/>
      <c r="AS1414" s="1879"/>
      <c r="AT1414" s="1409"/>
      <c r="AU1414" s="1881"/>
      <c r="AV1414" s="1882"/>
    </row>
    <row r="1415" spans="1:48" s="1498" customFormat="1" ht="16.5" customHeight="1">
      <c r="A1415" s="1860"/>
      <c r="B1415" s="1891"/>
      <c r="C1415" s="1888"/>
      <c r="D1415" s="1878"/>
      <c r="E1415" s="1889"/>
      <c r="F1415" s="1864"/>
      <c r="G1415" s="1833"/>
      <c r="H1415" s="1878"/>
      <c r="I1415" s="1865"/>
      <c r="J1415" s="1838"/>
      <c r="K1415" s="1866"/>
      <c r="L1415" s="1867"/>
      <c r="M1415" s="1868"/>
      <c r="N1415" s="1869"/>
      <c r="O1415" s="1883" t="s">
        <v>1217</v>
      </c>
      <c r="P1415" s="1871"/>
      <c r="Q1415" s="1869"/>
      <c r="R1415" s="1861"/>
      <c r="S1415" s="1833"/>
      <c r="T1415" s="1871"/>
      <c r="U1415" s="1872"/>
      <c r="V1415" s="1873"/>
      <c r="W1415" s="1874"/>
      <c r="X1415" s="1875"/>
      <c r="Y1415" s="1876"/>
      <c r="Z1415" s="1877"/>
      <c r="AA1415" s="1833"/>
      <c r="AB1415" s="1878"/>
      <c r="AC1415" s="1860"/>
      <c r="AD1415" s="1872"/>
      <c r="AE1415" s="1879"/>
      <c r="AF1415" s="1880"/>
      <c r="AG1415" s="1409"/>
      <c r="AH1415" s="1416"/>
      <c r="AI1415" s="1416"/>
      <c r="AJ1415" s="1881"/>
      <c r="AK1415" s="1446"/>
      <c r="AL1415" s="1413"/>
      <c r="AM1415" s="1409"/>
      <c r="AN1415" s="1409"/>
      <c r="AO1415" s="1416"/>
      <c r="AP1415" s="1879"/>
      <c r="AQ1415" s="1416"/>
      <c r="AR1415" s="1879"/>
      <c r="AS1415" s="1879"/>
      <c r="AT1415" s="1409"/>
      <c r="AU1415" s="1881"/>
      <c r="AV1415" s="1882"/>
    </row>
    <row r="1416" spans="1:48" s="1498" customFormat="1" ht="16.5" customHeight="1">
      <c r="A1416" s="1860"/>
      <c r="B1416" s="1891"/>
      <c r="C1416" s="1888"/>
      <c r="D1416" s="1878"/>
      <c r="E1416" s="1889"/>
      <c r="F1416" s="1864"/>
      <c r="G1416" s="1833"/>
      <c r="H1416" s="1878"/>
      <c r="I1416" s="1865"/>
      <c r="J1416" s="1838"/>
      <c r="K1416" s="1866"/>
      <c r="L1416" s="1867"/>
      <c r="M1416" s="1868"/>
      <c r="N1416" s="1869" t="s">
        <v>25</v>
      </c>
      <c r="O1416" s="1870" t="s">
        <v>26</v>
      </c>
      <c r="P1416" s="1871">
        <v>1</v>
      </c>
      <c r="Q1416" s="1869">
        <v>68.88</v>
      </c>
      <c r="R1416" s="1861"/>
      <c r="S1416" s="1833"/>
      <c r="T1416" s="1871"/>
      <c r="U1416" s="1872"/>
      <c r="V1416" s="1873"/>
      <c r="W1416" s="1874"/>
      <c r="X1416" s="1875"/>
      <c r="Y1416" s="1876"/>
      <c r="Z1416" s="1877"/>
      <c r="AA1416" s="1833"/>
      <c r="AB1416" s="1878"/>
      <c r="AC1416" s="1860"/>
      <c r="AD1416" s="1872"/>
      <c r="AE1416" s="1879"/>
      <c r="AF1416" s="1880"/>
      <c r="AG1416" s="1409"/>
      <c r="AH1416" s="1416"/>
      <c r="AI1416" s="1416"/>
      <c r="AJ1416" s="1881"/>
      <c r="AK1416" s="1446"/>
      <c r="AL1416" s="1413"/>
      <c r="AM1416" s="1409"/>
      <c r="AN1416" s="1409"/>
      <c r="AO1416" s="1416"/>
      <c r="AP1416" s="1879"/>
      <c r="AQ1416" s="1416"/>
      <c r="AR1416" s="1879"/>
      <c r="AS1416" s="1879"/>
      <c r="AT1416" s="1409"/>
      <c r="AU1416" s="1881"/>
      <c r="AV1416" s="1882"/>
    </row>
    <row r="1417" spans="1:48" s="1498" customFormat="1" ht="16.5" customHeight="1">
      <c r="A1417" s="1860"/>
      <c r="B1417" s="1891"/>
      <c r="C1417" s="1888"/>
      <c r="D1417" s="1878"/>
      <c r="E1417" s="1889"/>
      <c r="F1417" s="1864"/>
      <c r="G1417" s="1833"/>
      <c r="H1417" s="1878"/>
      <c r="I1417" s="1865"/>
      <c r="J1417" s="1838"/>
      <c r="K1417" s="1866"/>
      <c r="L1417" s="1867"/>
      <c r="M1417" s="1868"/>
      <c r="N1417" s="1869" t="s">
        <v>16</v>
      </c>
      <c r="O1417" s="1883" t="s">
        <v>21</v>
      </c>
      <c r="P1417" s="1871">
        <v>1</v>
      </c>
      <c r="Q1417" s="1869">
        <v>7</v>
      </c>
      <c r="R1417" s="1861"/>
      <c r="S1417" s="1833"/>
      <c r="T1417" s="1871"/>
      <c r="U1417" s="1872"/>
      <c r="V1417" s="1873"/>
      <c r="W1417" s="1874"/>
      <c r="X1417" s="1875"/>
      <c r="Y1417" s="1876"/>
      <c r="Z1417" s="1877"/>
      <c r="AA1417" s="1833"/>
      <c r="AB1417" s="1878"/>
      <c r="AC1417" s="1860"/>
      <c r="AD1417" s="1872"/>
      <c r="AE1417" s="1879"/>
      <c r="AF1417" s="1880"/>
      <c r="AG1417" s="1409"/>
      <c r="AH1417" s="1416"/>
      <c r="AI1417" s="1416"/>
      <c r="AJ1417" s="1881"/>
      <c r="AK1417" s="1446"/>
      <c r="AL1417" s="1413"/>
      <c r="AM1417" s="1409"/>
      <c r="AN1417" s="1409"/>
      <c r="AO1417" s="1416"/>
      <c r="AP1417" s="1879"/>
      <c r="AQ1417" s="1416"/>
      <c r="AR1417" s="1879"/>
      <c r="AS1417" s="1879"/>
      <c r="AT1417" s="1409"/>
      <c r="AU1417" s="1881"/>
      <c r="AV1417" s="1882"/>
    </row>
    <row r="1418" spans="1:48" s="1498" customFormat="1" ht="33" customHeight="1">
      <c r="A1418" s="1860"/>
      <c r="B1418" s="1891"/>
      <c r="C1418" s="1888"/>
      <c r="D1418" s="1878"/>
      <c r="E1418" s="1889"/>
      <c r="F1418" s="1864"/>
      <c r="G1418" s="1833"/>
      <c r="H1418" s="1878"/>
      <c r="I1418" s="1865"/>
      <c r="J1418" s="1838"/>
      <c r="K1418" s="1866"/>
      <c r="L1418" s="1867"/>
      <c r="M1418" s="1868"/>
      <c r="N1418" s="1869" t="s">
        <v>18</v>
      </c>
      <c r="O1418" s="1870" t="s">
        <v>62</v>
      </c>
      <c r="P1418" s="1871">
        <v>1</v>
      </c>
      <c r="Q1418" s="1869">
        <v>12.75</v>
      </c>
      <c r="R1418" s="1861"/>
      <c r="S1418" s="1833"/>
      <c r="T1418" s="1871"/>
      <c r="U1418" s="1872"/>
      <c r="V1418" s="1873"/>
      <c r="W1418" s="1874"/>
      <c r="X1418" s="1875"/>
      <c r="Y1418" s="1876"/>
      <c r="Z1418" s="1877"/>
      <c r="AA1418" s="1833"/>
      <c r="AB1418" s="1878"/>
      <c r="AC1418" s="1860"/>
      <c r="AD1418" s="1872"/>
      <c r="AE1418" s="1879"/>
      <c r="AF1418" s="1880"/>
      <c r="AG1418" s="1409"/>
      <c r="AH1418" s="1416"/>
      <c r="AI1418" s="1416"/>
      <c r="AJ1418" s="1881"/>
      <c r="AK1418" s="1446"/>
      <c r="AL1418" s="1413"/>
      <c r="AM1418" s="1409"/>
      <c r="AN1418" s="1409"/>
      <c r="AO1418" s="1416"/>
      <c r="AP1418" s="1879"/>
      <c r="AQ1418" s="1416"/>
      <c r="AR1418" s="1879"/>
      <c r="AS1418" s="1879"/>
      <c r="AT1418" s="1409"/>
      <c r="AU1418" s="1881"/>
      <c r="AV1418" s="1882"/>
    </row>
    <row r="1419" spans="1:48" s="1498" customFormat="1" ht="16.5" customHeight="1">
      <c r="A1419" s="1860"/>
      <c r="B1419" s="1891"/>
      <c r="C1419" s="1888"/>
      <c r="D1419" s="1878"/>
      <c r="E1419" s="1889"/>
      <c r="F1419" s="1864"/>
      <c r="G1419" s="1833"/>
      <c r="H1419" s="1878"/>
      <c r="I1419" s="1865"/>
      <c r="J1419" s="1838"/>
      <c r="K1419" s="1866"/>
      <c r="L1419" s="1867"/>
      <c r="M1419" s="1868"/>
      <c r="N1419" s="1869" t="s">
        <v>12</v>
      </c>
      <c r="O1419" s="1883" t="s">
        <v>59</v>
      </c>
      <c r="P1419" s="1871">
        <v>1</v>
      </c>
      <c r="Q1419" s="1869">
        <v>18</v>
      </c>
      <c r="R1419" s="1861"/>
      <c r="S1419" s="1833"/>
      <c r="T1419" s="1871"/>
      <c r="U1419" s="1872"/>
      <c r="V1419" s="1873"/>
      <c r="W1419" s="1874"/>
      <c r="X1419" s="1875"/>
      <c r="Y1419" s="1876"/>
      <c r="Z1419" s="1877"/>
      <c r="AA1419" s="1833"/>
      <c r="AB1419" s="1878"/>
      <c r="AC1419" s="1860"/>
      <c r="AD1419" s="1872"/>
      <c r="AE1419" s="1879"/>
      <c r="AF1419" s="1880"/>
      <c r="AG1419" s="1409"/>
      <c r="AH1419" s="1416">
        <v>0</v>
      </c>
      <c r="AI1419" s="1416"/>
      <c r="AJ1419" s="1881"/>
      <c r="AK1419" s="1446"/>
      <c r="AL1419" s="1413"/>
      <c r="AM1419" s="1409"/>
      <c r="AN1419" s="1409"/>
      <c r="AO1419" s="1416"/>
      <c r="AP1419" s="1879"/>
      <c r="AQ1419" s="1416"/>
      <c r="AR1419" s="1879"/>
      <c r="AS1419" s="1879"/>
      <c r="AT1419" s="1409"/>
      <c r="AU1419" s="1881"/>
      <c r="AV1419" s="1882"/>
    </row>
    <row r="1420" spans="1:48" s="1498" customFormat="1" ht="16.5" customHeight="1">
      <c r="A1420" s="1860"/>
      <c r="B1420" s="1891"/>
      <c r="C1420" s="1888"/>
      <c r="D1420" s="1878"/>
      <c r="E1420" s="1889"/>
      <c r="F1420" s="1864"/>
      <c r="G1420" s="1833"/>
      <c r="H1420" s="1878"/>
      <c r="I1420" s="1865"/>
      <c r="J1420" s="1838"/>
      <c r="K1420" s="1866"/>
      <c r="L1420" s="1867"/>
      <c r="M1420" s="1868"/>
      <c r="N1420" s="1869" t="s">
        <v>8</v>
      </c>
      <c r="O1420" s="1883" t="s">
        <v>11</v>
      </c>
      <c r="P1420" s="1871">
        <v>1</v>
      </c>
      <c r="Q1420" s="1877"/>
      <c r="R1420" s="1861"/>
      <c r="S1420" s="1833"/>
      <c r="T1420" s="1871"/>
      <c r="U1420" s="1872"/>
      <c r="V1420" s="1873"/>
      <c r="W1420" s="1874"/>
      <c r="X1420" s="1875"/>
      <c r="Y1420" s="1876"/>
      <c r="Z1420" s="1877"/>
      <c r="AA1420" s="1833"/>
      <c r="AB1420" s="1878"/>
      <c r="AC1420" s="1860"/>
      <c r="AD1420" s="1872"/>
      <c r="AE1420" s="1879"/>
      <c r="AF1420" s="1880"/>
      <c r="AG1420" s="1409"/>
      <c r="AH1420" s="1416"/>
      <c r="AI1420" s="1416"/>
      <c r="AJ1420" s="1881"/>
      <c r="AK1420" s="1446"/>
      <c r="AL1420" s="1413"/>
      <c r="AM1420" s="1409"/>
      <c r="AN1420" s="1409"/>
      <c r="AO1420" s="1416"/>
      <c r="AP1420" s="1879"/>
      <c r="AQ1420" s="1416"/>
      <c r="AR1420" s="1879"/>
      <c r="AS1420" s="1879"/>
      <c r="AT1420" s="1409"/>
      <c r="AU1420" s="1881"/>
      <c r="AV1420" s="1882"/>
    </row>
    <row r="1421" spans="1:48" s="1498" customFormat="1" ht="16.5" customHeight="1">
      <c r="A1421" s="1860"/>
      <c r="B1421" s="1891"/>
      <c r="C1421" s="1888"/>
      <c r="D1421" s="1878"/>
      <c r="E1421" s="1889"/>
      <c r="F1421" s="1864"/>
      <c r="G1421" s="1833"/>
      <c r="H1421" s="1878"/>
      <c r="I1421" s="1865"/>
      <c r="J1421" s="1838"/>
      <c r="K1421" s="1866"/>
      <c r="L1421" s="1867"/>
      <c r="M1421" s="1868"/>
      <c r="N1421" s="1869"/>
      <c r="O1421" s="1883" t="s">
        <v>1217</v>
      </c>
      <c r="P1421" s="1871"/>
      <c r="Q1421" s="1877"/>
      <c r="R1421" s="1861"/>
      <c r="S1421" s="1833"/>
      <c r="T1421" s="1871"/>
      <c r="U1421" s="1872"/>
      <c r="V1421" s="1873"/>
      <c r="W1421" s="1874"/>
      <c r="X1421" s="1875"/>
      <c r="Y1421" s="1876"/>
      <c r="Z1421" s="1877"/>
      <c r="AA1421" s="1833"/>
      <c r="AB1421" s="1878"/>
      <c r="AC1421" s="1860"/>
      <c r="AD1421" s="1872"/>
      <c r="AE1421" s="1879"/>
      <c r="AF1421" s="1880"/>
      <c r="AG1421" s="1409"/>
      <c r="AH1421" s="1416"/>
      <c r="AI1421" s="1416"/>
      <c r="AJ1421" s="1881"/>
      <c r="AK1421" s="1446"/>
      <c r="AL1421" s="1413"/>
      <c r="AM1421" s="1409"/>
      <c r="AN1421" s="1409"/>
      <c r="AO1421" s="1416"/>
      <c r="AP1421" s="1879"/>
      <c r="AQ1421" s="1416"/>
      <c r="AR1421" s="1879"/>
      <c r="AS1421" s="1879"/>
      <c r="AT1421" s="1409"/>
      <c r="AU1421" s="1881"/>
      <c r="AV1421" s="1882"/>
    </row>
    <row r="1422" spans="1:48" s="1498" customFormat="1" ht="33" customHeight="1">
      <c r="A1422" s="1860"/>
      <c r="B1422" s="1891"/>
      <c r="C1422" s="1888"/>
      <c r="D1422" s="1878"/>
      <c r="E1422" s="1889"/>
      <c r="F1422" s="1864"/>
      <c r="G1422" s="1833"/>
      <c r="H1422" s="1878"/>
      <c r="I1422" s="1865"/>
      <c r="J1422" s="1838"/>
      <c r="K1422" s="1866"/>
      <c r="L1422" s="1867"/>
      <c r="M1422" s="1868"/>
      <c r="N1422" s="1869" t="s">
        <v>25</v>
      </c>
      <c r="O1422" s="1870" t="s">
        <v>434</v>
      </c>
      <c r="P1422" s="1871">
        <v>1</v>
      </c>
      <c r="Q1422" s="1877">
        <v>45</v>
      </c>
      <c r="R1422" s="1861"/>
      <c r="S1422" s="1833"/>
      <c r="T1422" s="1871"/>
      <c r="U1422" s="1872"/>
      <c r="V1422" s="1873"/>
      <c r="W1422" s="1874"/>
      <c r="X1422" s="1875"/>
      <c r="Y1422" s="1876"/>
      <c r="Z1422" s="1877"/>
      <c r="AA1422" s="1833"/>
      <c r="AB1422" s="1878"/>
      <c r="AC1422" s="1860"/>
      <c r="AD1422" s="1872"/>
      <c r="AE1422" s="1879"/>
      <c r="AF1422" s="1880"/>
      <c r="AG1422" s="1409"/>
      <c r="AH1422" s="1416"/>
      <c r="AI1422" s="1416"/>
      <c r="AJ1422" s="1881"/>
      <c r="AK1422" s="1446"/>
      <c r="AL1422" s="1413"/>
      <c r="AM1422" s="1409"/>
      <c r="AN1422" s="1409"/>
      <c r="AO1422" s="1416"/>
      <c r="AP1422" s="1879"/>
      <c r="AQ1422" s="1416"/>
      <c r="AR1422" s="1879"/>
      <c r="AS1422" s="1879"/>
      <c r="AT1422" s="1409"/>
      <c r="AU1422" s="1881"/>
      <c r="AV1422" s="1882"/>
    </row>
    <row r="1423" spans="1:48" s="1498" customFormat="1" ht="16.5" customHeight="1">
      <c r="A1423" s="1860"/>
      <c r="B1423" s="1891"/>
      <c r="C1423" s="1888"/>
      <c r="D1423" s="1878"/>
      <c r="E1423" s="1889"/>
      <c r="F1423" s="1864"/>
      <c r="G1423" s="1833"/>
      <c r="H1423" s="1878"/>
      <c r="I1423" s="1865"/>
      <c r="J1423" s="1838"/>
      <c r="K1423" s="1866"/>
      <c r="L1423" s="1867"/>
      <c r="M1423" s="1868"/>
      <c r="N1423" s="1869"/>
      <c r="O1423" s="1883" t="s">
        <v>1217</v>
      </c>
      <c r="P1423" s="1871"/>
      <c r="Q1423" s="1877"/>
      <c r="R1423" s="1861"/>
      <c r="S1423" s="1833"/>
      <c r="T1423" s="1871"/>
      <c r="U1423" s="1872"/>
      <c r="V1423" s="1873"/>
      <c r="W1423" s="1874"/>
      <c r="X1423" s="1875"/>
      <c r="Y1423" s="1876"/>
      <c r="Z1423" s="1877"/>
      <c r="AA1423" s="1833"/>
      <c r="AB1423" s="1878"/>
      <c r="AC1423" s="1860"/>
      <c r="AD1423" s="1872"/>
      <c r="AE1423" s="1879"/>
      <c r="AF1423" s="1880"/>
      <c r="AG1423" s="1409"/>
      <c r="AH1423" s="1416"/>
      <c r="AI1423" s="1416"/>
      <c r="AJ1423" s="1881"/>
      <c r="AK1423" s="1446"/>
      <c r="AL1423" s="1413"/>
      <c r="AM1423" s="1409"/>
      <c r="AN1423" s="1409"/>
      <c r="AO1423" s="1416"/>
      <c r="AP1423" s="1879"/>
      <c r="AQ1423" s="1416"/>
      <c r="AR1423" s="1879"/>
      <c r="AS1423" s="1879"/>
      <c r="AT1423" s="1409"/>
      <c r="AU1423" s="1881"/>
      <c r="AV1423" s="1882"/>
    </row>
    <row r="1424" spans="1:48" s="1498" customFormat="1" ht="16.5" customHeight="1">
      <c r="A1424" s="1860"/>
      <c r="B1424" s="1891"/>
      <c r="C1424" s="1888"/>
      <c r="D1424" s="1878"/>
      <c r="E1424" s="1889"/>
      <c r="F1424" s="1864"/>
      <c r="G1424" s="1833"/>
      <c r="H1424" s="1878"/>
      <c r="I1424" s="1865"/>
      <c r="J1424" s="1838"/>
      <c r="K1424" s="1866"/>
      <c r="L1424" s="1867"/>
      <c r="M1424" s="1868"/>
      <c r="N1424" s="1869" t="s">
        <v>25</v>
      </c>
      <c r="O1424" s="1883" t="s">
        <v>1199</v>
      </c>
      <c r="P1424" s="1871">
        <v>1</v>
      </c>
      <c r="Q1424" s="1877">
        <v>32</v>
      </c>
      <c r="R1424" s="1861"/>
      <c r="S1424" s="1833"/>
      <c r="T1424" s="1871"/>
      <c r="U1424" s="1872"/>
      <c r="V1424" s="1873"/>
      <c r="W1424" s="1874"/>
      <c r="X1424" s="1875"/>
      <c r="Y1424" s="1876"/>
      <c r="Z1424" s="1877"/>
      <c r="AA1424" s="1833"/>
      <c r="AB1424" s="1878"/>
      <c r="AC1424" s="1860"/>
      <c r="AD1424" s="1872"/>
      <c r="AE1424" s="1879"/>
      <c r="AF1424" s="1880"/>
      <c r="AG1424" s="1409"/>
      <c r="AH1424" s="1416"/>
      <c r="AI1424" s="1416"/>
      <c r="AJ1424" s="1881"/>
      <c r="AK1424" s="1446"/>
      <c r="AL1424" s="1413"/>
      <c r="AM1424" s="1409"/>
      <c r="AN1424" s="1409"/>
      <c r="AO1424" s="1416"/>
      <c r="AP1424" s="1879"/>
      <c r="AQ1424" s="1416"/>
      <c r="AR1424" s="1879"/>
      <c r="AS1424" s="1879"/>
      <c r="AT1424" s="1409"/>
      <c r="AU1424" s="1881"/>
      <c r="AV1424" s="1882"/>
    </row>
    <row r="1425" spans="1:48" s="1498" customFormat="1" ht="16.5" customHeight="1">
      <c r="A1425" s="1860"/>
      <c r="B1425" s="1891"/>
      <c r="C1425" s="1888"/>
      <c r="D1425" s="1878"/>
      <c r="E1425" s="1889"/>
      <c r="F1425" s="1864"/>
      <c r="G1425" s="1833"/>
      <c r="H1425" s="1878"/>
      <c r="I1425" s="1865"/>
      <c r="J1425" s="1838"/>
      <c r="K1425" s="1866"/>
      <c r="L1425" s="1867"/>
      <c r="M1425" s="1868"/>
      <c r="N1425" s="1869" t="s">
        <v>16</v>
      </c>
      <c r="O1425" s="1883" t="s">
        <v>17</v>
      </c>
      <c r="P1425" s="1871">
        <v>1</v>
      </c>
      <c r="Q1425" s="1877"/>
      <c r="R1425" s="1861"/>
      <c r="S1425" s="1833"/>
      <c r="T1425" s="1871"/>
      <c r="U1425" s="1872"/>
      <c r="V1425" s="1873"/>
      <c r="W1425" s="1874"/>
      <c r="X1425" s="1875"/>
      <c r="Y1425" s="1876"/>
      <c r="Z1425" s="1877"/>
      <c r="AA1425" s="1833"/>
      <c r="AB1425" s="1878"/>
      <c r="AC1425" s="1860"/>
      <c r="AD1425" s="1872"/>
      <c r="AE1425" s="1879"/>
      <c r="AF1425" s="1880"/>
      <c r="AG1425" s="1409"/>
      <c r="AH1425" s="1416"/>
      <c r="AI1425" s="1416"/>
      <c r="AJ1425" s="1881"/>
      <c r="AK1425" s="1446"/>
      <c r="AL1425" s="1413"/>
      <c r="AM1425" s="1409"/>
      <c r="AN1425" s="1409"/>
      <c r="AO1425" s="1416"/>
      <c r="AP1425" s="1879"/>
      <c r="AQ1425" s="1416"/>
      <c r="AR1425" s="1879"/>
      <c r="AS1425" s="1879"/>
      <c r="AT1425" s="1409"/>
      <c r="AU1425" s="1881"/>
      <c r="AV1425" s="1882"/>
    </row>
    <row r="1426" spans="1:48" s="1498" customFormat="1" ht="16.5" customHeight="1">
      <c r="A1426" s="1892"/>
      <c r="B1426" s="1893"/>
      <c r="C1426" s="1894"/>
      <c r="D1426" s="1895"/>
      <c r="E1426" s="1896"/>
      <c r="F1426" s="1897"/>
      <c r="G1426" s="1895"/>
      <c r="H1426" s="1898"/>
      <c r="I1426" s="1899"/>
      <c r="J1426" s="1900"/>
      <c r="K1426" s="1901"/>
      <c r="L1426" s="1902"/>
      <c r="M1426" s="1903"/>
      <c r="N1426" s="1904"/>
      <c r="O1426" s="1905"/>
      <c r="P1426" s="1906"/>
      <c r="Q1426" s="1907"/>
      <c r="R1426" s="1908"/>
      <c r="S1426" s="1895"/>
      <c r="T1426" s="1906"/>
      <c r="U1426" s="1909"/>
      <c r="V1426" s="1910"/>
      <c r="W1426" s="1911"/>
      <c r="X1426" s="1912"/>
      <c r="Y1426" s="1913"/>
      <c r="Z1426" s="1907"/>
      <c r="AA1426" s="1895"/>
      <c r="AB1426" s="1898"/>
      <c r="AC1426" s="1892"/>
      <c r="AD1426" s="1909"/>
      <c r="AE1426" s="1914"/>
      <c r="AF1426" s="1915"/>
      <c r="AG1426" s="1916"/>
      <c r="AH1426" s="1486"/>
      <c r="AI1426" s="1486"/>
      <c r="AJ1426" s="1917"/>
      <c r="AK1426" s="1918"/>
      <c r="AL1426" s="1586"/>
      <c r="AM1426" s="1916"/>
      <c r="AN1426" s="1916"/>
      <c r="AO1426" s="1486"/>
      <c r="AP1426" s="1914"/>
      <c r="AQ1426" s="1486"/>
      <c r="AR1426" s="1914"/>
      <c r="AS1426" s="1914"/>
      <c r="AT1426" s="1916"/>
      <c r="AU1426" s="1917"/>
      <c r="AV1426" s="1919"/>
    </row>
    <row r="1427" spans="1:48" ht="16.5" customHeight="1">
      <c r="A1427" s="1698">
        <v>110</v>
      </c>
      <c r="B1427" s="1699" t="s">
        <v>25</v>
      </c>
      <c r="C1427" s="1700" t="s">
        <v>1216</v>
      </c>
      <c r="D1427" s="1701"/>
      <c r="E1427" s="1702"/>
      <c r="F1427" s="1730" t="s">
        <v>1215</v>
      </c>
      <c r="G1427" s="1704" t="s">
        <v>25</v>
      </c>
      <c r="H1427" s="1705" t="s">
        <v>42</v>
      </c>
      <c r="I1427" s="1810">
        <v>372</v>
      </c>
      <c r="J1427" s="1783" t="s">
        <v>41</v>
      </c>
      <c r="K1427" s="1722" t="s">
        <v>1214</v>
      </c>
      <c r="L1427" s="1373"/>
      <c r="M1427" s="1317"/>
      <c r="N1427" s="1707"/>
      <c r="O1427" s="1920"/>
      <c r="P1427" s="1709"/>
      <c r="Q1427" s="1707"/>
      <c r="R1427" s="1699" t="s">
        <v>25</v>
      </c>
      <c r="S1427" s="1702" t="s">
        <v>24</v>
      </c>
      <c r="T1427" s="1709"/>
      <c r="U1427" s="1710"/>
      <c r="V1427" s="1711"/>
      <c r="W1427" s="1712"/>
      <c r="X1427" s="1713"/>
      <c r="Y1427" s="1700"/>
      <c r="Z1427" s="1761"/>
      <c r="AA1427" s="1702"/>
      <c r="AB1427" s="1809"/>
      <c r="AC1427" s="1641"/>
      <c r="AD1427" s="1710"/>
      <c r="AE1427" s="1766"/>
      <c r="AF1427" s="1056">
        <f>Resum!F1</f>
        <v>356000</v>
      </c>
      <c r="AG1427" s="1057">
        <f>AF1427*I1427</f>
        <v>132432000</v>
      </c>
      <c r="AH1427" s="1058"/>
      <c r="AI1427" s="1058"/>
      <c r="AJ1427" s="1767"/>
      <c r="AK1427" s="1060"/>
      <c r="AL1427" s="1061"/>
      <c r="AM1427" s="1057">
        <f>SUM(AL1429:AL1435)</f>
        <v>1266250</v>
      </c>
      <c r="AN1427" s="1057">
        <f>AM1427+AJ1427+AG1427</f>
        <v>133698250</v>
      </c>
      <c r="AO1427" s="1058"/>
      <c r="AP1427" s="1548">
        <f>AI1428*15%</f>
        <v>0</v>
      </c>
      <c r="AQ1427" s="1058">
        <v>0</v>
      </c>
      <c r="AR1427" s="1548">
        <f>(AG1427+AI1427)*5%</f>
        <v>6621600</v>
      </c>
      <c r="AS1427" s="1058">
        <f>0.5%*(AG1427+AI1427)*(3)</f>
        <v>1986480</v>
      </c>
      <c r="AT1427" s="1057">
        <f>+AS1427+AR1427+AQ1427+AP1427+AO1427</f>
        <v>8608080</v>
      </c>
      <c r="AU1427" s="2015">
        <f>ROUND(AT1427+AN1427,-3)</f>
        <v>142306000</v>
      </c>
      <c r="AV1427" s="1812"/>
    </row>
    <row r="1428" spans="1:48" ht="16.5" customHeight="1">
      <c r="A1428" s="1640"/>
      <c r="B1428" s="1646" t="s">
        <v>16</v>
      </c>
      <c r="C1428" s="1647" t="s">
        <v>1213</v>
      </c>
      <c r="D1428" s="1625"/>
      <c r="E1428" s="1633"/>
      <c r="F1428" s="1648"/>
      <c r="G1428" s="1625" t="s">
        <v>16</v>
      </c>
      <c r="H1428" s="1625" t="s">
        <v>22</v>
      </c>
      <c r="I1428" s="1629"/>
      <c r="J1428" s="1630"/>
      <c r="K1428" s="1631"/>
      <c r="L1428" s="1245"/>
      <c r="M1428" s="1320"/>
      <c r="N1428" s="1632"/>
      <c r="O1428" s="1647"/>
      <c r="P1428" s="1634"/>
      <c r="Q1428" s="1632"/>
      <c r="R1428" s="1646"/>
      <c r="S1428" s="1625"/>
      <c r="T1428" s="1634"/>
      <c r="U1428" s="1635"/>
      <c r="V1428" s="1636"/>
      <c r="W1428" s="1714"/>
      <c r="X1428" s="1650"/>
      <c r="Y1428" s="1623"/>
      <c r="Z1428" s="1651"/>
      <c r="AA1428" s="1625"/>
      <c r="AB1428" s="1667"/>
      <c r="AC1428" s="1640"/>
      <c r="AD1428" s="1635"/>
      <c r="AE1428" s="1764"/>
      <c r="AF1428" s="1085"/>
      <c r="AG1428" s="1086"/>
      <c r="AH1428" s="1087"/>
      <c r="AI1428" s="1087"/>
      <c r="AJ1428" s="1768"/>
      <c r="AK1428" s="1089"/>
      <c r="AL1428" s="1090"/>
      <c r="AM1428" s="1086"/>
      <c r="AN1428" s="1086"/>
      <c r="AO1428" s="1087"/>
      <c r="AP1428" s="1764"/>
      <c r="AQ1428" s="1087"/>
      <c r="AR1428" s="1764"/>
      <c r="AS1428" s="1764"/>
      <c r="AT1428" s="1086"/>
      <c r="AU1428" s="1768"/>
      <c r="AV1428" s="1814"/>
    </row>
    <row r="1429" spans="1:48" ht="16.5" customHeight="1">
      <c r="A1429" s="1640"/>
      <c r="B1429" s="1646" t="s">
        <v>18</v>
      </c>
      <c r="C1429" s="1623" t="s">
        <v>38</v>
      </c>
      <c r="D1429" s="1625"/>
      <c r="E1429" s="1625"/>
      <c r="F1429" s="1648"/>
      <c r="G1429" s="1625" t="s">
        <v>18</v>
      </c>
      <c r="H1429" s="1625" t="s">
        <v>19</v>
      </c>
      <c r="I1429" s="1629"/>
      <c r="J1429" s="1630"/>
      <c r="K1429" s="1631"/>
      <c r="L1429" s="1245"/>
      <c r="M1429" s="1320"/>
      <c r="N1429" s="1632"/>
      <c r="O1429" s="1647"/>
      <c r="P1429" s="1634"/>
      <c r="Q1429" s="1632"/>
      <c r="R1429" s="1646" t="s">
        <v>16</v>
      </c>
      <c r="S1429" s="1625" t="s">
        <v>15</v>
      </c>
      <c r="T1429" s="1634">
        <v>7</v>
      </c>
      <c r="U1429" s="1635">
        <v>1</v>
      </c>
      <c r="V1429" s="1636" t="s">
        <v>86</v>
      </c>
      <c r="W1429" s="1714">
        <v>15</v>
      </c>
      <c r="X1429" s="1650"/>
      <c r="Y1429" s="1623"/>
      <c r="Z1429" s="1651">
        <f t="shared" ref="Z1429:Z1435" si="118">SUM(W1429:Y1429)</f>
        <v>15</v>
      </c>
      <c r="AA1429" s="1625"/>
      <c r="AB1429" s="1667"/>
      <c r="AC1429" s="1640"/>
      <c r="AD1429" s="1635"/>
      <c r="AE1429" s="1764"/>
      <c r="AF1429" s="1085"/>
      <c r="AG1429" s="1086"/>
      <c r="AH1429" s="1087"/>
      <c r="AI1429" s="1087"/>
      <c r="AJ1429" s="1768"/>
      <c r="AK1429" s="1300">
        <v>8750</v>
      </c>
      <c r="AL1429" s="1090">
        <f t="shared" si="117"/>
        <v>131250</v>
      </c>
      <c r="AM1429" s="1086"/>
      <c r="AN1429" s="1086"/>
      <c r="AO1429" s="1087"/>
      <c r="AP1429" s="1764"/>
      <c r="AQ1429" s="1087"/>
      <c r="AR1429" s="1764"/>
      <c r="AS1429" s="1764"/>
      <c r="AT1429" s="1086"/>
      <c r="AU1429" s="1768"/>
      <c r="AV1429" s="1814"/>
    </row>
    <row r="1430" spans="1:48" ht="49.5" customHeight="1">
      <c r="A1430" s="1640"/>
      <c r="B1430" s="1658" t="s">
        <v>12</v>
      </c>
      <c r="C1430" s="1659" t="s">
        <v>1141</v>
      </c>
      <c r="D1430" s="1625"/>
      <c r="E1430" s="1625"/>
      <c r="F1430" s="1648"/>
      <c r="G1430" s="1625"/>
      <c r="H1430" s="1625"/>
      <c r="I1430" s="1629"/>
      <c r="J1430" s="1630"/>
      <c r="K1430" s="1631"/>
      <c r="L1430" s="1245"/>
      <c r="M1430" s="1320"/>
      <c r="N1430" s="1632"/>
      <c r="O1430" s="1647"/>
      <c r="P1430" s="1634"/>
      <c r="Q1430" s="1632"/>
      <c r="R1430" s="1646"/>
      <c r="S1430" s="1625"/>
      <c r="T1430" s="1634"/>
      <c r="U1430" s="1635">
        <v>2</v>
      </c>
      <c r="V1430" s="1636" t="s">
        <v>379</v>
      </c>
      <c r="W1430" s="1714">
        <v>1</v>
      </c>
      <c r="X1430" s="1650"/>
      <c r="Y1430" s="1623"/>
      <c r="Z1430" s="1651">
        <f t="shared" si="118"/>
        <v>1</v>
      </c>
      <c r="AA1430" s="1625"/>
      <c r="AB1430" s="1667"/>
      <c r="AC1430" s="1640"/>
      <c r="AD1430" s="1635"/>
      <c r="AE1430" s="1764"/>
      <c r="AF1430" s="1085"/>
      <c r="AG1430" s="1086"/>
      <c r="AH1430" s="1087"/>
      <c r="AI1430" s="1087"/>
      <c r="AJ1430" s="1768"/>
      <c r="AK1430" s="1089">
        <v>100000</v>
      </c>
      <c r="AL1430" s="1090">
        <f t="shared" si="117"/>
        <v>100000</v>
      </c>
      <c r="AM1430" s="1086"/>
      <c r="AN1430" s="1086"/>
      <c r="AO1430" s="1087"/>
      <c r="AP1430" s="1764"/>
      <c r="AQ1430" s="1087"/>
      <c r="AR1430" s="1764"/>
      <c r="AS1430" s="1764"/>
      <c r="AT1430" s="1086"/>
      <c r="AU1430" s="1768"/>
      <c r="AV1430" s="1814"/>
    </row>
    <row r="1431" spans="1:48" ht="16.5" customHeight="1">
      <c r="A1431" s="1640"/>
      <c r="B1431" s="1646" t="s">
        <v>8</v>
      </c>
      <c r="C1431" s="1716" t="s">
        <v>1212</v>
      </c>
      <c r="D1431" s="1625"/>
      <c r="E1431" s="1625"/>
      <c r="F1431" s="1648"/>
      <c r="G1431" s="1625"/>
      <c r="H1431" s="1625"/>
      <c r="I1431" s="1629"/>
      <c r="J1431" s="1630"/>
      <c r="K1431" s="1631"/>
      <c r="L1431" s="1245"/>
      <c r="M1431" s="1320"/>
      <c r="N1431" s="1632"/>
      <c r="O1431" s="1647"/>
      <c r="P1431" s="1634"/>
      <c r="Q1431" s="1632"/>
      <c r="R1431" s="1646"/>
      <c r="S1431" s="1625"/>
      <c r="T1431" s="1634"/>
      <c r="U1431" s="1635">
        <v>3</v>
      </c>
      <c r="V1431" s="1636" t="s">
        <v>926</v>
      </c>
      <c r="W1431" s="1714"/>
      <c r="X1431" s="1650"/>
      <c r="Y1431" s="1623">
        <v>10</v>
      </c>
      <c r="Z1431" s="1651">
        <f t="shared" si="118"/>
        <v>10</v>
      </c>
      <c r="AA1431" s="1625"/>
      <c r="AB1431" s="1667"/>
      <c r="AC1431" s="1640"/>
      <c r="AD1431" s="1635"/>
      <c r="AE1431" s="1764"/>
      <c r="AF1431" s="1085"/>
      <c r="AG1431" s="1086"/>
      <c r="AH1431" s="1087"/>
      <c r="AI1431" s="1087"/>
      <c r="AJ1431" s="1768"/>
      <c r="AK1431" s="1089"/>
      <c r="AL1431" s="1090">
        <f t="shared" si="117"/>
        <v>0</v>
      </c>
      <c r="AM1431" s="1086"/>
      <c r="AN1431" s="1086"/>
      <c r="AO1431" s="1087"/>
      <c r="AP1431" s="1764"/>
      <c r="AQ1431" s="1087"/>
      <c r="AR1431" s="1764"/>
      <c r="AS1431" s="1764"/>
      <c r="AT1431" s="1086"/>
      <c r="AU1431" s="1768"/>
      <c r="AV1431" s="1814"/>
    </row>
    <row r="1432" spans="1:48" ht="16.5" customHeight="1">
      <c r="A1432" s="1640"/>
      <c r="B1432" s="1646"/>
      <c r="C1432" s="1623"/>
      <c r="D1432" s="1625"/>
      <c r="E1432" s="1625"/>
      <c r="F1432" s="1648"/>
      <c r="G1432" s="1625"/>
      <c r="H1432" s="1625"/>
      <c r="I1432" s="1629"/>
      <c r="J1432" s="1630"/>
      <c r="K1432" s="1631"/>
      <c r="L1432" s="1245"/>
      <c r="M1432" s="1320"/>
      <c r="N1432" s="1632"/>
      <c r="O1432" s="1647"/>
      <c r="P1432" s="1634"/>
      <c r="Q1432" s="1632"/>
      <c r="R1432" s="1646"/>
      <c r="S1432" s="1625"/>
      <c r="T1432" s="1634"/>
      <c r="U1432" s="1635">
        <v>4</v>
      </c>
      <c r="V1432" s="1636" t="s">
        <v>6</v>
      </c>
      <c r="W1432" s="1714">
        <v>1</v>
      </c>
      <c r="X1432" s="1650"/>
      <c r="Y1432" s="1807"/>
      <c r="Z1432" s="1651">
        <f t="shared" si="118"/>
        <v>1</v>
      </c>
      <c r="AA1432" s="1625"/>
      <c r="AB1432" s="1667"/>
      <c r="AC1432" s="1640"/>
      <c r="AD1432" s="1635"/>
      <c r="AE1432" s="1764"/>
      <c r="AF1432" s="1085"/>
      <c r="AG1432" s="1086"/>
      <c r="AH1432" s="1087"/>
      <c r="AI1432" s="1087"/>
      <c r="AJ1432" s="1768"/>
      <c r="AK1432" s="1089">
        <v>10000</v>
      </c>
      <c r="AL1432" s="1090">
        <f t="shared" si="117"/>
        <v>10000</v>
      </c>
      <c r="AM1432" s="1086"/>
      <c r="AN1432" s="1086"/>
      <c r="AO1432" s="1087"/>
      <c r="AP1432" s="1764"/>
      <c r="AQ1432" s="1087"/>
      <c r="AR1432" s="1764"/>
      <c r="AS1432" s="1764"/>
      <c r="AT1432" s="1086"/>
      <c r="AU1432" s="1768"/>
      <c r="AV1432" s="1814"/>
    </row>
    <row r="1433" spans="1:48" ht="16.5" customHeight="1">
      <c r="A1433" s="1640"/>
      <c r="B1433" s="1646"/>
      <c r="C1433" s="1623"/>
      <c r="D1433" s="1625"/>
      <c r="E1433" s="1625"/>
      <c r="F1433" s="1648"/>
      <c r="G1433" s="1625"/>
      <c r="H1433" s="1625"/>
      <c r="I1433" s="1629"/>
      <c r="J1433" s="1630"/>
      <c r="K1433" s="1631"/>
      <c r="L1433" s="1245"/>
      <c r="M1433" s="1320"/>
      <c r="N1433" s="1632"/>
      <c r="O1433" s="1647"/>
      <c r="P1433" s="1634"/>
      <c r="Q1433" s="1632"/>
      <c r="R1433" s="1646"/>
      <c r="S1433" s="1625"/>
      <c r="T1433" s="1634"/>
      <c r="U1433" s="1635">
        <v>5</v>
      </c>
      <c r="V1433" s="1636" t="s">
        <v>48</v>
      </c>
      <c r="W1433" s="1714">
        <v>35</v>
      </c>
      <c r="X1433" s="1650"/>
      <c r="Y1433" s="1623"/>
      <c r="Z1433" s="1651">
        <f t="shared" si="118"/>
        <v>35</v>
      </c>
      <c r="AA1433" s="1625"/>
      <c r="AB1433" s="1667"/>
      <c r="AC1433" s="1640"/>
      <c r="AD1433" s="1635"/>
      <c r="AE1433" s="1764"/>
      <c r="AF1433" s="1085"/>
      <c r="AG1433" s="1086"/>
      <c r="AH1433" s="1087"/>
      <c r="AI1433" s="1087"/>
      <c r="AJ1433" s="1768"/>
      <c r="AK1433" s="1089">
        <v>15000</v>
      </c>
      <c r="AL1433" s="1090">
        <f t="shared" si="117"/>
        <v>525000</v>
      </c>
      <c r="AM1433" s="1086"/>
      <c r="AN1433" s="1086"/>
      <c r="AO1433" s="1087"/>
      <c r="AP1433" s="1764"/>
      <c r="AQ1433" s="1087"/>
      <c r="AR1433" s="1764"/>
      <c r="AS1433" s="1764"/>
      <c r="AT1433" s="1086"/>
      <c r="AU1433" s="1768"/>
      <c r="AV1433" s="1814"/>
    </row>
    <row r="1434" spans="1:48" ht="16.5" customHeight="1">
      <c r="A1434" s="1640"/>
      <c r="B1434" s="1665"/>
      <c r="C1434" s="1666"/>
      <c r="D1434" s="1625"/>
      <c r="E1434" s="1628"/>
      <c r="F1434" s="1648"/>
      <c r="G1434" s="1625"/>
      <c r="H1434" s="1667"/>
      <c r="I1434" s="1629"/>
      <c r="J1434" s="1630"/>
      <c r="K1434" s="1631"/>
      <c r="L1434" s="1245"/>
      <c r="M1434" s="1320"/>
      <c r="N1434" s="1632"/>
      <c r="O1434" s="1647"/>
      <c r="P1434" s="1634"/>
      <c r="Q1434" s="1632"/>
      <c r="R1434" s="1646"/>
      <c r="S1434" s="1625"/>
      <c r="T1434" s="1634"/>
      <c r="U1434" s="1635">
        <v>6</v>
      </c>
      <c r="V1434" s="1636" t="s">
        <v>1211</v>
      </c>
      <c r="W1434" s="1714">
        <v>3</v>
      </c>
      <c r="X1434" s="1650"/>
      <c r="Y1434" s="1623"/>
      <c r="Z1434" s="1651">
        <f t="shared" si="118"/>
        <v>3</v>
      </c>
      <c r="AA1434" s="1625"/>
      <c r="AB1434" s="1667"/>
      <c r="AC1434" s="1640"/>
      <c r="AD1434" s="1635"/>
      <c r="AE1434" s="1764"/>
      <c r="AF1434" s="1085"/>
      <c r="AG1434" s="1086"/>
      <c r="AH1434" s="1087"/>
      <c r="AI1434" s="1087"/>
      <c r="AJ1434" s="1768"/>
      <c r="AK1434" s="1089">
        <v>50000</v>
      </c>
      <c r="AL1434" s="1090">
        <f t="shared" si="117"/>
        <v>150000</v>
      </c>
      <c r="AM1434" s="1086"/>
      <c r="AN1434" s="1086"/>
      <c r="AO1434" s="1087"/>
      <c r="AP1434" s="1764"/>
      <c r="AQ1434" s="1087"/>
      <c r="AR1434" s="1764"/>
      <c r="AS1434" s="1764"/>
      <c r="AT1434" s="1086"/>
      <c r="AU1434" s="1768"/>
      <c r="AV1434" s="1814"/>
    </row>
    <row r="1435" spans="1:48" ht="16.5" customHeight="1">
      <c r="A1435" s="1640"/>
      <c r="B1435" s="1665"/>
      <c r="C1435" s="1666"/>
      <c r="D1435" s="1625"/>
      <c r="E1435" s="1628"/>
      <c r="F1435" s="1648"/>
      <c r="G1435" s="1625"/>
      <c r="H1435" s="1667"/>
      <c r="I1435" s="1629"/>
      <c r="J1435" s="1630"/>
      <c r="K1435" s="1631"/>
      <c r="L1435" s="1245"/>
      <c r="M1435" s="1320"/>
      <c r="N1435" s="1632"/>
      <c r="O1435" s="1647"/>
      <c r="P1435" s="1634"/>
      <c r="Q1435" s="1632"/>
      <c r="R1435" s="1646"/>
      <c r="S1435" s="1625"/>
      <c r="T1435" s="1634"/>
      <c r="U1435" s="1635">
        <v>7</v>
      </c>
      <c r="V1435" s="1636" t="s">
        <v>14</v>
      </c>
      <c r="W1435" s="1714">
        <v>1</v>
      </c>
      <c r="X1435" s="1650"/>
      <c r="Y1435" s="1623"/>
      <c r="Z1435" s="1651">
        <f t="shared" si="118"/>
        <v>1</v>
      </c>
      <c r="AA1435" s="1625"/>
      <c r="AB1435" s="1667"/>
      <c r="AC1435" s="1640"/>
      <c r="AD1435" s="1635"/>
      <c r="AE1435" s="1764"/>
      <c r="AF1435" s="1085"/>
      <c r="AG1435" s="1086"/>
      <c r="AH1435" s="1087"/>
      <c r="AI1435" s="1087"/>
      <c r="AJ1435" s="1768"/>
      <c r="AK1435" s="1089">
        <v>350000</v>
      </c>
      <c r="AL1435" s="1087">
        <f t="shared" si="117"/>
        <v>350000</v>
      </c>
      <c r="AM1435" s="1086"/>
      <c r="AN1435" s="1086"/>
      <c r="AO1435" s="1087"/>
      <c r="AP1435" s="1764"/>
      <c r="AQ1435" s="1087"/>
      <c r="AR1435" s="1764"/>
      <c r="AS1435" s="1764"/>
      <c r="AT1435" s="1086"/>
      <c r="AU1435" s="1768"/>
      <c r="AV1435" s="1814"/>
    </row>
    <row r="1436" spans="1:48" ht="16.5" customHeight="1">
      <c r="A1436" s="1673"/>
      <c r="B1436" s="1674"/>
      <c r="C1436" s="1675"/>
      <c r="D1436" s="1676"/>
      <c r="E1436" s="1677"/>
      <c r="F1436" s="1678"/>
      <c r="G1436" s="1676"/>
      <c r="H1436" s="1679"/>
      <c r="I1436" s="1680"/>
      <c r="J1436" s="1681"/>
      <c r="K1436" s="1682"/>
      <c r="L1436" s="1270"/>
      <c r="M1436" s="1549"/>
      <c r="N1436" s="1683"/>
      <c r="O1436" s="1781"/>
      <c r="P1436" s="1685"/>
      <c r="Q1436" s="1683"/>
      <c r="R1436" s="1686"/>
      <c r="S1436" s="1676"/>
      <c r="T1436" s="1685"/>
      <c r="U1436" s="1773"/>
      <c r="V1436" s="1718"/>
      <c r="W1436" s="1719"/>
      <c r="X1436" s="1720"/>
      <c r="Y1436" s="1721"/>
      <c r="Z1436" s="1787"/>
      <c r="AA1436" s="1676"/>
      <c r="AB1436" s="1679"/>
      <c r="AC1436" s="1673"/>
      <c r="AD1436" s="1773"/>
      <c r="AE1436" s="1774"/>
      <c r="AF1436" s="1115"/>
      <c r="AG1436" s="1116"/>
      <c r="AH1436" s="1117"/>
      <c r="AI1436" s="1117"/>
      <c r="AJ1436" s="1775"/>
      <c r="AK1436" s="1119"/>
      <c r="AL1436" s="1120"/>
      <c r="AM1436" s="1116"/>
      <c r="AN1436" s="1116"/>
      <c r="AO1436" s="1117"/>
      <c r="AP1436" s="1774"/>
      <c r="AQ1436" s="1117"/>
      <c r="AR1436" s="1774"/>
      <c r="AS1436" s="1774"/>
      <c r="AT1436" s="1116"/>
      <c r="AU1436" s="1775"/>
      <c r="AV1436" s="1820"/>
    </row>
    <row r="1437" spans="1:48" ht="16.5" customHeight="1">
      <c r="A1437" s="1621">
        <v>111</v>
      </c>
      <c r="B1437" s="1622" t="s">
        <v>25</v>
      </c>
      <c r="C1437" s="1623" t="s">
        <v>1210</v>
      </c>
      <c r="D1437" s="1624"/>
      <c r="E1437" s="1625"/>
      <c r="F1437" s="1648" t="s">
        <v>1209</v>
      </c>
      <c r="G1437" s="1627" t="s">
        <v>25</v>
      </c>
      <c r="H1437" s="1628" t="s">
        <v>42</v>
      </c>
      <c r="I1437" s="1816">
        <v>691</v>
      </c>
      <c r="J1437" s="1630" t="s">
        <v>41</v>
      </c>
      <c r="K1437" s="1631" t="s">
        <v>1208</v>
      </c>
      <c r="L1437" s="1245"/>
      <c r="M1437" s="1320"/>
      <c r="N1437" s="1632"/>
      <c r="O1437" s="1737" t="s">
        <v>1207</v>
      </c>
      <c r="P1437" s="1634"/>
      <c r="Q1437" s="1632"/>
      <c r="R1437" s="1622" t="s">
        <v>25</v>
      </c>
      <c r="S1437" s="1625" t="s">
        <v>24</v>
      </c>
      <c r="T1437" s="1634"/>
      <c r="U1437" s="1635"/>
      <c r="V1437" s="1636"/>
      <c r="W1437" s="1714"/>
      <c r="X1437" s="1650"/>
      <c r="Y1437" s="1623"/>
      <c r="Z1437" s="1651"/>
      <c r="AA1437" s="1625"/>
      <c r="AB1437" s="1667"/>
      <c r="AC1437" s="1640"/>
      <c r="AD1437" s="1635"/>
      <c r="AE1437" s="1764"/>
      <c r="AF1437" s="1085">
        <f>Resum!F1</f>
        <v>356000</v>
      </c>
      <c r="AG1437" s="1086">
        <f>AF1437*I1437</f>
        <v>245996000</v>
      </c>
      <c r="AH1437" s="1087"/>
      <c r="AI1437" s="1087"/>
      <c r="AJ1437" s="2028">
        <f>SUM(AI1437:AI1451)</f>
        <v>247526200</v>
      </c>
      <c r="AK1437" s="1089"/>
      <c r="AL1437" s="1090"/>
      <c r="AM1437" s="1086">
        <f>SUM(AL1438:AL1449)</f>
        <v>4230000</v>
      </c>
      <c r="AN1437" s="1086">
        <f>AM1437+AJ1437+AG1437</f>
        <v>497752200</v>
      </c>
      <c r="AO1437" s="1087"/>
      <c r="AP1437" s="1136">
        <f>(AG1437+AI1440)*15%</f>
        <v>54660000</v>
      </c>
      <c r="AQ1437" s="1087">
        <f>(AG1437+AI1438)*1%</f>
        <v>2505110</v>
      </c>
      <c r="AR1437" s="1136">
        <f>(AG1437+AI1438)*5%</f>
        <v>12525550</v>
      </c>
      <c r="AS1437" s="1087">
        <f>0.5%*(AG1437+AI1438)*(3)</f>
        <v>3757665</v>
      </c>
      <c r="AT1437" s="1086">
        <f>+AS1437+AR1437+AQ1437+AP1437+AO1437</f>
        <v>73448325</v>
      </c>
      <c r="AU1437" s="1137">
        <f>ROUND(AT1437+AN1437,-3)</f>
        <v>571201000</v>
      </c>
      <c r="AV1437" s="1812"/>
    </row>
    <row r="1438" spans="1:48" ht="33" customHeight="1">
      <c r="A1438" s="1640"/>
      <c r="B1438" s="1646" t="s">
        <v>16</v>
      </c>
      <c r="C1438" s="1647" t="s">
        <v>1206</v>
      </c>
      <c r="D1438" s="1625"/>
      <c r="E1438" s="1633"/>
      <c r="F1438" s="1648"/>
      <c r="G1438" s="1625" t="s">
        <v>16</v>
      </c>
      <c r="H1438" s="1625" t="s">
        <v>22</v>
      </c>
      <c r="I1438" s="1629"/>
      <c r="J1438" s="1630"/>
      <c r="K1438" s="1631"/>
      <c r="L1438" s="1245"/>
      <c r="M1438" s="1320"/>
      <c r="N1438" s="1632" t="s">
        <v>25</v>
      </c>
      <c r="O1438" s="1748" t="s">
        <v>62</v>
      </c>
      <c r="P1438" s="1634">
        <v>1</v>
      </c>
      <c r="Q1438" s="1632">
        <v>21</v>
      </c>
      <c r="R1438" s="1646"/>
      <c r="S1438" s="1625"/>
      <c r="T1438" s="1634"/>
      <c r="U1438" s="1749"/>
      <c r="V1438" s="1636"/>
      <c r="W1438" s="1714"/>
      <c r="X1438" s="1650"/>
      <c r="Y1438" s="1623"/>
      <c r="Z1438" s="1651"/>
      <c r="AA1438" s="1625"/>
      <c r="AB1438" s="1667"/>
      <c r="AC1438" s="1640"/>
      <c r="AD1438" s="1635"/>
      <c r="AE1438" s="1764"/>
      <c r="AF1438" s="1085"/>
      <c r="AG1438" s="1086"/>
      <c r="AH1438" s="1087">
        <v>430000</v>
      </c>
      <c r="AI1438" s="1089">
        <f>AH1438*Q1438*0.5</f>
        <v>4515000</v>
      </c>
      <c r="AJ1438" s="1768"/>
      <c r="AK1438" s="1089"/>
      <c r="AL1438" s="1090"/>
      <c r="AM1438" s="1086"/>
      <c r="AN1438" s="1086"/>
      <c r="AO1438" s="1087"/>
      <c r="AP1438" s="1764"/>
      <c r="AQ1438" s="1087"/>
      <c r="AR1438" s="1764"/>
      <c r="AS1438" s="1764"/>
      <c r="AT1438" s="1086"/>
      <c r="AU1438" s="1768"/>
      <c r="AV1438" s="1814"/>
    </row>
    <row r="1439" spans="1:48" ht="16.5" customHeight="1">
      <c r="A1439" s="1640"/>
      <c r="B1439" s="1646" t="s">
        <v>18</v>
      </c>
      <c r="C1439" s="1623" t="s">
        <v>1191</v>
      </c>
      <c r="D1439" s="1625"/>
      <c r="E1439" s="1625"/>
      <c r="F1439" s="1648"/>
      <c r="G1439" s="1625" t="s">
        <v>18</v>
      </c>
      <c r="H1439" s="1625" t="s">
        <v>19</v>
      </c>
      <c r="I1439" s="1629"/>
      <c r="J1439" s="1630"/>
      <c r="K1439" s="1631"/>
      <c r="L1439" s="1245"/>
      <c r="M1439" s="1320"/>
      <c r="N1439" s="1632"/>
      <c r="O1439" s="1737" t="s">
        <v>1205</v>
      </c>
      <c r="P1439" s="1634"/>
      <c r="Q1439" s="1632"/>
      <c r="R1439" s="1646" t="s">
        <v>16</v>
      </c>
      <c r="S1439" s="1625" t="s">
        <v>15</v>
      </c>
      <c r="T1439" s="1634">
        <v>9</v>
      </c>
      <c r="U1439" s="1922">
        <v>1</v>
      </c>
      <c r="V1439" s="1825" t="s">
        <v>3</v>
      </c>
      <c r="W1439" s="1826">
        <v>4</v>
      </c>
      <c r="X1439" s="1826"/>
      <c r="Y1439" s="1827"/>
      <c r="Z1439" s="1923">
        <v>4</v>
      </c>
      <c r="AA1439" s="1625"/>
      <c r="AB1439" s="1667"/>
      <c r="AC1439" s="1640"/>
      <c r="AD1439" s="1635"/>
      <c r="AE1439" s="1764"/>
      <c r="AF1439" s="1085"/>
      <c r="AG1439" s="1086"/>
      <c r="AH1439" s="1087">
        <v>0</v>
      </c>
      <c r="AI1439" s="1089">
        <f t="shared" ref="AI1439:AI1447" si="119">AH1439*Q1439*0.6</f>
        <v>0</v>
      </c>
      <c r="AJ1439" s="1768"/>
      <c r="AK1439" s="1089">
        <v>85000</v>
      </c>
      <c r="AL1439" s="1090">
        <f t="shared" si="117"/>
        <v>340000</v>
      </c>
      <c r="AM1439" s="1086"/>
      <c r="AN1439" s="1086"/>
      <c r="AO1439" s="1087"/>
      <c r="AP1439" s="1764"/>
      <c r="AQ1439" s="1087"/>
      <c r="AR1439" s="1764"/>
      <c r="AS1439" s="1764"/>
      <c r="AT1439" s="1086"/>
      <c r="AU1439" s="1768"/>
      <c r="AV1439" s="1814"/>
    </row>
    <row r="1440" spans="1:48" ht="49.5" customHeight="1">
      <c r="A1440" s="1640"/>
      <c r="B1440" s="1658" t="s">
        <v>12</v>
      </c>
      <c r="C1440" s="1659" t="s">
        <v>1204</v>
      </c>
      <c r="D1440" s="1625"/>
      <c r="E1440" s="1625"/>
      <c r="F1440" s="1648"/>
      <c r="G1440" s="1625"/>
      <c r="H1440" s="1625"/>
      <c r="I1440" s="1629"/>
      <c r="J1440" s="1630"/>
      <c r="K1440" s="1631"/>
      <c r="L1440" s="1245"/>
      <c r="M1440" s="1320"/>
      <c r="N1440" s="1632" t="s">
        <v>25</v>
      </c>
      <c r="O1440" s="1748" t="s">
        <v>62</v>
      </c>
      <c r="P1440" s="1634">
        <v>1</v>
      </c>
      <c r="Q1440" s="1632">
        <v>101.2</v>
      </c>
      <c r="R1440" s="1646"/>
      <c r="S1440" s="1625"/>
      <c r="T1440" s="1634"/>
      <c r="U1440" s="1922">
        <v>2</v>
      </c>
      <c r="V1440" s="1825" t="s">
        <v>14</v>
      </c>
      <c r="W1440" s="1826">
        <v>4</v>
      </c>
      <c r="X1440" s="1826"/>
      <c r="Y1440" s="1827"/>
      <c r="Z1440" s="1923">
        <v>9</v>
      </c>
      <c r="AA1440" s="1625"/>
      <c r="AB1440" s="1667"/>
      <c r="AC1440" s="1640"/>
      <c r="AD1440" s="1635"/>
      <c r="AE1440" s="1764"/>
      <c r="AF1440" s="1085"/>
      <c r="AG1440" s="1086"/>
      <c r="AH1440" s="1087">
        <v>1800000</v>
      </c>
      <c r="AI1440" s="1089">
        <f>AH1440*Q1440*0.65</f>
        <v>118404000</v>
      </c>
      <c r="AJ1440" s="1768"/>
      <c r="AK1440" s="1089">
        <v>350000</v>
      </c>
      <c r="AL1440" s="1087">
        <f t="shared" si="117"/>
        <v>1400000</v>
      </c>
      <c r="AM1440" s="1086"/>
      <c r="AN1440" s="1086"/>
      <c r="AO1440" s="1087"/>
      <c r="AP1440" s="1764"/>
      <c r="AQ1440" s="1087"/>
      <c r="AR1440" s="1764"/>
      <c r="AS1440" s="1764"/>
      <c r="AT1440" s="1086"/>
      <c r="AU1440" s="1768"/>
      <c r="AV1440" s="1814"/>
    </row>
    <row r="1441" spans="1:48" ht="16.5" customHeight="1">
      <c r="A1441" s="1640"/>
      <c r="B1441" s="1646" t="s">
        <v>8</v>
      </c>
      <c r="C1441" s="1716" t="s">
        <v>1203</v>
      </c>
      <c r="D1441" s="1625"/>
      <c r="E1441" s="1625"/>
      <c r="F1441" s="1648"/>
      <c r="G1441" s="1625"/>
      <c r="H1441" s="1625"/>
      <c r="I1441" s="1629"/>
      <c r="J1441" s="1630"/>
      <c r="K1441" s="1631"/>
      <c r="L1441" s="1245"/>
      <c r="M1441" s="1320"/>
      <c r="N1441" s="1632" t="s">
        <v>16</v>
      </c>
      <c r="O1441" s="1737" t="s">
        <v>21</v>
      </c>
      <c r="P1441" s="1634">
        <v>1</v>
      </c>
      <c r="Q1441" s="1632">
        <v>14</v>
      </c>
      <c r="R1441" s="1646"/>
      <c r="S1441" s="1625"/>
      <c r="T1441" s="1634"/>
      <c r="U1441" s="1922">
        <v>2</v>
      </c>
      <c r="V1441" s="1825" t="s">
        <v>14</v>
      </c>
      <c r="W1441" s="1826"/>
      <c r="X1441" s="1826">
        <v>5</v>
      </c>
      <c r="Y1441" s="1827"/>
      <c r="Z1441" s="1923">
        <v>1</v>
      </c>
      <c r="AA1441" s="1625"/>
      <c r="AB1441" s="1667"/>
      <c r="AC1441" s="1640"/>
      <c r="AD1441" s="1635"/>
      <c r="AE1441" s="1764"/>
      <c r="AF1441" s="1085"/>
      <c r="AG1441" s="1086"/>
      <c r="AH1441" s="1087">
        <v>100000</v>
      </c>
      <c r="AI1441" s="1089">
        <f>AH1441*Q1441*0.65</f>
        <v>910000</v>
      </c>
      <c r="AJ1441" s="1768"/>
      <c r="AK1441" s="1089">
        <v>231000</v>
      </c>
      <c r="AL1441" s="1087">
        <f>AK1441*X1441</f>
        <v>1155000</v>
      </c>
      <c r="AM1441" s="1086"/>
      <c r="AN1441" s="1086"/>
      <c r="AO1441" s="1087"/>
      <c r="AP1441" s="1764"/>
      <c r="AQ1441" s="1087"/>
      <c r="AR1441" s="1764"/>
      <c r="AS1441" s="1764"/>
      <c r="AT1441" s="1086"/>
      <c r="AU1441" s="1768"/>
      <c r="AV1441" s="1814"/>
    </row>
    <row r="1442" spans="1:48" ht="16.5" customHeight="1">
      <c r="A1442" s="1640"/>
      <c r="B1442" s="1646"/>
      <c r="C1442" s="1623"/>
      <c r="D1442" s="1625"/>
      <c r="E1442" s="1625"/>
      <c r="F1442" s="1648"/>
      <c r="G1442" s="1625"/>
      <c r="H1442" s="1625"/>
      <c r="I1442" s="1629"/>
      <c r="J1442" s="1630"/>
      <c r="K1442" s="1631"/>
      <c r="L1442" s="1245"/>
      <c r="M1442" s="1320"/>
      <c r="N1442" s="1632" t="s">
        <v>18</v>
      </c>
      <c r="O1442" s="1737" t="s">
        <v>17</v>
      </c>
      <c r="P1442" s="1634">
        <v>1</v>
      </c>
      <c r="Q1442" s="1632"/>
      <c r="R1442" s="1646"/>
      <c r="S1442" s="1625"/>
      <c r="T1442" s="1634"/>
      <c r="U1442" s="1922">
        <v>3</v>
      </c>
      <c r="V1442" s="1825" t="s">
        <v>157</v>
      </c>
      <c r="W1442" s="1826">
        <v>1</v>
      </c>
      <c r="X1442" s="1826"/>
      <c r="Y1442" s="1827"/>
      <c r="Z1442" s="1923">
        <v>100</v>
      </c>
      <c r="AA1442" s="1625"/>
      <c r="AB1442" s="1667"/>
      <c r="AC1442" s="1640"/>
      <c r="AD1442" s="1635"/>
      <c r="AE1442" s="1764"/>
      <c r="AF1442" s="1085"/>
      <c r="AG1442" s="1086"/>
      <c r="AH1442" s="1087">
        <v>2500000</v>
      </c>
      <c r="AI1442" s="1089">
        <f>AH1442*P1442*0.6</f>
        <v>1500000</v>
      </c>
      <c r="AJ1442" s="1768"/>
      <c r="AK1442" s="1300">
        <v>125000</v>
      </c>
      <c r="AL1442" s="1090">
        <f>AK1442*W1442</f>
        <v>125000</v>
      </c>
      <c r="AM1442" s="1086"/>
      <c r="AN1442" s="1086"/>
      <c r="AO1442" s="1087"/>
      <c r="AP1442" s="1764"/>
      <c r="AQ1442" s="1087"/>
      <c r="AR1442" s="1764"/>
      <c r="AS1442" s="1764"/>
      <c r="AT1442" s="1086"/>
      <c r="AU1442" s="1768"/>
      <c r="AV1442" s="1814"/>
    </row>
    <row r="1443" spans="1:48" ht="16.5" customHeight="1">
      <c r="A1443" s="1640"/>
      <c r="B1443" s="1646"/>
      <c r="C1443" s="1623"/>
      <c r="D1443" s="1625"/>
      <c r="E1443" s="1625"/>
      <c r="F1443" s="1648"/>
      <c r="G1443" s="1625"/>
      <c r="H1443" s="1625"/>
      <c r="I1443" s="1629"/>
      <c r="J1443" s="1630"/>
      <c r="K1443" s="1631"/>
      <c r="L1443" s="1245"/>
      <c r="M1443" s="1320"/>
      <c r="N1443" s="1632" t="s">
        <v>12</v>
      </c>
      <c r="O1443" s="1737" t="s">
        <v>11</v>
      </c>
      <c r="P1443" s="1634">
        <v>1</v>
      </c>
      <c r="Q1443" s="1632"/>
      <c r="R1443" s="1646"/>
      <c r="S1443" s="1625"/>
      <c r="T1443" s="1634"/>
      <c r="U1443" s="1922">
        <v>4</v>
      </c>
      <c r="V1443" s="1825" t="s">
        <v>926</v>
      </c>
      <c r="W1443" s="1826"/>
      <c r="X1443" s="1826"/>
      <c r="Y1443" s="1827"/>
      <c r="Z1443" s="1923">
        <v>10</v>
      </c>
      <c r="AA1443" s="1625"/>
      <c r="AB1443" s="1667"/>
      <c r="AC1443" s="1640"/>
      <c r="AD1443" s="1635"/>
      <c r="AE1443" s="1764"/>
      <c r="AF1443" s="1085"/>
      <c r="AG1443" s="1086"/>
      <c r="AH1443" s="1087">
        <v>2500000</v>
      </c>
      <c r="AI1443" s="1089">
        <f>AH1443*P1443*0.75</f>
        <v>1875000</v>
      </c>
      <c r="AJ1443" s="1768"/>
      <c r="AK1443" s="1089"/>
      <c r="AL1443" s="1090">
        <f>AK1443*W1443</f>
        <v>0</v>
      </c>
      <c r="AM1443" s="1086"/>
      <c r="AN1443" s="1086"/>
      <c r="AO1443" s="1087"/>
      <c r="AP1443" s="1764"/>
      <c r="AQ1443" s="1087"/>
      <c r="AR1443" s="1764"/>
      <c r="AS1443" s="1764"/>
      <c r="AT1443" s="1086"/>
      <c r="AU1443" s="1768"/>
      <c r="AV1443" s="1814"/>
    </row>
    <row r="1444" spans="1:48" ht="16.5" customHeight="1">
      <c r="A1444" s="1640"/>
      <c r="B1444" s="1646"/>
      <c r="C1444" s="1623"/>
      <c r="D1444" s="1625"/>
      <c r="E1444" s="1625"/>
      <c r="F1444" s="1648"/>
      <c r="G1444" s="1625"/>
      <c r="H1444" s="1625"/>
      <c r="I1444" s="1629"/>
      <c r="J1444" s="1630"/>
      <c r="K1444" s="1631"/>
      <c r="L1444" s="1245"/>
      <c r="M1444" s="1320"/>
      <c r="N1444" s="1632"/>
      <c r="O1444" s="1737" t="s">
        <v>1201</v>
      </c>
      <c r="P1444" s="1634"/>
      <c r="Q1444" s="1632"/>
      <c r="R1444" s="1646"/>
      <c r="S1444" s="1625"/>
      <c r="T1444" s="1634"/>
      <c r="U1444" s="1922">
        <v>5</v>
      </c>
      <c r="V1444" s="1825" t="s">
        <v>1202</v>
      </c>
      <c r="W1444" s="1826"/>
      <c r="X1444" s="1826"/>
      <c r="Y1444" s="1827"/>
      <c r="Z1444" s="1923">
        <v>20</v>
      </c>
      <c r="AA1444" s="1625"/>
      <c r="AB1444" s="1667"/>
      <c r="AC1444" s="1640"/>
      <c r="AD1444" s="1635"/>
      <c r="AE1444" s="1764"/>
      <c r="AF1444" s="1085"/>
      <c r="AG1444" s="1086"/>
      <c r="AH1444" s="1087"/>
      <c r="AI1444" s="1089">
        <f t="shared" si="119"/>
        <v>0</v>
      </c>
      <c r="AJ1444" s="1768"/>
      <c r="AK1444" s="1089"/>
      <c r="AL1444" s="1090">
        <f>AK1444*W1444</f>
        <v>0</v>
      </c>
      <c r="AM1444" s="1086"/>
      <c r="AN1444" s="1086"/>
      <c r="AO1444" s="1087"/>
      <c r="AP1444" s="1764"/>
      <c r="AQ1444" s="1087"/>
      <c r="AR1444" s="1764"/>
      <c r="AS1444" s="1764"/>
      <c r="AT1444" s="1086"/>
      <c r="AU1444" s="1768"/>
      <c r="AV1444" s="1814"/>
    </row>
    <row r="1445" spans="1:48" ht="33" customHeight="1">
      <c r="A1445" s="1640"/>
      <c r="B1445" s="1646"/>
      <c r="C1445" s="1623"/>
      <c r="D1445" s="1625"/>
      <c r="E1445" s="1625"/>
      <c r="F1445" s="1648"/>
      <c r="G1445" s="1625"/>
      <c r="H1445" s="1625"/>
      <c r="I1445" s="1629"/>
      <c r="J1445" s="1630"/>
      <c r="K1445" s="1631"/>
      <c r="L1445" s="1245"/>
      <c r="M1445" s="1320"/>
      <c r="N1445" s="1632" t="s">
        <v>25</v>
      </c>
      <c r="O1445" s="1748" t="s">
        <v>62</v>
      </c>
      <c r="P1445" s="1634">
        <v>1</v>
      </c>
      <c r="Q1445" s="1632">
        <v>104.4</v>
      </c>
      <c r="R1445" s="1646"/>
      <c r="S1445" s="1625"/>
      <c r="T1445" s="1634"/>
      <c r="U1445" s="1922">
        <v>6</v>
      </c>
      <c r="V1445" s="1825" t="s">
        <v>0</v>
      </c>
      <c r="W1445" s="1826"/>
      <c r="X1445" s="1826"/>
      <c r="Y1445" s="1827"/>
      <c r="Z1445" s="1923">
        <v>10</v>
      </c>
      <c r="AA1445" s="1625"/>
      <c r="AB1445" s="1667"/>
      <c r="AC1445" s="1640"/>
      <c r="AD1445" s="1635"/>
      <c r="AE1445" s="1764"/>
      <c r="AF1445" s="1085"/>
      <c r="AG1445" s="1086"/>
      <c r="AH1445" s="1087">
        <v>1800000</v>
      </c>
      <c r="AI1445" s="1089">
        <f>AH1445*Q1445*0.6</f>
        <v>112752000</v>
      </c>
      <c r="AJ1445" s="1768"/>
      <c r="AK1445" s="1089">
        <v>6000</v>
      </c>
      <c r="AL1445" s="1090">
        <f t="shared" ref="AL1445" si="120">AK1445*W1446</f>
        <v>30000</v>
      </c>
      <c r="AM1445" s="1086"/>
      <c r="AN1445" s="1086"/>
      <c r="AO1445" s="1087"/>
      <c r="AP1445" s="1764"/>
      <c r="AQ1445" s="1087"/>
      <c r="AR1445" s="1764"/>
      <c r="AS1445" s="1764"/>
      <c r="AT1445" s="1086"/>
      <c r="AU1445" s="1768"/>
      <c r="AV1445" s="1814"/>
    </row>
    <row r="1446" spans="1:48" ht="16.5" customHeight="1">
      <c r="A1446" s="1640"/>
      <c r="B1446" s="1646"/>
      <c r="C1446" s="1623"/>
      <c r="D1446" s="1625"/>
      <c r="E1446" s="1625"/>
      <c r="F1446" s="1648"/>
      <c r="G1446" s="1625"/>
      <c r="H1446" s="1625"/>
      <c r="I1446" s="1629"/>
      <c r="J1446" s="1630"/>
      <c r="K1446" s="1631"/>
      <c r="L1446" s="1245"/>
      <c r="M1446" s="1320"/>
      <c r="N1446" s="1632" t="s">
        <v>16</v>
      </c>
      <c r="O1446" s="1737" t="s">
        <v>21</v>
      </c>
      <c r="P1446" s="1634">
        <v>1</v>
      </c>
      <c r="Q1446" s="1632">
        <v>15.12</v>
      </c>
      <c r="R1446" s="1646"/>
      <c r="S1446" s="1625"/>
      <c r="T1446" s="1634"/>
      <c r="U1446" s="1922">
        <v>7</v>
      </c>
      <c r="V1446" s="1825" t="s">
        <v>379</v>
      </c>
      <c r="W1446" s="1826">
        <v>5</v>
      </c>
      <c r="X1446" s="1826"/>
      <c r="Y1446" s="1827"/>
      <c r="Z1446" s="1923">
        <v>11</v>
      </c>
      <c r="AA1446" s="1625"/>
      <c r="AB1446" s="1667"/>
      <c r="AC1446" s="1640"/>
      <c r="AD1446" s="1635"/>
      <c r="AE1446" s="1764"/>
      <c r="AF1446" s="1085"/>
      <c r="AG1446" s="1086"/>
      <c r="AH1446" s="1087">
        <v>100000</v>
      </c>
      <c r="AI1446" s="1089">
        <f>AH1446*Q1446*0.6</f>
        <v>907200</v>
      </c>
      <c r="AJ1446" s="1768"/>
      <c r="AK1446" s="1089">
        <v>100000</v>
      </c>
      <c r="AL1446" s="1090">
        <f>AK1446*W1446</f>
        <v>500000</v>
      </c>
      <c r="AM1446" s="1086"/>
      <c r="AN1446" s="1086"/>
      <c r="AO1446" s="1087"/>
      <c r="AP1446" s="1764"/>
      <c r="AQ1446" s="1087"/>
      <c r="AR1446" s="1764"/>
      <c r="AS1446" s="1764"/>
      <c r="AT1446" s="1086"/>
      <c r="AU1446" s="1768"/>
      <c r="AV1446" s="1814"/>
    </row>
    <row r="1447" spans="1:48" ht="16.5" customHeight="1">
      <c r="A1447" s="1640"/>
      <c r="B1447" s="1646"/>
      <c r="C1447" s="1623"/>
      <c r="D1447" s="1625"/>
      <c r="E1447" s="1625"/>
      <c r="F1447" s="1648"/>
      <c r="G1447" s="1625"/>
      <c r="H1447" s="1625"/>
      <c r="I1447" s="1629"/>
      <c r="J1447" s="1630"/>
      <c r="K1447" s="1631"/>
      <c r="L1447" s="1245"/>
      <c r="M1447" s="1320"/>
      <c r="N1447" s="1632" t="s">
        <v>18</v>
      </c>
      <c r="O1447" s="1737" t="s">
        <v>1200</v>
      </c>
      <c r="P1447" s="1634">
        <v>2</v>
      </c>
      <c r="Q1447" s="1632">
        <v>23.5</v>
      </c>
      <c r="R1447" s="1646"/>
      <c r="S1447" s="1625"/>
      <c r="T1447" s="1634"/>
      <c r="U1447" s="1922"/>
      <c r="V1447" s="1825" t="s">
        <v>379</v>
      </c>
      <c r="W1447" s="1826"/>
      <c r="X1447" s="1826"/>
      <c r="Y1447" s="1827">
        <v>5</v>
      </c>
      <c r="Z1447" s="1923">
        <v>100</v>
      </c>
      <c r="AA1447" s="1625"/>
      <c r="AB1447" s="1667"/>
      <c r="AC1447" s="1640"/>
      <c r="AD1447" s="1635"/>
      <c r="AE1447" s="1764"/>
      <c r="AF1447" s="1085"/>
      <c r="AG1447" s="1086"/>
      <c r="AH1447" s="1087">
        <v>180000</v>
      </c>
      <c r="AI1447" s="1089">
        <f t="shared" si="119"/>
        <v>2538000</v>
      </c>
      <c r="AJ1447" s="1768"/>
      <c r="AK1447" s="1089">
        <v>33000</v>
      </c>
      <c r="AL1447" s="1090">
        <f>AK1447*Y1447</f>
        <v>165000</v>
      </c>
      <c r="AM1447" s="1086"/>
      <c r="AN1447" s="1086"/>
      <c r="AO1447" s="1087"/>
      <c r="AP1447" s="1764"/>
      <c r="AQ1447" s="1087"/>
      <c r="AR1447" s="1764"/>
      <c r="AS1447" s="1764"/>
      <c r="AT1447" s="1086"/>
      <c r="AU1447" s="1768"/>
      <c r="AV1447" s="1814"/>
    </row>
    <row r="1448" spans="1:48" ht="16.5" customHeight="1">
      <c r="A1448" s="1640"/>
      <c r="B1448" s="1646"/>
      <c r="C1448" s="1623"/>
      <c r="D1448" s="1625"/>
      <c r="E1448" s="1625"/>
      <c r="F1448" s="1648"/>
      <c r="G1448" s="1625"/>
      <c r="H1448" s="1625"/>
      <c r="I1448" s="1629"/>
      <c r="J1448" s="1630"/>
      <c r="K1448" s="1631"/>
      <c r="L1448" s="1245"/>
      <c r="M1448" s="1320"/>
      <c r="N1448" s="1632" t="s">
        <v>12</v>
      </c>
      <c r="O1448" s="1737" t="s">
        <v>52</v>
      </c>
      <c r="P1448" s="1634">
        <v>2</v>
      </c>
      <c r="Q1448" s="1632">
        <v>15</v>
      </c>
      <c r="R1448" s="1646"/>
      <c r="S1448" s="1625"/>
      <c r="T1448" s="1634"/>
      <c r="U1448" s="1922">
        <v>8</v>
      </c>
      <c r="V1448" s="1825" t="s">
        <v>48</v>
      </c>
      <c r="W1448" s="1826">
        <v>11</v>
      </c>
      <c r="X1448" s="1826"/>
      <c r="Y1448" s="1827"/>
      <c r="Z1448" s="1651"/>
      <c r="AA1448" s="1625"/>
      <c r="AB1448" s="1667"/>
      <c r="AC1448" s="1640"/>
      <c r="AD1448" s="1635"/>
      <c r="AE1448" s="1764"/>
      <c r="AF1448" s="1085"/>
      <c r="AG1448" s="1086"/>
      <c r="AH1448" s="1087">
        <v>210000</v>
      </c>
      <c r="AI1448" s="1089">
        <f>AH1448*Q1448*0.5</f>
        <v>1575000</v>
      </c>
      <c r="AJ1448" s="1768"/>
      <c r="AK1448" s="1089">
        <v>15000</v>
      </c>
      <c r="AL1448" s="1090">
        <f>AK1448*Y1447</f>
        <v>75000</v>
      </c>
      <c r="AM1448" s="1086"/>
      <c r="AN1448" s="1086"/>
      <c r="AO1448" s="1087"/>
      <c r="AP1448" s="1764"/>
      <c r="AQ1448" s="1087"/>
      <c r="AR1448" s="1764"/>
      <c r="AS1448" s="1764"/>
      <c r="AT1448" s="1086"/>
      <c r="AU1448" s="1768"/>
      <c r="AV1448" s="1814"/>
    </row>
    <row r="1449" spans="1:48" ht="16.5" customHeight="1">
      <c r="A1449" s="1640"/>
      <c r="B1449" s="1646"/>
      <c r="C1449" s="1623"/>
      <c r="D1449" s="1625"/>
      <c r="E1449" s="1625"/>
      <c r="F1449" s="1648"/>
      <c r="G1449" s="1625"/>
      <c r="H1449" s="1625"/>
      <c r="I1449" s="1629"/>
      <c r="J1449" s="1630"/>
      <c r="K1449" s="1631"/>
      <c r="L1449" s="1245"/>
      <c r="M1449" s="1320"/>
      <c r="N1449" s="1632" t="s">
        <v>8</v>
      </c>
      <c r="O1449" s="1737" t="s">
        <v>1199</v>
      </c>
      <c r="P1449" s="1634">
        <v>1</v>
      </c>
      <c r="Q1449" s="1632">
        <v>32</v>
      </c>
      <c r="R1449" s="1646"/>
      <c r="S1449" s="1625"/>
      <c r="T1449" s="1634"/>
      <c r="U1449" s="1922">
        <v>9</v>
      </c>
      <c r="V1449" s="1825" t="s">
        <v>305</v>
      </c>
      <c r="W1449" s="1826"/>
      <c r="X1449" s="1826"/>
      <c r="Y1449" s="1827"/>
      <c r="Z1449" s="1651"/>
      <c r="AA1449" s="1625"/>
      <c r="AB1449" s="1667"/>
      <c r="AC1449" s="1640"/>
      <c r="AD1449" s="1635"/>
      <c r="AE1449" s="1764"/>
      <c r="AF1449" s="1085"/>
      <c r="AG1449" s="1086"/>
      <c r="AH1449" s="1087">
        <v>150000</v>
      </c>
      <c r="AI1449" s="1089">
        <f>AH1449*Q1449*0.5</f>
        <v>2400000</v>
      </c>
      <c r="AJ1449" s="1768"/>
      <c r="AK1449" s="1089">
        <v>40000</v>
      </c>
      <c r="AL1449" s="1090">
        <f>AK1449*W1448</f>
        <v>440000</v>
      </c>
      <c r="AM1449" s="1086"/>
      <c r="AN1449" s="1086"/>
      <c r="AO1449" s="1087"/>
      <c r="AP1449" s="1764"/>
      <c r="AQ1449" s="1087"/>
      <c r="AR1449" s="1764"/>
      <c r="AS1449" s="1764"/>
      <c r="AT1449" s="1086"/>
      <c r="AU1449" s="1768"/>
      <c r="AV1449" s="1814"/>
    </row>
    <row r="1450" spans="1:48" ht="16.5" customHeight="1">
      <c r="A1450" s="1640"/>
      <c r="B1450" s="1646"/>
      <c r="C1450" s="1623"/>
      <c r="D1450" s="1625"/>
      <c r="E1450" s="1625"/>
      <c r="F1450" s="1648"/>
      <c r="G1450" s="1625"/>
      <c r="H1450" s="1625"/>
      <c r="I1450" s="1629"/>
      <c r="J1450" s="1630"/>
      <c r="K1450" s="1631"/>
      <c r="L1450" s="1245"/>
      <c r="M1450" s="1320"/>
      <c r="N1450" s="1632" t="s">
        <v>54</v>
      </c>
      <c r="O1450" s="1737" t="s">
        <v>1198</v>
      </c>
      <c r="P1450" s="1634">
        <v>2</v>
      </c>
      <c r="Q1450" s="1632">
        <v>3</v>
      </c>
      <c r="R1450" s="1646"/>
      <c r="S1450" s="1625"/>
      <c r="T1450" s="1634"/>
      <c r="U1450" s="1635"/>
      <c r="V1450" s="1636"/>
      <c r="W1450" s="1714"/>
      <c r="X1450" s="1650"/>
      <c r="Y1450" s="1623"/>
      <c r="Z1450" s="1651"/>
      <c r="AA1450" s="1625"/>
      <c r="AB1450" s="1667"/>
      <c r="AC1450" s="1640"/>
      <c r="AD1450" s="1635"/>
      <c r="AE1450" s="1764"/>
      <c r="AF1450" s="1085"/>
      <c r="AG1450" s="1086"/>
      <c r="AH1450" s="1087">
        <v>100000</v>
      </c>
      <c r="AI1450" s="1089">
        <f>AH1450*Q1450*0.5</f>
        <v>150000</v>
      </c>
      <c r="AJ1450" s="1768"/>
      <c r="AK1450" s="1089"/>
      <c r="AL1450" s="1090">
        <f t="shared" si="117"/>
        <v>0</v>
      </c>
      <c r="AM1450" s="1086"/>
      <c r="AN1450" s="1086"/>
      <c r="AO1450" s="1087"/>
      <c r="AP1450" s="1764"/>
      <c r="AQ1450" s="1087"/>
      <c r="AR1450" s="1764"/>
      <c r="AS1450" s="1764"/>
      <c r="AT1450" s="1086"/>
      <c r="AU1450" s="1768"/>
      <c r="AV1450" s="1814"/>
    </row>
    <row r="1451" spans="1:48" ht="16.5" customHeight="1">
      <c r="A1451" s="1640"/>
      <c r="B1451" s="1646"/>
      <c r="C1451" s="1623"/>
      <c r="D1451" s="1625"/>
      <c r="E1451" s="1625"/>
      <c r="F1451" s="1648"/>
      <c r="G1451" s="1625"/>
      <c r="H1451" s="1625"/>
      <c r="I1451" s="1629"/>
      <c r="J1451" s="1630"/>
      <c r="K1451" s="1631"/>
      <c r="L1451" s="1245"/>
      <c r="M1451" s="1320"/>
      <c r="N1451" s="1632" t="s">
        <v>53</v>
      </c>
      <c r="O1451" s="1737" t="s">
        <v>184</v>
      </c>
      <c r="P1451" s="1634">
        <v>1</v>
      </c>
      <c r="Q1451" s="1632">
        <v>21.6</v>
      </c>
      <c r="R1451" s="1646"/>
      <c r="S1451" s="1625"/>
      <c r="T1451" s="1634"/>
      <c r="U1451" s="1635"/>
      <c r="V1451" s="1636"/>
      <c r="W1451" s="1714"/>
      <c r="X1451" s="1650"/>
      <c r="Y1451" s="1623"/>
      <c r="Z1451" s="1651"/>
      <c r="AA1451" s="1625"/>
      <c r="AB1451" s="1667"/>
      <c r="AC1451" s="1640"/>
      <c r="AD1451" s="1635"/>
      <c r="AE1451" s="1764"/>
      <c r="AF1451" s="1085"/>
      <c r="AG1451" s="1086"/>
      <c r="AH1451" s="1087"/>
      <c r="AI1451" s="1087"/>
      <c r="AJ1451" s="1768"/>
      <c r="AK1451" s="1089"/>
      <c r="AL1451" s="1090"/>
      <c r="AM1451" s="1086"/>
      <c r="AN1451" s="1086"/>
      <c r="AO1451" s="1087"/>
      <c r="AP1451" s="1764"/>
      <c r="AQ1451" s="1087"/>
      <c r="AR1451" s="1764"/>
      <c r="AS1451" s="1764"/>
      <c r="AT1451" s="1086"/>
      <c r="AU1451" s="1768"/>
      <c r="AV1451" s="1814"/>
    </row>
    <row r="1452" spans="1:48" ht="16.5" customHeight="1">
      <c r="A1452" s="1640"/>
      <c r="B1452" s="1646"/>
      <c r="C1452" s="1623"/>
      <c r="D1452" s="1625"/>
      <c r="E1452" s="1625"/>
      <c r="F1452" s="1648"/>
      <c r="G1452" s="1625"/>
      <c r="H1452" s="1625"/>
      <c r="I1452" s="1629"/>
      <c r="J1452" s="1630"/>
      <c r="K1452" s="1631"/>
      <c r="L1452" s="1245"/>
      <c r="M1452" s="1320"/>
      <c r="N1452" s="1739"/>
      <c r="O1452" s="1647"/>
      <c r="P1452" s="1634"/>
      <c r="Q1452" s="1632"/>
      <c r="R1452" s="1646"/>
      <c r="S1452" s="1625"/>
      <c r="T1452" s="1634"/>
      <c r="U1452" s="1635"/>
      <c r="V1452" s="1636"/>
      <c r="W1452" s="1714"/>
      <c r="X1452" s="1650"/>
      <c r="Y1452" s="1623"/>
      <c r="Z1452" s="1651"/>
      <c r="AA1452" s="1625"/>
      <c r="AB1452" s="1667"/>
      <c r="AC1452" s="1640"/>
      <c r="AD1452" s="1635"/>
      <c r="AE1452" s="1764"/>
      <c r="AF1452" s="1085"/>
      <c r="AG1452" s="1086"/>
      <c r="AH1452" s="1087"/>
      <c r="AI1452" s="1087"/>
      <c r="AJ1452" s="1768"/>
      <c r="AK1452" s="1089"/>
      <c r="AL1452" s="1090"/>
      <c r="AM1452" s="1086"/>
      <c r="AN1452" s="1086"/>
      <c r="AO1452" s="1087"/>
      <c r="AP1452" s="1764"/>
      <c r="AQ1452" s="1087"/>
      <c r="AR1452" s="1764"/>
      <c r="AS1452" s="1764"/>
      <c r="AT1452" s="1086"/>
      <c r="AU1452" s="1768"/>
      <c r="AV1452" s="1814"/>
    </row>
    <row r="1453" spans="1:48" ht="33" customHeight="1">
      <c r="A1453" s="1640"/>
      <c r="B1453" s="1665"/>
      <c r="C1453" s="1666"/>
      <c r="D1453" s="1667"/>
      <c r="E1453" s="1628"/>
      <c r="F1453" s="1648"/>
      <c r="G1453" s="1625"/>
      <c r="H1453" s="1667"/>
      <c r="I1453" s="1629"/>
      <c r="J1453" s="1630"/>
      <c r="K1453" s="1631"/>
      <c r="L1453" s="1245"/>
      <c r="M1453" s="1320"/>
      <c r="N1453" s="1739"/>
      <c r="O1453" s="1740"/>
      <c r="P1453" s="1634"/>
      <c r="Q1453" s="1632"/>
      <c r="R1453" s="1646"/>
      <c r="S1453" s="1625"/>
      <c r="T1453" s="1634"/>
      <c r="U1453" s="1635"/>
      <c r="V1453" s="1636"/>
      <c r="W1453" s="1714"/>
      <c r="X1453" s="1650"/>
      <c r="Y1453" s="1623"/>
      <c r="Z1453" s="1651"/>
      <c r="AA1453" s="1625"/>
      <c r="AB1453" s="1667"/>
      <c r="AC1453" s="1640"/>
      <c r="AD1453" s="1635"/>
      <c r="AE1453" s="1764"/>
      <c r="AF1453" s="1085"/>
      <c r="AG1453" s="1086"/>
      <c r="AH1453" s="1087"/>
      <c r="AI1453" s="1087"/>
      <c r="AJ1453" s="1768"/>
      <c r="AK1453" s="1089"/>
      <c r="AL1453" s="1090"/>
      <c r="AM1453" s="1086"/>
      <c r="AN1453" s="1086"/>
      <c r="AO1453" s="1087"/>
      <c r="AP1453" s="1764"/>
      <c r="AQ1453" s="1087"/>
      <c r="AR1453" s="1764"/>
      <c r="AS1453" s="1764"/>
      <c r="AT1453" s="1086"/>
      <c r="AU1453" s="1768"/>
      <c r="AV1453" s="1814"/>
    </row>
    <row r="1454" spans="1:48" ht="16.5" customHeight="1">
      <c r="A1454" s="1640"/>
      <c r="B1454" s="1665"/>
      <c r="C1454" s="1666"/>
      <c r="D1454" s="1667"/>
      <c r="E1454" s="1628"/>
      <c r="F1454" s="1648"/>
      <c r="G1454" s="1625"/>
      <c r="H1454" s="1667"/>
      <c r="I1454" s="1629"/>
      <c r="J1454" s="1630"/>
      <c r="K1454" s="1631"/>
      <c r="L1454" s="1245"/>
      <c r="M1454" s="1320"/>
      <c r="N1454" s="1739"/>
      <c r="O1454" s="1740"/>
      <c r="P1454" s="1634"/>
      <c r="Q1454" s="1632"/>
      <c r="R1454" s="1646"/>
      <c r="S1454" s="1625"/>
      <c r="T1454" s="1634"/>
      <c r="U1454" s="1635"/>
      <c r="V1454" s="1636"/>
      <c r="W1454" s="1714"/>
      <c r="X1454" s="1650"/>
      <c r="Y1454" s="1623"/>
      <c r="Z1454" s="1651"/>
      <c r="AA1454" s="1625"/>
      <c r="AB1454" s="1667"/>
      <c r="AC1454" s="1640"/>
      <c r="AD1454" s="1635"/>
      <c r="AE1454" s="1764"/>
      <c r="AF1454" s="1085"/>
      <c r="AG1454" s="1086"/>
      <c r="AH1454" s="1087"/>
      <c r="AI1454" s="1087"/>
      <c r="AJ1454" s="1768"/>
      <c r="AK1454" s="1089"/>
      <c r="AL1454" s="1090"/>
      <c r="AM1454" s="1086"/>
      <c r="AN1454" s="1086"/>
      <c r="AO1454" s="1087"/>
      <c r="AP1454" s="1764"/>
      <c r="AQ1454" s="1087"/>
      <c r="AR1454" s="1764"/>
      <c r="AS1454" s="1764"/>
      <c r="AT1454" s="1086"/>
      <c r="AU1454" s="1768"/>
      <c r="AV1454" s="1814"/>
    </row>
    <row r="1455" spans="1:48" ht="16.5" customHeight="1">
      <c r="A1455" s="1673"/>
      <c r="B1455" s="1674"/>
      <c r="C1455" s="1675"/>
      <c r="D1455" s="1676"/>
      <c r="E1455" s="1677"/>
      <c r="F1455" s="1678"/>
      <c r="G1455" s="1676"/>
      <c r="H1455" s="1679"/>
      <c r="I1455" s="1680"/>
      <c r="J1455" s="1681"/>
      <c r="K1455" s="1682"/>
      <c r="L1455" s="1245"/>
      <c r="M1455" s="1320"/>
      <c r="N1455" s="1734"/>
      <c r="O1455" s="1735"/>
      <c r="P1455" s="1685"/>
      <c r="Q1455" s="1683"/>
      <c r="R1455" s="1686"/>
      <c r="S1455" s="1676"/>
      <c r="T1455" s="1685"/>
      <c r="U1455" s="1773"/>
      <c r="V1455" s="1718"/>
      <c r="W1455" s="1719"/>
      <c r="X1455" s="1720"/>
      <c r="Y1455" s="1721"/>
      <c r="Z1455" s="1787"/>
      <c r="AA1455" s="1676"/>
      <c r="AB1455" s="1679"/>
      <c r="AC1455" s="1673"/>
      <c r="AD1455" s="1773"/>
      <c r="AE1455" s="1774"/>
      <c r="AF1455" s="1115"/>
      <c r="AG1455" s="1116"/>
      <c r="AH1455" s="1117"/>
      <c r="AI1455" s="1117"/>
      <c r="AJ1455" s="1775"/>
      <c r="AK1455" s="1119"/>
      <c r="AL1455" s="1120"/>
      <c r="AM1455" s="1116"/>
      <c r="AN1455" s="1116"/>
      <c r="AO1455" s="1117"/>
      <c r="AP1455" s="1774"/>
      <c r="AQ1455" s="1117"/>
      <c r="AR1455" s="1774"/>
      <c r="AS1455" s="1774"/>
      <c r="AT1455" s="1116"/>
      <c r="AU1455" s="1775"/>
      <c r="AV1455" s="1820"/>
    </row>
    <row r="1456" spans="1:48" ht="16.5" customHeight="1">
      <c r="A1456" s="1709">
        <v>112</v>
      </c>
      <c r="B1456" s="1699" t="s">
        <v>25</v>
      </c>
      <c r="C1456" s="1700" t="s">
        <v>1195</v>
      </c>
      <c r="D1456" s="1702"/>
      <c r="E1456" s="1742"/>
      <c r="F1456" s="1730" t="s">
        <v>1197</v>
      </c>
      <c r="G1456" s="1702"/>
      <c r="H1456" s="1809"/>
      <c r="I1456" s="1810">
        <v>423</v>
      </c>
      <c r="J1456" s="1630" t="s">
        <v>41</v>
      </c>
      <c r="K1456" s="1722" t="s">
        <v>1196</v>
      </c>
      <c r="L1456" s="1373"/>
      <c r="M1456" s="1317"/>
      <c r="N1456" s="1632" t="s">
        <v>25</v>
      </c>
      <c r="O1456" s="1777" t="s">
        <v>26</v>
      </c>
      <c r="P1456" s="1709">
        <v>1</v>
      </c>
      <c r="Q1456" s="1707">
        <v>66.34</v>
      </c>
      <c r="R1456" s="1699" t="s">
        <v>25</v>
      </c>
      <c r="S1456" s="1702" t="s">
        <v>24</v>
      </c>
      <c r="T1456" s="1709"/>
      <c r="U1456" s="1710"/>
      <c r="V1456" s="1711"/>
      <c r="W1456" s="1712"/>
      <c r="X1456" s="1713"/>
      <c r="Y1456" s="1700"/>
      <c r="Z1456" s="1761"/>
      <c r="AA1456" s="1702"/>
      <c r="AB1456" s="1809"/>
      <c r="AC1456" s="1641"/>
      <c r="AD1456" s="1710"/>
      <c r="AE1456" s="1766"/>
      <c r="AF1456" s="1056">
        <f>+Resum!F4</f>
        <v>204000</v>
      </c>
      <c r="AG1456" s="1086">
        <f>AF1456*I1456</f>
        <v>86292000</v>
      </c>
      <c r="AH1456" s="1058">
        <v>2530000</v>
      </c>
      <c r="AI1456" s="1089">
        <f>AH1456*Q1456*0.8</f>
        <v>134272160</v>
      </c>
      <c r="AJ1456" s="1811">
        <f>SUM(AI1456:AI1460)</f>
        <v>141499160</v>
      </c>
      <c r="AK1456" s="1060"/>
      <c r="AL1456" s="1090"/>
      <c r="AM1456" s="1057">
        <f>SUM(AL1457:AL1460)</f>
        <v>1650000</v>
      </c>
      <c r="AN1456" s="1086">
        <f>AM1456+AJ1456+AG1456</f>
        <v>229441160</v>
      </c>
      <c r="AO1456" s="1058"/>
      <c r="AP1456" s="1136">
        <f>(48960000+AI1456)*15%</f>
        <v>27484824</v>
      </c>
      <c r="AQ1456" s="1087">
        <f>(AG1456+AI1456)*1%</f>
        <v>2205641.6</v>
      </c>
      <c r="AR1456" s="1136">
        <f>(AG1456+AI1456)*5%</f>
        <v>11028208</v>
      </c>
      <c r="AS1456" s="1087">
        <f>0.5%*(AG1456+AI1456)*(3)</f>
        <v>3308462.4000000004</v>
      </c>
      <c r="AT1456" s="1086">
        <f>+AS1456+AR1456+AQ1456+AP1456+AO1456</f>
        <v>44027136</v>
      </c>
      <c r="AU1456" s="1137">
        <f>ROUND(AT1456+AN1456,-3)</f>
        <v>273468000</v>
      </c>
      <c r="AV1456" s="1812"/>
    </row>
    <row r="1457" spans="1:48" ht="16.5" customHeight="1">
      <c r="A1457" s="1640"/>
      <c r="B1457" s="1646" t="s">
        <v>16</v>
      </c>
      <c r="C1457" s="1647" t="s">
        <v>1192</v>
      </c>
      <c r="D1457" s="1625"/>
      <c r="E1457" s="1743"/>
      <c r="F1457" s="1648"/>
      <c r="G1457" s="1625"/>
      <c r="H1457" s="1667"/>
      <c r="I1457" s="1629"/>
      <c r="J1457" s="1630"/>
      <c r="K1457" s="1631"/>
      <c r="L1457" s="1245"/>
      <c r="M1457" s="1320"/>
      <c r="N1457" s="1632" t="s">
        <v>16</v>
      </c>
      <c r="O1457" s="1737" t="s">
        <v>21</v>
      </c>
      <c r="P1457" s="1634">
        <v>1</v>
      </c>
      <c r="Q1457" s="1632">
        <v>12.4</v>
      </c>
      <c r="R1457" s="1646"/>
      <c r="S1457" s="1625"/>
      <c r="T1457" s="1634"/>
      <c r="U1457" s="1635"/>
      <c r="V1457" s="1636"/>
      <c r="W1457" s="1714"/>
      <c r="X1457" s="1650"/>
      <c r="Y1457" s="1623"/>
      <c r="Z1457" s="1651"/>
      <c r="AA1457" s="1625"/>
      <c r="AB1457" s="1667"/>
      <c r="AC1457" s="1640"/>
      <c r="AD1457" s="1635"/>
      <c r="AE1457" s="1764"/>
      <c r="AF1457" s="1085"/>
      <c r="AG1457" s="1086"/>
      <c r="AH1457" s="1087">
        <v>350000</v>
      </c>
      <c r="AI1457" s="1089">
        <f>AH1457*Q1457*0.8</f>
        <v>3472000</v>
      </c>
      <c r="AJ1457" s="1768"/>
      <c r="AK1457" s="1089"/>
      <c r="AL1457" s="1090"/>
      <c r="AM1457" s="1086"/>
      <c r="AN1457" s="1086"/>
      <c r="AO1457" s="1087"/>
      <c r="AP1457" s="1764"/>
      <c r="AQ1457" s="1087"/>
      <c r="AR1457" s="1764"/>
      <c r="AS1457" s="1764"/>
      <c r="AT1457" s="1086"/>
      <c r="AU1457" s="1768"/>
      <c r="AV1457" s="1814"/>
    </row>
    <row r="1458" spans="1:48" ht="16.5" customHeight="1">
      <c r="A1458" s="1640"/>
      <c r="B1458" s="1646" t="s">
        <v>18</v>
      </c>
      <c r="C1458" s="1623" t="s">
        <v>1191</v>
      </c>
      <c r="D1458" s="1625"/>
      <c r="E1458" s="1743"/>
      <c r="F1458" s="1648"/>
      <c r="G1458" s="1625"/>
      <c r="H1458" s="1667"/>
      <c r="I1458" s="1629"/>
      <c r="J1458" s="1630"/>
      <c r="K1458" s="1631"/>
      <c r="L1458" s="1245"/>
      <c r="M1458" s="1320"/>
      <c r="N1458" s="1632" t="s">
        <v>18</v>
      </c>
      <c r="O1458" s="1737" t="s">
        <v>1988</v>
      </c>
      <c r="P1458" s="1634">
        <v>1</v>
      </c>
      <c r="Q1458" s="1632">
        <v>5.04</v>
      </c>
      <c r="R1458" s="1646" t="s">
        <v>16</v>
      </c>
      <c r="S1458" s="1625" t="s">
        <v>15</v>
      </c>
      <c r="T1458" s="1634">
        <v>3</v>
      </c>
      <c r="U1458" s="1635">
        <v>1</v>
      </c>
      <c r="V1458" s="1636" t="s">
        <v>14</v>
      </c>
      <c r="W1458" s="1714">
        <v>2</v>
      </c>
      <c r="X1458" s="1650"/>
      <c r="Y1458" s="1623"/>
      <c r="Z1458" s="1651">
        <f>SUM(W1458:Y1458)</f>
        <v>2</v>
      </c>
      <c r="AA1458" s="1625"/>
      <c r="AB1458" s="1667"/>
      <c r="AC1458" s="1640"/>
      <c r="AD1458" s="1635"/>
      <c r="AE1458" s="1764"/>
      <c r="AF1458" s="1085"/>
      <c r="AG1458" s="1086"/>
      <c r="AH1458" s="1087">
        <v>250000</v>
      </c>
      <c r="AI1458" s="1089">
        <f>AH1458*Q1458*0.5</f>
        <v>630000</v>
      </c>
      <c r="AJ1458" s="1768"/>
      <c r="AK1458" s="1089">
        <v>350000</v>
      </c>
      <c r="AL1458" s="1087">
        <f t="shared" si="117"/>
        <v>700000</v>
      </c>
      <c r="AM1458" s="1086"/>
      <c r="AN1458" s="1086"/>
      <c r="AO1458" s="1087"/>
      <c r="AP1458" s="1764"/>
      <c r="AQ1458" s="1087"/>
      <c r="AR1458" s="1764"/>
      <c r="AS1458" s="1764"/>
      <c r="AT1458" s="1086"/>
      <c r="AU1458" s="1768"/>
      <c r="AV1458" s="1814"/>
    </row>
    <row r="1459" spans="1:48" ht="49.5" customHeight="1">
      <c r="A1459" s="1640"/>
      <c r="B1459" s="1658" t="s">
        <v>12</v>
      </c>
      <c r="C1459" s="1659" t="s">
        <v>1141</v>
      </c>
      <c r="D1459" s="1625"/>
      <c r="E1459" s="1743"/>
      <c r="F1459" s="1648"/>
      <c r="G1459" s="1625"/>
      <c r="H1459" s="1667"/>
      <c r="I1459" s="1629"/>
      <c r="J1459" s="1630"/>
      <c r="K1459" s="1631"/>
      <c r="L1459" s="1245"/>
      <c r="M1459" s="1320"/>
      <c r="N1459" s="1632" t="s">
        <v>12</v>
      </c>
      <c r="O1459" s="1737" t="s">
        <v>17</v>
      </c>
      <c r="P1459" s="1634">
        <v>1</v>
      </c>
      <c r="Q1459" s="1632"/>
      <c r="R1459" s="1646"/>
      <c r="S1459" s="1625"/>
      <c r="T1459" s="1634"/>
      <c r="U1459" s="1635">
        <v>2</v>
      </c>
      <c r="V1459" s="1636" t="s">
        <v>10</v>
      </c>
      <c r="W1459" s="1714">
        <v>4</v>
      </c>
      <c r="X1459" s="1650"/>
      <c r="Y1459" s="1623"/>
      <c r="Z1459" s="1651">
        <f>SUM(W1459:Y1459)</f>
        <v>4</v>
      </c>
      <c r="AA1459" s="1625"/>
      <c r="AB1459" s="1667"/>
      <c r="AC1459" s="1640"/>
      <c r="AD1459" s="1635"/>
      <c r="AE1459" s="1764"/>
      <c r="AF1459" s="1085"/>
      <c r="AG1459" s="1086"/>
      <c r="AH1459" s="1087">
        <v>2500000</v>
      </c>
      <c r="AI1459" s="1089">
        <f>AH1459*P1459*0.5</f>
        <v>1250000</v>
      </c>
      <c r="AJ1459" s="1768"/>
      <c r="AK1459" s="1089">
        <v>50000</v>
      </c>
      <c r="AL1459" s="1090">
        <f t="shared" si="117"/>
        <v>200000</v>
      </c>
      <c r="AM1459" s="1086"/>
      <c r="AN1459" s="1086"/>
      <c r="AO1459" s="1087"/>
      <c r="AP1459" s="1764"/>
      <c r="AQ1459" s="1087"/>
      <c r="AR1459" s="1764"/>
      <c r="AS1459" s="1764"/>
      <c r="AT1459" s="1086"/>
      <c r="AU1459" s="1768"/>
      <c r="AV1459" s="1814"/>
    </row>
    <row r="1460" spans="1:48" ht="16.5" customHeight="1">
      <c r="A1460" s="1673"/>
      <c r="B1460" s="1686" t="s">
        <v>8</v>
      </c>
      <c r="C1460" s="1819" t="s">
        <v>1190</v>
      </c>
      <c r="D1460" s="1676"/>
      <c r="E1460" s="1677"/>
      <c r="F1460" s="1678"/>
      <c r="G1460" s="1676"/>
      <c r="H1460" s="1679"/>
      <c r="I1460" s="1680"/>
      <c r="J1460" s="1681"/>
      <c r="K1460" s="1682"/>
      <c r="L1460" s="1270"/>
      <c r="M1460" s="1549"/>
      <c r="N1460" s="1632" t="s">
        <v>8</v>
      </c>
      <c r="O1460" s="1737" t="s">
        <v>11</v>
      </c>
      <c r="P1460" s="1634">
        <v>1</v>
      </c>
      <c r="Q1460" s="1632"/>
      <c r="R1460" s="1646"/>
      <c r="S1460" s="1625"/>
      <c r="T1460" s="1634"/>
      <c r="U1460" s="1773">
        <v>3</v>
      </c>
      <c r="V1460" s="1718" t="s">
        <v>142</v>
      </c>
      <c r="W1460" s="1714">
        <v>3</v>
      </c>
      <c r="X1460" s="1650"/>
      <c r="Y1460" s="1721"/>
      <c r="Z1460" s="1787">
        <f>SUM(W1460:Y1460)</f>
        <v>3</v>
      </c>
      <c r="AA1460" s="1676"/>
      <c r="AB1460" s="1679"/>
      <c r="AC1460" s="1673"/>
      <c r="AD1460" s="1773"/>
      <c r="AE1460" s="1774"/>
      <c r="AF1460" s="1115"/>
      <c r="AG1460" s="1116"/>
      <c r="AH1460" s="1117">
        <v>2500000</v>
      </c>
      <c r="AI1460" s="1119">
        <f>AH1460*P1460*0.75</f>
        <v>1875000</v>
      </c>
      <c r="AJ1460" s="1775"/>
      <c r="AK1460" s="1119">
        <v>250000</v>
      </c>
      <c r="AL1460" s="1120">
        <f t="shared" si="117"/>
        <v>750000</v>
      </c>
      <c r="AM1460" s="1116"/>
      <c r="AN1460" s="1116"/>
      <c r="AO1460" s="1117"/>
      <c r="AP1460" s="1774"/>
      <c r="AQ1460" s="1117"/>
      <c r="AR1460" s="1774"/>
      <c r="AS1460" s="1774"/>
      <c r="AT1460" s="1116"/>
      <c r="AU1460" s="1775"/>
      <c r="AV1460" s="1820"/>
    </row>
    <row r="1461" spans="1:48" ht="16.5" customHeight="1">
      <c r="A1461" s="1698">
        <v>113</v>
      </c>
      <c r="B1461" s="1699" t="s">
        <v>25</v>
      </c>
      <c r="C1461" s="1700" t="s">
        <v>1195</v>
      </c>
      <c r="D1461" s="1701"/>
      <c r="E1461" s="1702"/>
      <c r="F1461" s="1730" t="s">
        <v>1194</v>
      </c>
      <c r="G1461" s="1704" t="s">
        <v>25</v>
      </c>
      <c r="H1461" s="1705" t="s">
        <v>42</v>
      </c>
      <c r="I1461" s="1810">
        <v>808</v>
      </c>
      <c r="J1461" s="1630" t="s">
        <v>41</v>
      </c>
      <c r="K1461" s="1722" t="s">
        <v>1193</v>
      </c>
      <c r="L1461" s="1245"/>
      <c r="M1461" s="1320"/>
      <c r="N1461" s="1707"/>
      <c r="O1461" s="1921" t="s">
        <v>1989</v>
      </c>
      <c r="P1461" s="1709"/>
      <c r="Q1461" s="1707"/>
      <c r="R1461" s="1699" t="s">
        <v>25</v>
      </c>
      <c r="S1461" s="1702" t="s">
        <v>24</v>
      </c>
      <c r="T1461" s="1709"/>
      <c r="U1461" s="1710"/>
      <c r="V1461" s="1711"/>
      <c r="W1461" s="1712"/>
      <c r="X1461" s="1713"/>
      <c r="Y1461" s="1700"/>
      <c r="Z1461" s="1761"/>
      <c r="AA1461" s="1702"/>
      <c r="AB1461" s="1809"/>
      <c r="AC1461" s="1641"/>
      <c r="AD1461" s="1710"/>
      <c r="AE1461" s="1766"/>
      <c r="AF1461" s="1056">
        <f>+Resum!F4</f>
        <v>204000</v>
      </c>
      <c r="AG1461" s="1086">
        <f>AF1461*I1461</f>
        <v>164832000</v>
      </c>
      <c r="AH1461" s="1058"/>
      <c r="AI1461" s="1089">
        <f>AH1461*Q1461*0.5</f>
        <v>0</v>
      </c>
      <c r="AJ1461" s="1811">
        <f>SUM(AI1462:AI1465)</f>
        <v>339770200</v>
      </c>
      <c r="AK1461" s="1060"/>
      <c r="AL1461" s="1090"/>
      <c r="AM1461" s="1057">
        <f>SUM(AL1462:AL1465)</f>
        <v>2190000</v>
      </c>
      <c r="AN1461" s="1086">
        <f>AM1461+AJ1461+AG1461</f>
        <v>506792200</v>
      </c>
      <c r="AO1461" s="1058"/>
      <c r="AP1461" s="1136">
        <f>(107100000+AI1462)*15%</f>
        <v>66159000</v>
      </c>
      <c r="AQ1461" s="1087">
        <f>(AG1461+AI1462)*1%</f>
        <v>4987920</v>
      </c>
      <c r="AR1461" s="1136">
        <f>(AG1461+AI1462)*5%</f>
        <v>24939600</v>
      </c>
      <c r="AS1461" s="1087">
        <f>0.5%*(AG1461+AI1462)*(3)</f>
        <v>7481880</v>
      </c>
      <c r="AT1461" s="1086">
        <f>+AS1461+AR1461+AQ1461+AP1461+AO1461</f>
        <v>103568400</v>
      </c>
      <c r="AU1461" s="1137">
        <f>ROUND(AT1461+AN1461,-3)</f>
        <v>610361000</v>
      </c>
      <c r="AV1461" s="1812"/>
    </row>
    <row r="1462" spans="1:48" ht="16.5" customHeight="1">
      <c r="A1462" s="1640"/>
      <c r="B1462" s="1646" t="s">
        <v>16</v>
      </c>
      <c r="C1462" s="1647" t="s">
        <v>1192</v>
      </c>
      <c r="D1462" s="1625"/>
      <c r="E1462" s="1633"/>
      <c r="F1462" s="1648"/>
      <c r="G1462" s="1625" t="s">
        <v>16</v>
      </c>
      <c r="H1462" s="1625" t="s">
        <v>22</v>
      </c>
      <c r="I1462" s="1629"/>
      <c r="J1462" s="1630"/>
      <c r="K1462" s="1631"/>
      <c r="L1462" s="1245"/>
      <c r="M1462" s="1320"/>
      <c r="N1462" s="1632" t="s">
        <v>25</v>
      </c>
      <c r="O1462" s="1748" t="s">
        <v>26</v>
      </c>
      <c r="P1462" s="1634">
        <v>1</v>
      </c>
      <c r="Q1462" s="1632">
        <v>165</v>
      </c>
      <c r="R1462" s="1646"/>
      <c r="S1462" s="1625"/>
      <c r="T1462" s="1634"/>
      <c r="U1462" s="1635"/>
      <c r="V1462" s="1636"/>
      <c r="W1462" s="1714"/>
      <c r="X1462" s="1650"/>
      <c r="Y1462" s="1623"/>
      <c r="Z1462" s="1651"/>
      <c r="AA1462" s="1625"/>
      <c r="AB1462" s="1667"/>
      <c r="AC1462" s="1640"/>
      <c r="AD1462" s="1635"/>
      <c r="AE1462" s="1764"/>
      <c r="AF1462" s="1085"/>
      <c r="AG1462" s="1086"/>
      <c r="AH1462" s="1087">
        <v>2530000</v>
      </c>
      <c r="AI1462" s="1089">
        <f>AH1462*Q1462*0.8</f>
        <v>333960000</v>
      </c>
      <c r="AJ1462" s="1768"/>
      <c r="AK1462" s="1089"/>
      <c r="AL1462" s="1090"/>
      <c r="AM1462" s="1086"/>
      <c r="AN1462" s="1086"/>
      <c r="AO1462" s="1087"/>
      <c r="AP1462" s="1764"/>
      <c r="AQ1462" s="1087"/>
      <c r="AR1462" s="1764"/>
      <c r="AS1462" s="1764"/>
      <c r="AT1462" s="1086"/>
      <c r="AU1462" s="1768"/>
      <c r="AV1462" s="1814"/>
    </row>
    <row r="1463" spans="1:48" ht="16.5" customHeight="1">
      <c r="A1463" s="1640"/>
      <c r="B1463" s="1646" t="s">
        <v>18</v>
      </c>
      <c r="C1463" s="1623" t="s">
        <v>1191</v>
      </c>
      <c r="D1463" s="1625"/>
      <c r="E1463" s="1625"/>
      <c r="F1463" s="1648"/>
      <c r="G1463" s="1625" t="s">
        <v>18</v>
      </c>
      <c r="H1463" s="1625" t="s">
        <v>19</v>
      </c>
      <c r="I1463" s="1629"/>
      <c r="J1463" s="1630"/>
      <c r="K1463" s="1631"/>
      <c r="L1463" s="1245"/>
      <c r="M1463" s="1320"/>
      <c r="N1463" s="1632" t="s">
        <v>16</v>
      </c>
      <c r="O1463" s="1737" t="s">
        <v>21</v>
      </c>
      <c r="P1463" s="1634">
        <v>1</v>
      </c>
      <c r="Q1463" s="1632">
        <v>9.59</v>
      </c>
      <c r="R1463" s="1646" t="s">
        <v>16</v>
      </c>
      <c r="S1463" s="1625" t="s">
        <v>15</v>
      </c>
      <c r="T1463" s="1634">
        <v>3</v>
      </c>
      <c r="U1463" s="1635">
        <v>1</v>
      </c>
      <c r="V1463" s="1636" t="s">
        <v>14</v>
      </c>
      <c r="W1463" s="1714">
        <v>4</v>
      </c>
      <c r="X1463" s="1650"/>
      <c r="Y1463" s="1623"/>
      <c r="Z1463" s="1651">
        <f>SUM(W1463:Y1463)</f>
        <v>4</v>
      </c>
      <c r="AA1463" s="1625"/>
      <c r="AB1463" s="1667"/>
      <c r="AC1463" s="1640"/>
      <c r="AD1463" s="1635"/>
      <c r="AE1463" s="1764"/>
      <c r="AF1463" s="1085"/>
      <c r="AG1463" s="1086"/>
      <c r="AH1463" s="1087">
        <v>350000</v>
      </c>
      <c r="AI1463" s="1089">
        <f>AH1463*Q1463*0.8</f>
        <v>2685200</v>
      </c>
      <c r="AJ1463" s="1768"/>
      <c r="AK1463" s="1089">
        <v>350000</v>
      </c>
      <c r="AL1463" s="1087">
        <f t="shared" si="117"/>
        <v>1400000</v>
      </c>
      <c r="AM1463" s="1086"/>
      <c r="AN1463" s="1086"/>
      <c r="AO1463" s="1087"/>
      <c r="AP1463" s="1764"/>
      <c r="AQ1463" s="1087"/>
      <c r="AR1463" s="1764"/>
      <c r="AS1463" s="1764"/>
      <c r="AT1463" s="1086"/>
      <c r="AU1463" s="1768"/>
      <c r="AV1463" s="1814"/>
    </row>
    <row r="1464" spans="1:48" ht="49.5" customHeight="1">
      <c r="A1464" s="1640"/>
      <c r="B1464" s="1658" t="s">
        <v>12</v>
      </c>
      <c r="C1464" s="1659" t="s">
        <v>1141</v>
      </c>
      <c r="D1464" s="1625"/>
      <c r="E1464" s="1628"/>
      <c r="F1464" s="1648"/>
      <c r="G1464" s="1625"/>
      <c r="H1464" s="1667"/>
      <c r="I1464" s="1629"/>
      <c r="J1464" s="1630"/>
      <c r="K1464" s="1631"/>
      <c r="L1464" s="1245"/>
      <c r="M1464" s="1320"/>
      <c r="N1464" s="1632" t="s">
        <v>18</v>
      </c>
      <c r="O1464" s="1737" t="s">
        <v>17</v>
      </c>
      <c r="P1464" s="1634">
        <v>1</v>
      </c>
      <c r="Q1464" s="1632"/>
      <c r="R1464" s="1646"/>
      <c r="S1464" s="1625"/>
      <c r="T1464" s="1634"/>
      <c r="U1464" s="1635">
        <v>2</v>
      </c>
      <c r="V1464" s="1636" t="s">
        <v>36</v>
      </c>
      <c r="W1464" s="1714">
        <v>3</v>
      </c>
      <c r="X1464" s="1650"/>
      <c r="Y1464" s="1623"/>
      <c r="Z1464" s="1651">
        <f>SUM(W1464:Y1464)</f>
        <v>3</v>
      </c>
      <c r="AA1464" s="1625"/>
      <c r="AB1464" s="1667"/>
      <c r="AC1464" s="1640"/>
      <c r="AD1464" s="1635"/>
      <c r="AE1464" s="1764"/>
      <c r="AF1464" s="1085"/>
      <c r="AG1464" s="1086"/>
      <c r="AH1464" s="1087">
        <v>2500000</v>
      </c>
      <c r="AI1464" s="1089">
        <f>AH1464*P1464*0.5</f>
        <v>1250000</v>
      </c>
      <c r="AJ1464" s="1768"/>
      <c r="AK1464" s="1089">
        <v>150000</v>
      </c>
      <c r="AL1464" s="1090">
        <f t="shared" si="117"/>
        <v>450000</v>
      </c>
      <c r="AM1464" s="1086"/>
      <c r="AN1464" s="1086"/>
      <c r="AO1464" s="1087"/>
      <c r="AP1464" s="1764"/>
      <c r="AQ1464" s="1087"/>
      <c r="AR1464" s="1764"/>
      <c r="AS1464" s="1764"/>
      <c r="AT1464" s="1086"/>
      <c r="AU1464" s="1768"/>
      <c r="AV1464" s="1814"/>
    </row>
    <row r="1465" spans="1:48" ht="16.5" customHeight="1">
      <c r="A1465" s="1673"/>
      <c r="B1465" s="1686" t="s">
        <v>8</v>
      </c>
      <c r="C1465" s="1819" t="s">
        <v>1190</v>
      </c>
      <c r="D1465" s="1676"/>
      <c r="E1465" s="1677"/>
      <c r="F1465" s="1678"/>
      <c r="G1465" s="1676"/>
      <c r="H1465" s="1679"/>
      <c r="I1465" s="1680"/>
      <c r="J1465" s="1681"/>
      <c r="K1465" s="1682"/>
      <c r="L1465" s="1245"/>
      <c r="M1465" s="1320"/>
      <c r="N1465" s="1632" t="s">
        <v>12</v>
      </c>
      <c r="O1465" s="1737" t="s">
        <v>11</v>
      </c>
      <c r="P1465" s="1685">
        <v>1</v>
      </c>
      <c r="Q1465" s="1683"/>
      <c r="R1465" s="1686"/>
      <c r="S1465" s="1676"/>
      <c r="T1465" s="1685"/>
      <c r="U1465" s="1773">
        <v>3</v>
      </c>
      <c r="V1465" s="1718" t="s">
        <v>3</v>
      </c>
      <c r="W1465" s="1719">
        <v>4</v>
      </c>
      <c r="X1465" s="1720"/>
      <c r="Y1465" s="1721"/>
      <c r="Z1465" s="1787">
        <f>SUM(W1465:Y1465)</f>
        <v>4</v>
      </c>
      <c r="AA1465" s="1676"/>
      <c r="AB1465" s="1679"/>
      <c r="AC1465" s="1673"/>
      <c r="AD1465" s="1773"/>
      <c r="AE1465" s="1774"/>
      <c r="AF1465" s="1115"/>
      <c r="AG1465" s="1116"/>
      <c r="AH1465" s="1117">
        <v>2500000</v>
      </c>
      <c r="AI1465" s="1089">
        <f>AH1465*P1465*0.75</f>
        <v>1875000</v>
      </c>
      <c r="AJ1465" s="1775"/>
      <c r="AK1465" s="1089">
        <v>85000</v>
      </c>
      <c r="AL1465" s="1120">
        <f t="shared" ref="AL1465:AL1537" si="121">AK1465*W1465</f>
        <v>340000</v>
      </c>
      <c r="AM1465" s="1116"/>
      <c r="AN1465" s="1116"/>
      <c r="AO1465" s="1117"/>
      <c r="AP1465" s="1774"/>
      <c r="AQ1465" s="1117"/>
      <c r="AR1465" s="1774"/>
      <c r="AS1465" s="1774"/>
      <c r="AT1465" s="1116"/>
      <c r="AU1465" s="1775"/>
      <c r="AV1465" s="1820"/>
    </row>
    <row r="1466" spans="1:48" ht="16.5" customHeight="1">
      <c r="A1466" s="1698">
        <v>114</v>
      </c>
      <c r="B1466" s="1699" t="s">
        <v>25</v>
      </c>
      <c r="C1466" s="1700" t="s">
        <v>1189</v>
      </c>
      <c r="D1466" s="1702"/>
      <c r="E1466" s="1742"/>
      <c r="F1466" s="1730" t="s">
        <v>1188</v>
      </c>
      <c r="G1466" s="1704" t="s">
        <v>25</v>
      </c>
      <c r="H1466" s="1705" t="s">
        <v>42</v>
      </c>
      <c r="I1466" s="1810">
        <v>296</v>
      </c>
      <c r="J1466" s="1783" t="s">
        <v>41</v>
      </c>
      <c r="K1466" s="1722" t="s">
        <v>1187</v>
      </c>
      <c r="L1466" s="1373"/>
      <c r="M1466" s="1317"/>
      <c r="N1466" s="1707"/>
      <c r="O1466" s="1921" t="s">
        <v>1990</v>
      </c>
      <c r="P1466" s="1709"/>
      <c r="Q1466" s="1707"/>
      <c r="R1466" s="1699" t="s">
        <v>25</v>
      </c>
      <c r="S1466" s="1702" t="s">
        <v>24</v>
      </c>
      <c r="T1466" s="1709"/>
      <c r="U1466" s="1710"/>
      <c r="V1466" s="1711"/>
      <c r="W1466" s="1712"/>
      <c r="X1466" s="1713"/>
      <c r="Y1466" s="1700"/>
      <c r="Z1466" s="1761"/>
      <c r="AA1466" s="1702"/>
      <c r="AB1466" s="1809"/>
      <c r="AC1466" s="1641"/>
      <c r="AD1466" s="1710"/>
      <c r="AE1466" s="1766"/>
      <c r="AF1466" s="1056">
        <f>Resum!F1</f>
        <v>356000</v>
      </c>
      <c r="AG1466" s="1057">
        <f>AF1466*I1466</f>
        <v>105376000</v>
      </c>
      <c r="AH1466" s="1058"/>
      <c r="AI1466" s="1058"/>
      <c r="AJ1466" s="1811">
        <f>SUM(AI1466:AI1479)</f>
        <v>295065000</v>
      </c>
      <c r="AK1466" s="1060"/>
      <c r="AL1466" s="1061"/>
      <c r="AM1466" s="1057">
        <f>SUM(AL1467:AL1480)</f>
        <v>1050000</v>
      </c>
      <c r="AN1466" s="1057">
        <f>AM1466+AJ1466+AG1466</f>
        <v>401491000</v>
      </c>
      <c r="AO1466" s="1058"/>
      <c r="AP1466" s="1548">
        <f>(AG1466+AI1467)*15%</f>
        <v>49202400</v>
      </c>
      <c r="AQ1466" s="1058">
        <f>(AG1466+AI1467)*1%</f>
        <v>3280160</v>
      </c>
      <c r="AR1466" s="1548">
        <f>(AG1466+AI1467)*5%</f>
        <v>16400800</v>
      </c>
      <c r="AS1466" s="1058">
        <f>0.5%*(AG1466+AI1467)*(3)</f>
        <v>4920240</v>
      </c>
      <c r="AT1466" s="1057">
        <f>+AS1466+AR1466+AQ1466+AP1466+AO1466</f>
        <v>73803600</v>
      </c>
      <c r="AU1466" s="2015">
        <f>ROUND(AT1466+AN1466,-3)</f>
        <v>475295000</v>
      </c>
      <c r="AV1466" s="1812"/>
    </row>
    <row r="1467" spans="1:48" ht="16.5" customHeight="1">
      <c r="A1467" s="1640"/>
      <c r="B1467" s="1646" t="s">
        <v>16</v>
      </c>
      <c r="C1467" s="1647" t="s">
        <v>1186</v>
      </c>
      <c r="D1467" s="1625"/>
      <c r="E1467" s="1743"/>
      <c r="F1467" s="1648"/>
      <c r="G1467" s="1625" t="s">
        <v>16</v>
      </c>
      <c r="H1467" s="1625" t="s">
        <v>22</v>
      </c>
      <c r="I1467" s="1629"/>
      <c r="J1467" s="1630"/>
      <c r="K1467" s="1631"/>
      <c r="L1467" s="1245"/>
      <c r="M1467" s="1320"/>
      <c r="N1467" s="1632" t="s">
        <v>25</v>
      </c>
      <c r="O1467" s="1748" t="s">
        <v>26</v>
      </c>
      <c r="P1467" s="1634"/>
      <c r="Q1467" s="1632">
        <v>110</v>
      </c>
      <c r="R1467" s="1646"/>
      <c r="S1467" s="1625"/>
      <c r="T1467" s="1634"/>
      <c r="U1467" s="1635"/>
      <c r="V1467" s="1636"/>
      <c r="W1467" s="1714"/>
      <c r="X1467" s="1650"/>
      <c r="Y1467" s="1623"/>
      <c r="Z1467" s="1651"/>
      <c r="AA1467" s="1625"/>
      <c r="AB1467" s="1667"/>
      <c r="AC1467" s="1640"/>
      <c r="AD1467" s="1635"/>
      <c r="AE1467" s="1764"/>
      <c r="AF1467" s="1085"/>
      <c r="AG1467" s="1086"/>
      <c r="AH1467" s="1087">
        <v>2530000</v>
      </c>
      <c r="AI1467" s="1089">
        <f>AH1467*Q1467*0.8</f>
        <v>222640000</v>
      </c>
      <c r="AJ1467" s="1768"/>
      <c r="AK1467" s="1089"/>
      <c r="AL1467" s="1090"/>
      <c r="AM1467" s="1086"/>
      <c r="AN1467" s="1086"/>
      <c r="AO1467" s="1087"/>
      <c r="AP1467" s="1764"/>
      <c r="AQ1467" s="1087"/>
      <c r="AR1467" s="1764"/>
      <c r="AS1467" s="1764"/>
      <c r="AT1467" s="1086"/>
      <c r="AU1467" s="1768"/>
      <c r="AV1467" s="1814"/>
    </row>
    <row r="1468" spans="1:48" ht="16.5" customHeight="1">
      <c r="A1468" s="1640"/>
      <c r="B1468" s="1646" t="s">
        <v>18</v>
      </c>
      <c r="C1468" s="1623" t="s">
        <v>124</v>
      </c>
      <c r="D1468" s="1625"/>
      <c r="E1468" s="1743"/>
      <c r="F1468" s="1648"/>
      <c r="G1468" s="1625" t="s">
        <v>18</v>
      </c>
      <c r="H1468" s="1625" t="s">
        <v>19</v>
      </c>
      <c r="I1468" s="1629"/>
      <c r="J1468" s="1630"/>
      <c r="K1468" s="1631"/>
      <c r="L1468" s="1245"/>
      <c r="M1468" s="1320"/>
      <c r="N1468" s="1632" t="s">
        <v>16</v>
      </c>
      <c r="O1468" s="1737" t="s">
        <v>21</v>
      </c>
      <c r="P1468" s="1634"/>
      <c r="Q1468" s="1632">
        <v>21</v>
      </c>
      <c r="R1468" s="1646" t="s">
        <v>16</v>
      </c>
      <c r="S1468" s="1625" t="s">
        <v>15</v>
      </c>
      <c r="T1468" s="1634">
        <v>1</v>
      </c>
      <c r="U1468" s="1635">
        <v>1</v>
      </c>
      <c r="V1468" s="1636" t="s">
        <v>14</v>
      </c>
      <c r="W1468" s="1714">
        <v>3</v>
      </c>
      <c r="X1468" s="1650"/>
      <c r="Y1468" s="1623"/>
      <c r="Z1468" s="1651">
        <f>SUM(W1468:Y1468)</f>
        <v>3</v>
      </c>
      <c r="AA1468" s="1625"/>
      <c r="AB1468" s="1667"/>
      <c r="AC1468" s="1640"/>
      <c r="AD1468" s="1635"/>
      <c r="AE1468" s="1764"/>
      <c r="AF1468" s="1085"/>
      <c r="AG1468" s="1086"/>
      <c r="AH1468" s="1087">
        <v>350000</v>
      </c>
      <c r="AI1468" s="1089">
        <f>AH1468*Q1468*0.75</f>
        <v>5512500</v>
      </c>
      <c r="AJ1468" s="1768"/>
      <c r="AK1468" s="1089">
        <v>350000</v>
      </c>
      <c r="AL1468" s="1087">
        <f t="shared" si="121"/>
        <v>1050000</v>
      </c>
      <c r="AM1468" s="1086"/>
      <c r="AN1468" s="1086"/>
      <c r="AO1468" s="1087"/>
      <c r="AP1468" s="1764"/>
      <c r="AQ1468" s="1087"/>
      <c r="AR1468" s="1764"/>
      <c r="AS1468" s="1764"/>
      <c r="AT1468" s="1086"/>
      <c r="AU1468" s="1768"/>
      <c r="AV1468" s="1814"/>
    </row>
    <row r="1469" spans="1:48" ht="49.5" customHeight="1">
      <c r="A1469" s="1640"/>
      <c r="B1469" s="1658" t="s">
        <v>12</v>
      </c>
      <c r="C1469" s="1659" t="s">
        <v>1185</v>
      </c>
      <c r="D1469" s="1625"/>
      <c r="E1469" s="1743"/>
      <c r="F1469" s="1648"/>
      <c r="G1469" s="1625"/>
      <c r="H1469" s="1667"/>
      <c r="I1469" s="1629"/>
      <c r="J1469" s="1630"/>
      <c r="K1469" s="1631"/>
      <c r="L1469" s="1245"/>
      <c r="M1469" s="1320"/>
      <c r="N1469" s="1632" t="s">
        <v>18</v>
      </c>
      <c r="O1469" s="1737" t="s">
        <v>17</v>
      </c>
      <c r="P1469" s="1634">
        <v>1</v>
      </c>
      <c r="Q1469" s="1632"/>
      <c r="R1469" s="1646"/>
      <c r="S1469" s="1625"/>
      <c r="T1469" s="1634"/>
      <c r="U1469" s="1635"/>
      <c r="V1469" s="1636"/>
      <c r="W1469" s="1714"/>
      <c r="X1469" s="1650"/>
      <c r="Y1469" s="1623"/>
      <c r="Z1469" s="1651"/>
      <c r="AA1469" s="1625"/>
      <c r="AB1469" s="1667"/>
      <c r="AC1469" s="1640"/>
      <c r="AD1469" s="1635"/>
      <c r="AE1469" s="1764"/>
      <c r="AF1469" s="1085"/>
      <c r="AG1469" s="1086"/>
      <c r="AH1469" s="1087">
        <v>2500000</v>
      </c>
      <c r="AI1469" s="1089">
        <f>AH1469*P1469*0.5</f>
        <v>1250000</v>
      </c>
      <c r="AJ1469" s="1768"/>
      <c r="AK1469" s="1089"/>
      <c r="AL1469" s="1090"/>
      <c r="AM1469" s="1086"/>
      <c r="AN1469" s="1086"/>
      <c r="AO1469" s="1087"/>
      <c r="AP1469" s="1764"/>
      <c r="AQ1469" s="1087"/>
      <c r="AR1469" s="1764"/>
      <c r="AS1469" s="1764"/>
      <c r="AT1469" s="1086"/>
      <c r="AU1469" s="1768"/>
      <c r="AV1469" s="1814"/>
    </row>
    <row r="1470" spans="1:48">
      <c r="A1470" s="1640"/>
      <c r="B1470" s="1658" t="s">
        <v>8</v>
      </c>
      <c r="C1470" s="1659" t="s">
        <v>1993</v>
      </c>
      <c r="D1470" s="1625"/>
      <c r="E1470" s="1743"/>
      <c r="F1470" s="1648"/>
      <c r="G1470" s="1625"/>
      <c r="H1470" s="1667"/>
      <c r="I1470" s="1629"/>
      <c r="J1470" s="1630"/>
      <c r="K1470" s="1631"/>
      <c r="L1470" s="1245"/>
      <c r="M1470" s="1320"/>
      <c r="N1470" s="1632" t="s">
        <v>12</v>
      </c>
      <c r="O1470" s="1737" t="s">
        <v>11</v>
      </c>
      <c r="P1470" s="1634">
        <v>1</v>
      </c>
      <c r="Q1470" s="1632"/>
      <c r="R1470" s="1646"/>
      <c r="S1470" s="1625"/>
      <c r="T1470" s="1634"/>
      <c r="U1470" s="1635"/>
      <c r="V1470" s="1636"/>
      <c r="W1470" s="1714"/>
      <c r="X1470" s="1650"/>
      <c r="Y1470" s="1623"/>
      <c r="Z1470" s="1651"/>
      <c r="AA1470" s="1625"/>
      <c r="AB1470" s="1667"/>
      <c r="AC1470" s="1640"/>
      <c r="AD1470" s="1635"/>
      <c r="AE1470" s="1764"/>
      <c r="AF1470" s="1085"/>
      <c r="AG1470" s="1086"/>
      <c r="AH1470" s="1087">
        <v>2500000</v>
      </c>
      <c r="AI1470" s="1089">
        <f>AH1470*P1470*0.75</f>
        <v>1875000</v>
      </c>
      <c r="AJ1470" s="1768"/>
      <c r="AK1470" s="1089"/>
      <c r="AL1470" s="1090"/>
      <c r="AM1470" s="1086"/>
      <c r="AN1470" s="1086"/>
      <c r="AO1470" s="1087"/>
      <c r="AP1470" s="1764"/>
      <c r="AQ1470" s="1087"/>
      <c r="AR1470" s="1764"/>
      <c r="AS1470" s="1764"/>
      <c r="AT1470" s="1086"/>
      <c r="AU1470" s="1768"/>
      <c r="AV1470" s="1814"/>
    </row>
    <row r="1471" spans="1:48">
      <c r="A1471" s="1640"/>
      <c r="B1471" s="1658"/>
      <c r="C1471" s="1659"/>
      <c r="D1471" s="1625"/>
      <c r="E1471" s="1743"/>
      <c r="F1471" s="1648"/>
      <c r="G1471" s="1625"/>
      <c r="H1471" s="1667"/>
      <c r="I1471" s="1629"/>
      <c r="J1471" s="1630"/>
      <c r="K1471" s="1631"/>
      <c r="L1471" s="1245"/>
      <c r="M1471" s="1320"/>
      <c r="N1471" s="1632" t="s">
        <v>8</v>
      </c>
      <c r="O1471" s="1737" t="s">
        <v>1991</v>
      </c>
      <c r="P1471" s="1634"/>
      <c r="Q1471" s="1632">
        <v>78</v>
      </c>
      <c r="R1471" s="1646"/>
      <c r="S1471" s="1625"/>
      <c r="T1471" s="1634"/>
      <c r="U1471" s="1635"/>
      <c r="V1471" s="1636"/>
      <c r="W1471" s="1714"/>
      <c r="X1471" s="1650"/>
      <c r="Y1471" s="1623"/>
      <c r="Z1471" s="1651"/>
      <c r="AA1471" s="1625"/>
      <c r="AB1471" s="1667"/>
      <c r="AC1471" s="1640"/>
      <c r="AD1471" s="1635"/>
      <c r="AE1471" s="1764"/>
      <c r="AF1471" s="1085"/>
      <c r="AG1471" s="1086"/>
      <c r="AH1471" s="1087">
        <v>300000</v>
      </c>
      <c r="AI1471" s="1089">
        <f>AH1471*Q1471*0.5</f>
        <v>11700000</v>
      </c>
      <c r="AJ1471" s="1768"/>
      <c r="AK1471" s="1089"/>
      <c r="AL1471" s="1090"/>
      <c r="AM1471" s="1086"/>
      <c r="AN1471" s="1086"/>
      <c r="AO1471" s="1087"/>
      <c r="AP1471" s="1764"/>
      <c r="AQ1471" s="1087"/>
      <c r="AR1471" s="1764"/>
      <c r="AS1471" s="1764"/>
      <c r="AT1471" s="1086"/>
      <c r="AU1471" s="1768"/>
      <c r="AV1471" s="1814"/>
    </row>
    <row r="1472" spans="1:48">
      <c r="A1472" s="1640"/>
      <c r="B1472" s="1658"/>
      <c r="C1472" s="1659"/>
      <c r="D1472" s="1625"/>
      <c r="E1472" s="1743"/>
      <c r="F1472" s="1648"/>
      <c r="G1472" s="1625"/>
      <c r="H1472" s="1667"/>
      <c r="I1472" s="1629"/>
      <c r="J1472" s="1630"/>
      <c r="K1472" s="1631"/>
      <c r="L1472" s="1245"/>
      <c r="M1472" s="1320"/>
      <c r="N1472" s="1632"/>
      <c r="O1472" s="1737"/>
      <c r="P1472" s="1634"/>
      <c r="Q1472" s="1632"/>
      <c r="R1472" s="1646"/>
      <c r="S1472" s="1625"/>
      <c r="T1472" s="1634"/>
      <c r="U1472" s="1635"/>
      <c r="V1472" s="1636"/>
      <c r="W1472" s="1714"/>
      <c r="X1472" s="1650"/>
      <c r="Y1472" s="1623"/>
      <c r="Z1472" s="1651"/>
      <c r="AA1472" s="1625"/>
      <c r="AB1472" s="1667"/>
      <c r="AC1472" s="1640"/>
      <c r="AD1472" s="1635"/>
      <c r="AE1472" s="1764"/>
      <c r="AF1472" s="1085"/>
      <c r="AG1472" s="1086"/>
      <c r="AH1472" s="1087"/>
      <c r="AI1472" s="1089">
        <f t="shared" ref="AI1472" si="122">AH1472*Q1472*0.8</f>
        <v>0</v>
      </c>
      <c r="AJ1472" s="1768"/>
      <c r="AK1472" s="1089"/>
      <c r="AL1472" s="1090"/>
      <c r="AM1472" s="1086"/>
      <c r="AN1472" s="1086"/>
      <c r="AO1472" s="1087"/>
      <c r="AP1472" s="1764"/>
      <c r="AQ1472" s="1087"/>
      <c r="AR1472" s="1764"/>
      <c r="AS1472" s="1764"/>
      <c r="AT1472" s="1086"/>
      <c r="AU1472" s="1768"/>
      <c r="AV1472" s="1814"/>
    </row>
    <row r="1473" spans="1:48">
      <c r="A1473" s="1640"/>
      <c r="B1473" s="1658"/>
      <c r="C1473" s="1659"/>
      <c r="D1473" s="1625"/>
      <c r="E1473" s="1743"/>
      <c r="F1473" s="1648"/>
      <c r="G1473" s="1625"/>
      <c r="H1473" s="1667"/>
      <c r="I1473" s="1629"/>
      <c r="J1473" s="1630"/>
      <c r="K1473" s="1631"/>
      <c r="L1473" s="1245"/>
      <c r="M1473" s="1320"/>
      <c r="N1473" s="1632"/>
      <c r="O1473" s="1737" t="s">
        <v>1992</v>
      </c>
      <c r="P1473" s="1634"/>
      <c r="Q1473" s="1632"/>
      <c r="R1473" s="1646"/>
      <c r="S1473" s="1625"/>
      <c r="T1473" s="1634"/>
      <c r="U1473" s="1635"/>
      <c r="V1473" s="1636"/>
      <c r="W1473" s="1714"/>
      <c r="X1473" s="1650"/>
      <c r="Y1473" s="1623"/>
      <c r="Z1473" s="1651"/>
      <c r="AA1473" s="1625"/>
      <c r="AB1473" s="1667"/>
      <c r="AC1473" s="1640"/>
      <c r="AD1473" s="1635"/>
      <c r="AE1473" s="1764"/>
      <c r="AF1473" s="1085"/>
      <c r="AG1473" s="1086"/>
      <c r="AH1473" s="1087"/>
      <c r="AI1473" s="1089">
        <f>AH1473*Q1473*0.8</f>
        <v>0</v>
      </c>
      <c r="AJ1473" s="1768"/>
      <c r="AK1473" s="1089"/>
      <c r="AL1473" s="1090"/>
      <c r="AM1473" s="1086"/>
      <c r="AN1473" s="1086"/>
      <c r="AO1473" s="1087"/>
      <c r="AP1473" s="1764"/>
      <c r="AQ1473" s="1087"/>
      <c r="AR1473" s="1764"/>
      <c r="AS1473" s="1764"/>
      <c r="AT1473" s="1086"/>
      <c r="AU1473" s="1768"/>
      <c r="AV1473" s="1814"/>
    </row>
    <row r="1474" spans="1:48">
      <c r="A1474" s="1640"/>
      <c r="B1474" s="1658"/>
      <c r="C1474" s="1659"/>
      <c r="D1474" s="1625"/>
      <c r="E1474" s="1743"/>
      <c r="F1474" s="1648"/>
      <c r="G1474" s="1625"/>
      <c r="H1474" s="1667"/>
      <c r="I1474" s="1629"/>
      <c r="J1474" s="1630"/>
      <c r="K1474" s="1631"/>
      <c r="L1474" s="1245"/>
      <c r="M1474" s="1320"/>
      <c r="N1474" s="1632" t="s">
        <v>25</v>
      </c>
      <c r="O1474" s="1748" t="s">
        <v>26</v>
      </c>
      <c r="P1474" s="1634"/>
      <c r="Q1474" s="1632">
        <v>117.5</v>
      </c>
      <c r="R1474" s="1646"/>
      <c r="S1474" s="1625"/>
      <c r="T1474" s="1634"/>
      <c r="U1474" s="1635"/>
      <c r="V1474" s="1636"/>
      <c r="W1474" s="1714"/>
      <c r="X1474" s="1650"/>
      <c r="Y1474" s="1623"/>
      <c r="Z1474" s="1651"/>
      <c r="AA1474" s="1625"/>
      <c r="AB1474" s="1667"/>
      <c r="AC1474" s="1640"/>
      <c r="AD1474" s="1635"/>
      <c r="AE1474" s="1764"/>
      <c r="AF1474" s="1085"/>
      <c r="AG1474" s="1086"/>
      <c r="AH1474" s="1087">
        <v>610000</v>
      </c>
      <c r="AI1474" s="1089">
        <f>AH1474*Q1474*0.5</f>
        <v>35837500</v>
      </c>
      <c r="AJ1474" s="1768"/>
      <c r="AK1474" s="1089"/>
      <c r="AL1474" s="1090"/>
      <c r="AM1474" s="1086"/>
      <c r="AN1474" s="1086"/>
      <c r="AO1474" s="1087"/>
      <c r="AP1474" s="1764"/>
      <c r="AQ1474" s="1087"/>
      <c r="AR1474" s="1764"/>
      <c r="AS1474" s="1764"/>
      <c r="AT1474" s="1086"/>
      <c r="AU1474" s="1768"/>
      <c r="AV1474" s="1814"/>
    </row>
    <row r="1475" spans="1:48">
      <c r="A1475" s="1640"/>
      <c r="B1475" s="1658"/>
      <c r="C1475" s="1659"/>
      <c r="D1475" s="1625"/>
      <c r="E1475" s="1743"/>
      <c r="F1475" s="1648"/>
      <c r="G1475" s="1625"/>
      <c r="H1475" s="1667"/>
      <c r="I1475" s="1629"/>
      <c r="J1475" s="1630"/>
      <c r="K1475" s="1631"/>
      <c r="L1475" s="1245"/>
      <c r="M1475" s="1320"/>
      <c r="N1475" s="1632" t="s">
        <v>16</v>
      </c>
      <c r="O1475" s="1737" t="s">
        <v>21</v>
      </c>
      <c r="P1475" s="1634"/>
      <c r="Q1475" s="1632">
        <v>34.5</v>
      </c>
      <c r="R1475" s="1646"/>
      <c r="S1475" s="1625"/>
      <c r="T1475" s="1634"/>
      <c r="U1475" s="1635"/>
      <c r="V1475" s="1636"/>
      <c r="W1475" s="1714"/>
      <c r="X1475" s="1650"/>
      <c r="Y1475" s="1623"/>
      <c r="Z1475" s="1651"/>
      <c r="AA1475" s="1625"/>
      <c r="AB1475" s="1667"/>
      <c r="AC1475" s="1640"/>
      <c r="AD1475" s="1635"/>
      <c r="AE1475" s="1764"/>
      <c r="AF1475" s="1085"/>
      <c r="AG1475" s="1086"/>
      <c r="AH1475" s="1087">
        <v>100000</v>
      </c>
      <c r="AI1475" s="1089">
        <f>AH1475*Q1475*0.5</f>
        <v>1725000</v>
      </c>
      <c r="AJ1475" s="1768"/>
      <c r="AK1475" s="1089"/>
      <c r="AL1475" s="1090"/>
      <c r="AM1475" s="1086"/>
      <c r="AN1475" s="1086"/>
      <c r="AO1475" s="1087"/>
      <c r="AP1475" s="1764"/>
      <c r="AQ1475" s="1087"/>
      <c r="AR1475" s="1764"/>
      <c r="AS1475" s="1764"/>
      <c r="AT1475" s="1086"/>
      <c r="AU1475" s="1768"/>
      <c r="AV1475" s="1814"/>
    </row>
    <row r="1476" spans="1:48">
      <c r="A1476" s="1640"/>
      <c r="B1476" s="1658"/>
      <c r="C1476" s="1659"/>
      <c r="D1476" s="1625"/>
      <c r="E1476" s="1743"/>
      <c r="F1476" s="1648"/>
      <c r="G1476" s="1625"/>
      <c r="H1476" s="1667"/>
      <c r="I1476" s="1629"/>
      <c r="J1476" s="1630"/>
      <c r="K1476" s="1631"/>
      <c r="L1476" s="1245"/>
      <c r="M1476" s="1320"/>
      <c r="N1476" s="1632" t="s">
        <v>18</v>
      </c>
      <c r="O1476" s="1737" t="s">
        <v>17</v>
      </c>
      <c r="P1476" s="1634">
        <v>1</v>
      </c>
      <c r="Q1476" s="1632"/>
      <c r="R1476" s="1646"/>
      <c r="S1476" s="1625"/>
      <c r="T1476" s="1634"/>
      <c r="U1476" s="1635"/>
      <c r="V1476" s="1636"/>
      <c r="W1476" s="1714"/>
      <c r="X1476" s="1650"/>
      <c r="Y1476" s="1623"/>
      <c r="Z1476" s="1651"/>
      <c r="AA1476" s="1625"/>
      <c r="AB1476" s="1667"/>
      <c r="AC1476" s="1640"/>
      <c r="AD1476" s="1635"/>
      <c r="AE1476" s="1764"/>
      <c r="AF1476" s="1085"/>
      <c r="AG1476" s="1086"/>
      <c r="AH1476" s="1087">
        <v>2500000</v>
      </c>
      <c r="AI1476" s="1089">
        <f>AH1476*P1476*0.5</f>
        <v>1250000</v>
      </c>
      <c r="AJ1476" s="1768"/>
      <c r="AK1476" s="1089"/>
      <c r="AL1476" s="1090"/>
      <c r="AM1476" s="1086"/>
      <c r="AN1476" s="1086"/>
      <c r="AO1476" s="1087"/>
      <c r="AP1476" s="1764"/>
      <c r="AQ1476" s="1087"/>
      <c r="AR1476" s="1764"/>
      <c r="AS1476" s="1764"/>
      <c r="AT1476" s="1086"/>
      <c r="AU1476" s="1768"/>
      <c r="AV1476" s="1814"/>
    </row>
    <row r="1477" spans="1:48">
      <c r="A1477" s="1640"/>
      <c r="B1477" s="1658"/>
      <c r="C1477" s="1659"/>
      <c r="D1477" s="1625"/>
      <c r="E1477" s="1743"/>
      <c r="F1477" s="1648"/>
      <c r="G1477" s="1625"/>
      <c r="H1477" s="1667"/>
      <c r="I1477" s="1629"/>
      <c r="J1477" s="1630"/>
      <c r="K1477" s="1631"/>
      <c r="L1477" s="1245"/>
      <c r="M1477" s="1320"/>
      <c r="N1477" s="1632" t="s">
        <v>12</v>
      </c>
      <c r="O1477" s="1737" t="s">
        <v>11</v>
      </c>
      <c r="P1477" s="1634">
        <v>1</v>
      </c>
      <c r="Q1477" s="1632"/>
      <c r="R1477" s="1646"/>
      <c r="S1477" s="1625"/>
      <c r="T1477" s="1634"/>
      <c r="U1477" s="1635"/>
      <c r="V1477" s="1636"/>
      <c r="W1477" s="1714"/>
      <c r="X1477" s="1650"/>
      <c r="Y1477" s="1623"/>
      <c r="Z1477" s="1651"/>
      <c r="AA1477" s="1625"/>
      <c r="AB1477" s="1667"/>
      <c r="AC1477" s="1640"/>
      <c r="AD1477" s="1635"/>
      <c r="AE1477" s="1764"/>
      <c r="AF1477" s="1085"/>
      <c r="AG1477" s="1086"/>
      <c r="AH1477" s="1087">
        <v>2500000</v>
      </c>
      <c r="AI1477" s="1089">
        <f>AH1477*P1477*0.75</f>
        <v>1875000</v>
      </c>
      <c r="AJ1477" s="1768"/>
      <c r="AK1477" s="1089"/>
      <c r="AL1477" s="1090"/>
      <c r="AM1477" s="1086"/>
      <c r="AN1477" s="1086"/>
      <c r="AO1477" s="1087"/>
      <c r="AP1477" s="1764"/>
      <c r="AQ1477" s="1087"/>
      <c r="AR1477" s="1764"/>
      <c r="AS1477" s="1764"/>
      <c r="AT1477" s="1086"/>
      <c r="AU1477" s="1768"/>
      <c r="AV1477" s="1814"/>
    </row>
    <row r="1478" spans="1:48">
      <c r="A1478" s="1640"/>
      <c r="B1478" s="1658"/>
      <c r="C1478" s="1659"/>
      <c r="D1478" s="1625"/>
      <c r="E1478" s="1743"/>
      <c r="F1478" s="1648"/>
      <c r="G1478" s="1625"/>
      <c r="H1478" s="1667"/>
      <c r="I1478" s="1629"/>
      <c r="J1478" s="1630"/>
      <c r="K1478" s="1631"/>
      <c r="L1478" s="1245"/>
      <c r="M1478" s="1320"/>
      <c r="N1478" s="1632" t="s">
        <v>8</v>
      </c>
      <c r="O1478" s="1737" t="s">
        <v>188</v>
      </c>
      <c r="P1478" s="1634"/>
      <c r="Q1478" s="1632">
        <v>29</v>
      </c>
      <c r="R1478" s="1646"/>
      <c r="S1478" s="1625"/>
      <c r="T1478" s="1634"/>
      <c r="U1478" s="1635"/>
      <c r="V1478" s="1636"/>
      <c r="W1478" s="1714"/>
      <c r="X1478" s="1650"/>
      <c r="Y1478" s="1623"/>
      <c r="Z1478" s="1651"/>
      <c r="AA1478" s="1625"/>
      <c r="AB1478" s="1667"/>
      <c r="AC1478" s="1640"/>
      <c r="AD1478" s="1635"/>
      <c r="AE1478" s="1764"/>
      <c r="AF1478" s="1085"/>
      <c r="AG1478" s="1086"/>
      <c r="AH1478" s="1087">
        <v>300000</v>
      </c>
      <c r="AI1478" s="1089">
        <f>AH1478*Q1478*0.5</f>
        <v>4350000</v>
      </c>
      <c r="AJ1478" s="1768"/>
      <c r="AK1478" s="1089"/>
      <c r="AL1478" s="1090"/>
      <c r="AM1478" s="1086"/>
      <c r="AN1478" s="1086"/>
      <c r="AO1478" s="1087"/>
      <c r="AP1478" s="1764"/>
      <c r="AQ1478" s="1087"/>
      <c r="AR1478" s="1764"/>
      <c r="AS1478" s="1764"/>
      <c r="AT1478" s="1086"/>
      <c r="AU1478" s="1768"/>
      <c r="AV1478" s="1814"/>
    </row>
    <row r="1479" spans="1:48">
      <c r="A1479" s="1640"/>
      <c r="B1479" s="1658"/>
      <c r="C1479" s="1659"/>
      <c r="D1479" s="1625"/>
      <c r="E1479" s="1743"/>
      <c r="F1479" s="1648"/>
      <c r="G1479" s="1625"/>
      <c r="H1479" s="1667"/>
      <c r="I1479" s="1629"/>
      <c r="J1479" s="1630"/>
      <c r="K1479" s="1631"/>
      <c r="L1479" s="1245"/>
      <c r="M1479" s="1320"/>
      <c r="N1479" s="1632" t="s">
        <v>54</v>
      </c>
      <c r="O1479" s="1737" t="s">
        <v>1991</v>
      </c>
      <c r="P1479" s="1634"/>
      <c r="Q1479" s="1632">
        <v>47</v>
      </c>
      <c r="R1479" s="1646"/>
      <c r="S1479" s="1625"/>
      <c r="T1479" s="1634"/>
      <c r="U1479" s="1635"/>
      <c r="V1479" s="1636"/>
      <c r="W1479" s="1714"/>
      <c r="X1479" s="1650"/>
      <c r="Y1479" s="1623"/>
      <c r="Z1479" s="1651"/>
      <c r="AA1479" s="1625"/>
      <c r="AB1479" s="1667"/>
      <c r="AC1479" s="1640"/>
      <c r="AD1479" s="1635"/>
      <c r="AE1479" s="1764"/>
      <c r="AF1479" s="1085"/>
      <c r="AG1479" s="1086"/>
      <c r="AH1479" s="1087">
        <v>300000</v>
      </c>
      <c r="AI1479" s="1089">
        <f>AH1479*Q1479*0.5</f>
        <v>7050000</v>
      </c>
      <c r="AJ1479" s="1768"/>
      <c r="AK1479" s="1089"/>
      <c r="AL1479" s="1090"/>
      <c r="AM1479" s="1086"/>
      <c r="AN1479" s="1086"/>
      <c r="AO1479" s="1087"/>
      <c r="AP1479" s="1764"/>
      <c r="AQ1479" s="1087"/>
      <c r="AR1479" s="1764"/>
      <c r="AS1479" s="1764"/>
      <c r="AT1479" s="1086"/>
      <c r="AU1479" s="1768"/>
      <c r="AV1479" s="1814"/>
    </row>
    <row r="1480" spans="1:48" ht="16.5" customHeight="1">
      <c r="A1480" s="1673"/>
      <c r="B1480" s="1686"/>
      <c r="C1480" s="1819"/>
      <c r="D1480" s="1676"/>
      <c r="E1480" s="1677"/>
      <c r="F1480" s="1678"/>
      <c r="G1480" s="1676"/>
      <c r="H1480" s="1679"/>
      <c r="I1480" s="1680"/>
      <c r="J1480" s="1681"/>
      <c r="K1480" s="1682"/>
      <c r="L1480" s="1270"/>
      <c r="M1480" s="1549"/>
      <c r="N1480" s="1799"/>
      <c r="O1480" s="1781"/>
      <c r="P1480" s="1685"/>
      <c r="Q1480" s="1787"/>
      <c r="R1480" s="1686"/>
      <c r="S1480" s="1676"/>
      <c r="T1480" s="1685"/>
      <c r="U1480" s="1773"/>
      <c r="V1480" s="1718"/>
      <c r="W1480" s="1719"/>
      <c r="X1480" s="1720"/>
      <c r="Y1480" s="1721"/>
      <c r="Z1480" s="1787"/>
      <c r="AA1480" s="1676"/>
      <c r="AB1480" s="1679"/>
      <c r="AC1480" s="1673"/>
      <c r="AD1480" s="1773"/>
      <c r="AE1480" s="1774"/>
      <c r="AF1480" s="1115"/>
      <c r="AG1480" s="1116"/>
      <c r="AH1480" s="1117"/>
      <c r="AI1480" s="1117"/>
      <c r="AJ1480" s="1775"/>
      <c r="AK1480" s="1119"/>
      <c r="AL1480" s="1120"/>
      <c r="AM1480" s="1116"/>
      <c r="AN1480" s="1116"/>
      <c r="AO1480" s="1117"/>
      <c r="AP1480" s="1774"/>
      <c r="AQ1480" s="1117"/>
      <c r="AR1480" s="1774"/>
      <c r="AS1480" s="1774"/>
      <c r="AT1480" s="1116"/>
      <c r="AU1480" s="1775"/>
      <c r="AV1480" s="1820"/>
    </row>
    <row r="1481" spans="1:48" ht="16.5" customHeight="1">
      <c r="A1481" s="1698">
        <v>115</v>
      </c>
      <c r="B1481" s="1699" t="s">
        <v>25</v>
      </c>
      <c r="C1481" s="1700" t="s">
        <v>1184</v>
      </c>
      <c r="D1481" s="1701"/>
      <c r="E1481" s="1702"/>
      <c r="F1481" s="1730" t="s">
        <v>1183</v>
      </c>
      <c r="G1481" s="1704" t="s">
        <v>25</v>
      </c>
      <c r="H1481" s="1705" t="s">
        <v>42</v>
      </c>
      <c r="I1481" s="1810">
        <v>505</v>
      </c>
      <c r="J1481" s="1630" t="s">
        <v>41</v>
      </c>
      <c r="K1481" s="1722" t="s">
        <v>1182</v>
      </c>
      <c r="L1481" s="1245"/>
      <c r="M1481" s="1320"/>
      <c r="N1481" s="1632" t="s">
        <v>25</v>
      </c>
      <c r="O1481" s="1748" t="s">
        <v>26</v>
      </c>
      <c r="P1481" s="1634">
        <v>1</v>
      </c>
      <c r="Q1481" s="1632">
        <v>60</v>
      </c>
      <c r="R1481" s="1699" t="s">
        <v>25</v>
      </c>
      <c r="S1481" s="1702" t="s">
        <v>24</v>
      </c>
      <c r="T1481" s="1709"/>
      <c r="U1481" s="1710"/>
      <c r="V1481" s="1711"/>
      <c r="W1481" s="1712"/>
      <c r="X1481" s="1713"/>
      <c r="Y1481" s="1700"/>
      <c r="Z1481" s="1761"/>
      <c r="AA1481" s="1702"/>
      <c r="AB1481" s="1809"/>
      <c r="AC1481" s="1641"/>
      <c r="AD1481" s="1710"/>
      <c r="AE1481" s="1766"/>
      <c r="AF1481" s="1056">
        <f>Resum!F1</f>
        <v>356000</v>
      </c>
      <c r="AG1481" s="1086">
        <f>AF1481*I1481</f>
        <v>179780000</v>
      </c>
      <c r="AH1481" s="1058">
        <v>2530000</v>
      </c>
      <c r="AI1481" s="1089">
        <f>AH1481*Q1481*0.75</f>
        <v>113850000</v>
      </c>
      <c r="AJ1481" s="1811">
        <f>SUM(AI1481:AI1499)</f>
        <v>339680000</v>
      </c>
      <c r="AK1481" s="1060"/>
      <c r="AL1481" s="1090"/>
      <c r="AM1481" s="1057">
        <f>SUM(AL1481:AL1488)</f>
        <v>1125000</v>
      </c>
      <c r="AN1481" s="1086">
        <f>AM1481+AJ1481+AG1481</f>
        <v>520585000</v>
      </c>
      <c r="AO1481" s="1058"/>
      <c r="AP1481" s="1136">
        <f>(AG1481+AI1481+AI1487)*15%</f>
        <v>61023000</v>
      </c>
      <c r="AQ1481" s="1087">
        <f>(AG1481+AI1481)*1%</f>
        <v>2936300</v>
      </c>
      <c r="AR1481" s="1136">
        <f>(AG1481+AI1481)*5%</f>
        <v>14681500</v>
      </c>
      <c r="AS1481" s="1087">
        <f>0.5%*(AG1481+AI1481)*(3)</f>
        <v>4404450</v>
      </c>
      <c r="AT1481" s="1086">
        <f>+AS1481+AR1481+AQ1481+AP1481+AO1481</f>
        <v>83045250</v>
      </c>
      <c r="AU1481" s="1137">
        <f>ROUND(AT1481+AN1481,-3)</f>
        <v>603630000</v>
      </c>
      <c r="AV1481" s="1812"/>
    </row>
    <row r="1482" spans="1:48" ht="16.5" customHeight="1">
      <c r="A1482" s="1640"/>
      <c r="B1482" s="1646" t="s">
        <v>16</v>
      </c>
      <c r="C1482" s="1647" t="s">
        <v>1181</v>
      </c>
      <c r="D1482" s="1625"/>
      <c r="E1482" s="1633"/>
      <c r="F1482" s="1648"/>
      <c r="G1482" s="1625" t="s">
        <v>16</v>
      </c>
      <c r="H1482" s="1625" t="s">
        <v>22</v>
      </c>
      <c r="I1482" s="1629"/>
      <c r="J1482" s="1630"/>
      <c r="K1482" s="1631"/>
      <c r="L1482" s="1245"/>
      <c r="M1482" s="1320"/>
      <c r="N1482" s="1632" t="s">
        <v>16</v>
      </c>
      <c r="O1482" s="1737" t="s">
        <v>21</v>
      </c>
      <c r="P1482" s="1634">
        <v>1</v>
      </c>
      <c r="Q1482" s="1632">
        <v>7.5</v>
      </c>
      <c r="R1482" s="1646"/>
      <c r="S1482" s="1625"/>
      <c r="T1482" s="1634"/>
      <c r="U1482" s="1635"/>
      <c r="V1482" s="1636"/>
      <c r="W1482" s="1714"/>
      <c r="X1482" s="1650"/>
      <c r="Y1482" s="1623"/>
      <c r="Z1482" s="1651"/>
      <c r="AA1482" s="1625"/>
      <c r="AB1482" s="1667"/>
      <c r="AC1482" s="1640"/>
      <c r="AD1482" s="1635"/>
      <c r="AE1482" s="1764"/>
      <c r="AF1482" s="1085"/>
      <c r="AG1482" s="1086"/>
      <c r="AH1482" s="1087">
        <v>350000</v>
      </c>
      <c r="AI1482" s="1089">
        <f>AH1482*Q1482*0.7</f>
        <v>1837499.9999999998</v>
      </c>
      <c r="AJ1482" s="1768"/>
      <c r="AK1482" s="1089"/>
      <c r="AL1482" s="1090"/>
      <c r="AM1482" s="1086"/>
      <c r="AN1482" s="1086"/>
      <c r="AO1482" s="1087"/>
      <c r="AP1482" s="1764"/>
      <c r="AQ1482" s="1087"/>
      <c r="AR1482" s="1764"/>
      <c r="AS1482" s="1764"/>
      <c r="AT1482" s="1086"/>
      <c r="AU1482" s="1768"/>
      <c r="AV1482" s="1814"/>
    </row>
    <row r="1483" spans="1:48" ht="16.5" customHeight="1">
      <c r="A1483" s="1640"/>
      <c r="B1483" s="1646" t="s">
        <v>18</v>
      </c>
      <c r="C1483" s="1623" t="s">
        <v>124</v>
      </c>
      <c r="D1483" s="1625"/>
      <c r="E1483" s="1625"/>
      <c r="F1483" s="1648"/>
      <c r="G1483" s="1625" t="s">
        <v>18</v>
      </c>
      <c r="H1483" s="1625" t="s">
        <v>19</v>
      </c>
      <c r="I1483" s="1629"/>
      <c r="J1483" s="1630"/>
      <c r="K1483" s="1631"/>
      <c r="L1483" s="1245"/>
      <c r="M1483" s="1320"/>
      <c r="N1483" s="1632" t="s">
        <v>18</v>
      </c>
      <c r="O1483" s="1737" t="s">
        <v>17</v>
      </c>
      <c r="P1483" s="1634">
        <v>1</v>
      </c>
      <c r="Q1483" s="1632"/>
      <c r="R1483" s="1646" t="s">
        <v>16</v>
      </c>
      <c r="S1483" s="1625" t="s">
        <v>15</v>
      </c>
      <c r="T1483" s="1634">
        <v>2</v>
      </c>
      <c r="U1483" s="1635">
        <v>1</v>
      </c>
      <c r="V1483" s="1636" t="s">
        <v>14</v>
      </c>
      <c r="W1483" s="1714">
        <v>2</v>
      </c>
      <c r="X1483" s="1650"/>
      <c r="Y1483" s="1623"/>
      <c r="Z1483" s="1651">
        <f>SUM(W1483:Y1483)</f>
        <v>2</v>
      </c>
      <c r="AA1483" s="1625"/>
      <c r="AB1483" s="1667"/>
      <c r="AC1483" s="1640"/>
      <c r="AD1483" s="1635"/>
      <c r="AE1483" s="1764"/>
      <c r="AF1483" s="1085"/>
      <c r="AG1483" s="1086"/>
      <c r="AH1483" s="1087">
        <v>2500000</v>
      </c>
      <c r="AI1483" s="1089">
        <f>AH1483*P1483*0.5</f>
        <v>1250000</v>
      </c>
      <c r="AJ1483" s="1768"/>
      <c r="AK1483" s="1089">
        <v>350000</v>
      </c>
      <c r="AL1483" s="1087">
        <f t="shared" si="121"/>
        <v>700000</v>
      </c>
      <c r="AM1483" s="1086"/>
      <c r="AN1483" s="1086"/>
      <c r="AO1483" s="1087"/>
      <c r="AP1483" s="1764"/>
      <c r="AQ1483" s="1087"/>
      <c r="AR1483" s="1764"/>
      <c r="AS1483" s="1764"/>
      <c r="AT1483" s="1086"/>
      <c r="AU1483" s="1768"/>
      <c r="AV1483" s="1814"/>
    </row>
    <row r="1484" spans="1:48" ht="49.5" customHeight="1">
      <c r="A1484" s="1640"/>
      <c r="B1484" s="1658" t="s">
        <v>12</v>
      </c>
      <c r="C1484" s="1659" t="s">
        <v>1180</v>
      </c>
      <c r="D1484" s="1625"/>
      <c r="E1484" s="1625"/>
      <c r="F1484" s="1648"/>
      <c r="G1484" s="1625"/>
      <c r="H1484" s="1625"/>
      <c r="I1484" s="1629"/>
      <c r="J1484" s="1630"/>
      <c r="K1484" s="1631"/>
      <c r="L1484" s="1245"/>
      <c r="M1484" s="1320"/>
      <c r="N1484" s="1632" t="s">
        <v>12</v>
      </c>
      <c r="O1484" s="1737" t="s">
        <v>11</v>
      </c>
      <c r="P1484" s="1634">
        <v>1</v>
      </c>
      <c r="Q1484" s="1632"/>
      <c r="R1484" s="1646"/>
      <c r="S1484" s="1625"/>
      <c r="T1484" s="1634"/>
      <c r="U1484" s="1635">
        <v>2</v>
      </c>
      <c r="V1484" s="1636" t="s">
        <v>3</v>
      </c>
      <c r="W1484" s="1714">
        <v>5</v>
      </c>
      <c r="X1484" s="1650"/>
      <c r="Y1484" s="1623"/>
      <c r="Z1484" s="1651">
        <f>SUM(W1484:Y1484)</f>
        <v>5</v>
      </c>
      <c r="AA1484" s="1625"/>
      <c r="AB1484" s="1667"/>
      <c r="AC1484" s="1640"/>
      <c r="AD1484" s="1635"/>
      <c r="AE1484" s="1764"/>
      <c r="AF1484" s="1085"/>
      <c r="AG1484" s="1086"/>
      <c r="AH1484" s="1087">
        <v>2500000</v>
      </c>
      <c r="AI1484" s="1089">
        <f>AH1484*P1484*0.75</f>
        <v>1875000</v>
      </c>
      <c r="AJ1484" s="1768"/>
      <c r="AK1484" s="1089">
        <v>85000</v>
      </c>
      <c r="AL1484" s="1090">
        <f t="shared" si="121"/>
        <v>425000</v>
      </c>
      <c r="AM1484" s="1086"/>
      <c r="AN1484" s="1086"/>
      <c r="AO1484" s="1087"/>
      <c r="AP1484" s="1764"/>
      <c r="AQ1484" s="1087"/>
      <c r="AR1484" s="1764"/>
      <c r="AS1484" s="1764"/>
      <c r="AT1484" s="1086"/>
      <c r="AU1484" s="1768"/>
      <c r="AV1484" s="1814"/>
    </row>
    <row r="1485" spans="1:48" ht="16.5" customHeight="1">
      <c r="A1485" s="1640"/>
      <c r="B1485" s="1646" t="s">
        <v>8</v>
      </c>
      <c r="C1485" s="1716" t="s">
        <v>1179</v>
      </c>
      <c r="D1485" s="1625"/>
      <c r="E1485" s="1625"/>
      <c r="F1485" s="1648"/>
      <c r="G1485" s="1625"/>
      <c r="H1485" s="1625"/>
      <c r="I1485" s="1629"/>
      <c r="J1485" s="1630"/>
      <c r="K1485" s="1631"/>
      <c r="L1485" s="1245"/>
      <c r="M1485" s="1320"/>
      <c r="N1485" s="1632" t="s">
        <v>8</v>
      </c>
      <c r="O1485" s="1737" t="s">
        <v>175</v>
      </c>
      <c r="P1485" s="1634"/>
      <c r="Q1485" s="1632">
        <v>38</v>
      </c>
      <c r="R1485" s="1646"/>
      <c r="S1485" s="1625"/>
      <c r="T1485" s="1634"/>
      <c r="U1485" s="1635"/>
      <c r="V1485" s="1636"/>
      <c r="W1485" s="1714"/>
      <c r="X1485" s="1650"/>
      <c r="Y1485" s="1623"/>
      <c r="Z1485" s="1651"/>
      <c r="AA1485" s="1625"/>
      <c r="AB1485" s="1667"/>
      <c r="AC1485" s="1640"/>
      <c r="AD1485" s="1635"/>
      <c r="AE1485" s="1764"/>
      <c r="AF1485" s="1085"/>
      <c r="AG1485" s="1086"/>
      <c r="AH1485" s="1087">
        <v>300000</v>
      </c>
      <c r="AI1485" s="1089">
        <f>AH1485*Q1485*0.5</f>
        <v>5700000</v>
      </c>
      <c r="AJ1485" s="1768"/>
      <c r="AK1485" s="1089"/>
      <c r="AL1485" s="1090"/>
      <c r="AM1485" s="1086"/>
      <c r="AN1485" s="1086"/>
      <c r="AO1485" s="1087"/>
      <c r="AP1485" s="1764"/>
      <c r="AQ1485" s="1087"/>
      <c r="AR1485" s="1764"/>
      <c r="AS1485" s="1764"/>
      <c r="AT1485" s="1086"/>
      <c r="AU1485" s="1768"/>
      <c r="AV1485" s="1814"/>
    </row>
    <row r="1486" spans="1:48" ht="16.5" customHeight="1">
      <c r="A1486" s="1640"/>
      <c r="B1486" s="1646"/>
      <c r="C1486" s="1623"/>
      <c r="D1486" s="1625"/>
      <c r="E1486" s="1625"/>
      <c r="F1486" s="1648"/>
      <c r="G1486" s="1625"/>
      <c r="H1486" s="1625"/>
      <c r="I1486" s="1629"/>
      <c r="J1486" s="1630"/>
      <c r="K1486" s="1631"/>
      <c r="L1486" s="1245"/>
      <c r="M1486" s="1320"/>
      <c r="N1486" s="1632"/>
      <c r="O1486" s="1737" t="s">
        <v>1178</v>
      </c>
      <c r="P1486" s="1634"/>
      <c r="Q1486" s="1632"/>
      <c r="R1486" s="1646"/>
      <c r="S1486" s="1625"/>
      <c r="T1486" s="1634"/>
      <c r="U1486" s="1635"/>
      <c r="V1486" s="1636"/>
      <c r="W1486" s="1714"/>
      <c r="X1486" s="1650"/>
      <c r="Y1486" s="1623"/>
      <c r="Z1486" s="1651"/>
      <c r="AA1486" s="1625"/>
      <c r="AB1486" s="1667"/>
      <c r="AC1486" s="1640"/>
      <c r="AD1486" s="1635"/>
      <c r="AE1486" s="1764"/>
      <c r="AF1486" s="1085"/>
      <c r="AG1486" s="1086"/>
      <c r="AH1486" s="1087"/>
      <c r="AI1486" s="1089">
        <f t="shared" ref="AI1486:AI1492" si="123">AH1486*Q1486*0.5</f>
        <v>0</v>
      </c>
      <c r="AJ1486" s="1768"/>
      <c r="AK1486" s="1089"/>
      <c r="AL1486" s="1090"/>
      <c r="AM1486" s="1086"/>
      <c r="AN1486" s="1086"/>
      <c r="AO1486" s="1087"/>
      <c r="AP1486" s="1764"/>
      <c r="AQ1486" s="1087"/>
      <c r="AR1486" s="1764"/>
      <c r="AS1486" s="1764"/>
      <c r="AT1486" s="1086"/>
      <c r="AU1486" s="1768"/>
      <c r="AV1486" s="1814"/>
    </row>
    <row r="1487" spans="1:48" ht="16.5" customHeight="1">
      <c r="A1487" s="1640"/>
      <c r="B1487" s="1646"/>
      <c r="C1487" s="1623"/>
      <c r="D1487" s="1625"/>
      <c r="E1487" s="1625"/>
      <c r="F1487" s="1648"/>
      <c r="G1487" s="1625"/>
      <c r="H1487" s="1625"/>
      <c r="I1487" s="1629"/>
      <c r="J1487" s="1630"/>
      <c r="K1487" s="1631"/>
      <c r="L1487" s="1245"/>
      <c r="M1487" s="1320"/>
      <c r="N1487" s="1632" t="s">
        <v>25</v>
      </c>
      <c r="O1487" s="1748" t="s">
        <v>26</v>
      </c>
      <c r="P1487" s="1634">
        <v>1</v>
      </c>
      <c r="Q1487" s="1632">
        <v>73.5</v>
      </c>
      <c r="R1487" s="1646"/>
      <c r="S1487" s="1625"/>
      <c r="T1487" s="1634"/>
      <c r="U1487" s="1635"/>
      <c r="V1487" s="1636"/>
      <c r="W1487" s="1714"/>
      <c r="X1487" s="1650"/>
      <c r="Y1487" s="1623"/>
      <c r="Z1487" s="1651"/>
      <c r="AA1487" s="1625"/>
      <c r="AB1487" s="1667"/>
      <c r="AC1487" s="1640"/>
      <c r="AD1487" s="1635"/>
      <c r="AE1487" s="1764"/>
      <c r="AF1487" s="1085"/>
      <c r="AG1487" s="1086"/>
      <c r="AH1487" s="1087">
        <v>2200000</v>
      </c>
      <c r="AI1487" s="1089">
        <f>AH1487*Q1487*0.7</f>
        <v>113190000</v>
      </c>
      <c r="AJ1487" s="1768"/>
      <c r="AK1487" s="1089"/>
      <c r="AL1487" s="1090"/>
      <c r="AM1487" s="1086"/>
      <c r="AN1487" s="1086"/>
      <c r="AO1487" s="1087"/>
      <c r="AP1487" s="1764"/>
      <c r="AQ1487" s="1087"/>
      <c r="AR1487" s="1764"/>
      <c r="AS1487" s="1764"/>
      <c r="AT1487" s="1086"/>
      <c r="AU1487" s="1768"/>
      <c r="AV1487" s="1814"/>
    </row>
    <row r="1488" spans="1:48" ht="16.5" customHeight="1">
      <c r="A1488" s="1640"/>
      <c r="B1488" s="1646"/>
      <c r="C1488" s="1623"/>
      <c r="D1488" s="1625"/>
      <c r="E1488" s="1625"/>
      <c r="F1488" s="1648"/>
      <c r="G1488" s="1625"/>
      <c r="H1488" s="1625"/>
      <c r="I1488" s="1629"/>
      <c r="J1488" s="1630"/>
      <c r="K1488" s="1631"/>
      <c r="L1488" s="1245"/>
      <c r="M1488" s="1320"/>
      <c r="N1488" s="1632" t="s">
        <v>16</v>
      </c>
      <c r="O1488" s="1737" t="s">
        <v>21</v>
      </c>
      <c r="P1488" s="1634">
        <v>2</v>
      </c>
      <c r="Q1488" s="1632">
        <v>4.5</v>
      </c>
      <c r="R1488" s="1646"/>
      <c r="S1488" s="1625"/>
      <c r="T1488" s="1634"/>
      <c r="U1488" s="1635"/>
      <c r="V1488" s="1636"/>
      <c r="W1488" s="1714"/>
      <c r="X1488" s="1650"/>
      <c r="Y1488" s="1623"/>
      <c r="Z1488" s="1651"/>
      <c r="AA1488" s="1625"/>
      <c r="AB1488" s="1667"/>
      <c r="AC1488" s="1640"/>
      <c r="AD1488" s="1635"/>
      <c r="AE1488" s="1764"/>
      <c r="AF1488" s="1085"/>
      <c r="AG1488" s="1086"/>
      <c r="AH1488" s="1087">
        <v>350000</v>
      </c>
      <c r="AI1488" s="1089">
        <f>AH1488*Q1488*0.7</f>
        <v>1102500</v>
      </c>
      <c r="AJ1488" s="1768"/>
      <c r="AK1488" s="1089"/>
      <c r="AL1488" s="1090"/>
      <c r="AM1488" s="1086"/>
      <c r="AN1488" s="1086"/>
      <c r="AO1488" s="1087"/>
      <c r="AP1488" s="1764"/>
      <c r="AQ1488" s="1087"/>
      <c r="AR1488" s="1764"/>
      <c r="AS1488" s="1764"/>
      <c r="AT1488" s="1086"/>
      <c r="AU1488" s="1768"/>
      <c r="AV1488" s="1814"/>
    </row>
    <row r="1489" spans="1:48" ht="16.5" customHeight="1">
      <c r="A1489" s="1640"/>
      <c r="B1489" s="1738"/>
      <c r="C1489" s="1666"/>
      <c r="D1489" s="1667"/>
      <c r="E1489" s="1628"/>
      <c r="F1489" s="1648"/>
      <c r="G1489" s="1625"/>
      <c r="H1489" s="1667"/>
      <c r="I1489" s="1629"/>
      <c r="J1489" s="1630"/>
      <c r="K1489" s="1631"/>
      <c r="L1489" s="1245"/>
      <c r="M1489" s="1320"/>
      <c r="N1489" s="1632" t="s">
        <v>18</v>
      </c>
      <c r="O1489" s="1737" t="s">
        <v>17</v>
      </c>
      <c r="P1489" s="1634">
        <v>1</v>
      </c>
      <c r="Q1489" s="1632"/>
      <c r="R1489" s="1646"/>
      <c r="S1489" s="1625"/>
      <c r="T1489" s="1634"/>
      <c r="U1489" s="1635"/>
      <c r="V1489" s="1636"/>
      <c r="W1489" s="1714"/>
      <c r="X1489" s="1650"/>
      <c r="Y1489" s="1623"/>
      <c r="Z1489" s="1651"/>
      <c r="AA1489" s="1625"/>
      <c r="AB1489" s="1667"/>
      <c r="AC1489" s="1640"/>
      <c r="AD1489" s="1635"/>
      <c r="AE1489" s="1764"/>
      <c r="AF1489" s="1085"/>
      <c r="AG1489" s="1086"/>
      <c r="AH1489" s="1087">
        <v>2500000</v>
      </c>
      <c r="AI1489" s="1089">
        <f>AH1489*P1489*0.5</f>
        <v>1250000</v>
      </c>
      <c r="AJ1489" s="1768"/>
      <c r="AK1489" s="1089"/>
      <c r="AL1489" s="1090"/>
      <c r="AM1489" s="1086"/>
      <c r="AN1489" s="1086"/>
      <c r="AO1489" s="1087"/>
      <c r="AP1489" s="1764"/>
      <c r="AQ1489" s="1087"/>
      <c r="AR1489" s="1764"/>
      <c r="AS1489" s="1764"/>
      <c r="AT1489" s="1086"/>
      <c r="AU1489" s="1768"/>
      <c r="AV1489" s="1814"/>
    </row>
    <row r="1490" spans="1:48" ht="16.5" customHeight="1">
      <c r="A1490" s="1640"/>
      <c r="B1490" s="1738"/>
      <c r="C1490" s="1666"/>
      <c r="D1490" s="1667"/>
      <c r="E1490" s="1628"/>
      <c r="F1490" s="1648"/>
      <c r="G1490" s="1625"/>
      <c r="H1490" s="1667"/>
      <c r="I1490" s="1629"/>
      <c r="J1490" s="1630"/>
      <c r="K1490" s="1631"/>
      <c r="L1490" s="1245"/>
      <c r="M1490" s="1320"/>
      <c r="N1490" s="1632" t="s">
        <v>12</v>
      </c>
      <c r="O1490" s="1737" t="s">
        <v>11</v>
      </c>
      <c r="P1490" s="1634">
        <v>1</v>
      </c>
      <c r="Q1490" s="1632"/>
      <c r="R1490" s="1646"/>
      <c r="S1490" s="1625"/>
      <c r="T1490" s="1634"/>
      <c r="U1490" s="1635"/>
      <c r="V1490" s="1636"/>
      <c r="W1490" s="1714"/>
      <c r="X1490" s="1650"/>
      <c r="Y1490" s="1623"/>
      <c r="Z1490" s="1651"/>
      <c r="AA1490" s="1625"/>
      <c r="AB1490" s="1667"/>
      <c r="AC1490" s="1640"/>
      <c r="AD1490" s="1635"/>
      <c r="AE1490" s="1764"/>
      <c r="AF1490" s="1085"/>
      <c r="AG1490" s="1086"/>
      <c r="AH1490" s="1087">
        <v>2500000</v>
      </c>
      <c r="AI1490" s="1089">
        <f>AH1490*P1490*0.75</f>
        <v>1875000</v>
      </c>
      <c r="AJ1490" s="1768"/>
      <c r="AK1490" s="1089"/>
      <c r="AL1490" s="1090"/>
      <c r="AM1490" s="1086"/>
      <c r="AN1490" s="1086"/>
      <c r="AO1490" s="1087"/>
      <c r="AP1490" s="1764"/>
      <c r="AQ1490" s="1087"/>
      <c r="AR1490" s="1764"/>
      <c r="AS1490" s="1764"/>
      <c r="AT1490" s="1086"/>
      <c r="AU1490" s="1768"/>
      <c r="AV1490" s="1814"/>
    </row>
    <row r="1491" spans="1:48" ht="16.5" customHeight="1">
      <c r="A1491" s="1640"/>
      <c r="B1491" s="1738"/>
      <c r="C1491" s="1666"/>
      <c r="D1491" s="1667"/>
      <c r="E1491" s="1628"/>
      <c r="F1491" s="1648"/>
      <c r="G1491" s="1625"/>
      <c r="H1491" s="1667"/>
      <c r="I1491" s="1629"/>
      <c r="J1491" s="1630"/>
      <c r="K1491" s="1631"/>
      <c r="L1491" s="1245"/>
      <c r="M1491" s="1320"/>
      <c r="N1491" s="1632" t="s">
        <v>8</v>
      </c>
      <c r="O1491" s="1737" t="s">
        <v>175</v>
      </c>
      <c r="P1491" s="1634"/>
      <c r="Q1491" s="1632">
        <v>49.5</v>
      </c>
      <c r="R1491" s="1646"/>
      <c r="S1491" s="1625"/>
      <c r="T1491" s="1634"/>
      <c r="U1491" s="1635"/>
      <c r="V1491" s="1636"/>
      <c r="W1491" s="1714"/>
      <c r="X1491" s="1650"/>
      <c r="Y1491" s="1623"/>
      <c r="Z1491" s="1651"/>
      <c r="AA1491" s="1625"/>
      <c r="AB1491" s="1667"/>
      <c r="AC1491" s="1640"/>
      <c r="AD1491" s="1635"/>
      <c r="AE1491" s="1764"/>
      <c r="AF1491" s="1085"/>
      <c r="AG1491" s="1086"/>
      <c r="AH1491" s="1087">
        <v>300000</v>
      </c>
      <c r="AI1491" s="1089">
        <f>AH1491*Q1491*0.5</f>
        <v>7425000</v>
      </c>
      <c r="AJ1491" s="1768"/>
      <c r="AK1491" s="1089"/>
      <c r="AL1491" s="1090"/>
      <c r="AM1491" s="1086"/>
      <c r="AN1491" s="1086"/>
      <c r="AO1491" s="1087"/>
      <c r="AP1491" s="1764"/>
      <c r="AQ1491" s="1087"/>
      <c r="AR1491" s="1764"/>
      <c r="AS1491" s="1764"/>
      <c r="AT1491" s="1086"/>
      <c r="AU1491" s="1768"/>
      <c r="AV1491" s="1814"/>
    </row>
    <row r="1492" spans="1:48" ht="16.5" customHeight="1">
      <c r="A1492" s="1640"/>
      <c r="B1492" s="1738"/>
      <c r="C1492" s="1666"/>
      <c r="D1492" s="1667"/>
      <c r="E1492" s="1628"/>
      <c r="F1492" s="1648"/>
      <c r="G1492" s="1625"/>
      <c r="H1492" s="1667"/>
      <c r="I1492" s="1629"/>
      <c r="J1492" s="1630"/>
      <c r="K1492" s="1631"/>
      <c r="L1492" s="1245"/>
      <c r="M1492" s="1320"/>
      <c r="N1492" s="1632"/>
      <c r="O1492" s="1737" t="s">
        <v>1177</v>
      </c>
      <c r="P1492" s="1634"/>
      <c r="Q1492" s="1632"/>
      <c r="R1492" s="1646"/>
      <c r="S1492" s="1625"/>
      <c r="T1492" s="1634"/>
      <c r="U1492" s="1635"/>
      <c r="V1492" s="1636"/>
      <c r="W1492" s="1714"/>
      <c r="X1492" s="1650"/>
      <c r="Y1492" s="1623"/>
      <c r="Z1492" s="1651"/>
      <c r="AA1492" s="1625"/>
      <c r="AB1492" s="1667"/>
      <c r="AC1492" s="1640"/>
      <c r="AD1492" s="1635"/>
      <c r="AE1492" s="1764"/>
      <c r="AF1492" s="1085"/>
      <c r="AG1492" s="1086"/>
      <c r="AH1492" s="1087"/>
      <c r="AI1492" s="1089">
        <f t="shared" si="123"/>
        <v>0</v>
      </c>
      <c r="AJ1492" s="1768"/>
      <c r="AK1492" s="1089"/>
      <c r="AL1492" s="1090"/>
      <c r="AM1492" s="1086"/>
      <c r="AN1492" s="1086"/>
      <c r="AO1492" s="1087"/>
      <c r="AP1492" s="1764"/>
      <c r="AQ1492" s="1087"/>
      <c r="AR1492" s="1764"/>
      <c r="AS1492" s="1764"/>
      <c r="AT1492" s="1086"/>
      <c r="AU1492" s="1768"/>
      <c r="AV1492" s="1814"/>
    </row>
    <row r="1493" spans="1:48" ht="33" customHeight="1">
      <c r="A1493" s="1640"/>
      <c r="B1493" s="1738"/>
      <c r="C1493" s="1666"/>
      <c r="D1493" s="1667"/>
      <c r="E1493" s="1628"/>
      <c r="F1493" s="1648"/>
      <c r="G1493" s="1625"/>
      <c r="H1493" s="1667"/>
      <c r="I1493" s="1629"/>
      <c r="J1493" s="1630"/>
      <c r="K1493" s="1631"/>
      <c r="L1493" s="1245"/>
      <c r="M1493" s="1320"/>
      <c r="N1493" s="1632" t="s">
        <v>25</v>
      </c>
      <c r="O1493" s="1748" t="s">
        <v>62</v>
      </c>
      <c r="P1493" s="1634">
        <v>1</v>
      </c>
      <c r="Q1493" s="1632">
        <v>77</v>
      </c>
      <c r="R1493" s="1646"/>
      <c r="S1493" s="1625"/>
      <c r="T1493" s="1634"/>
      <c r="U1493" s="1635"/>
      <c r="V1493" s="1636"/>
      <c r="W1493" s="1714"/>
      <c r="X1493" s="1650"/>
      <c r="Y1493" s="1623"/>
      <c r="Z1493" s="1651"/>
      <c r="AA1493" s="1625"/>
      <c r="AB1493" s="1667"/>
      <c r="AC1493" s="1640"/>
      <c r="AD1493" s="1635"/>
      <c r="AE1493" s="1764"/>
      <c r="AF1493" s="1085"/>
      <c r="AG1493" s="1086"/>
      <c r="AH1493" s="1087">
        <v>1800000</v>
      </c>
      <c r="AI1493" s="1089">
        <f>AH1493*Q1493*0.5</f>
        <v>69300000</v>
      </c>
      <c r="AJ1493" s="1768"/>
      <c r="AK1493" s="1089"/>
      <c r="AL1493" s="1090"/>
      <c r="AM1493" s="1086"/>
      <c r="AN1493" s="1086"/>
      <c r="AO1493" s="1087"/>
      <c r="AP1493" s="1764"/>
      <c r="AQ1493" s="1087"/>
      <c r="AR1493" s="1764"/>
      <c r="AS1493" s="1764"/>
      <c r="AT1493" s="1086"/>
      <c r="AU1493" s="1768"/>
      <c r="AV1493" s="1814"/>
    </row>
    <row r="1494" spans="1:48" ht="16.5" customHeight="1">
      <c r="A1494" s="1640"/>
      <c r="B1494" s="1738"/>
      <c r="C1494" s="1666"/>
      <c r="D1494" s="1667"/>
      <c r="E1494" s="1628"/>
      <c r="F1494" s="1648"/>
      <c r="G1494" s="1625"/>
      <c r="H1494" s="1667"/>
      <c r="I1494" s="1629"/>
      <c r="J1494" s="1630"/>
      <c r="K1494" s="1631"/>
      <c r="L1494" s="1245"/>
      <c r="M1494" s="1320"/>
      <c r="N1494" s="1632" t="s">
        <v>16</v>
      </c>
      <c r="O1494" s="1737" t="s">
        <v>21</v>
      </c>
      <c r="P1494" s="1634">
        <v>1</v>
      </c>
      <c r="Q1494" s="1632">
        <v>10.5</v>
      </c>
      <c r="R1494" s="1646"/>
      <c r="S1494" s="1625"/>
      <c r="T1494" s="1634"/>
      <c r="U1494" s="1635"/>
      <c r="V1494" s="1636"/>
      <c r="W1494" s="1714"/>
      <c r="X1494" s="1650"/>
      <c r="Y1494" s="1623"/>
      <c r="Z1494" s="1651"/>
      <c r="AA1494" s="1625"/>
      <c r="AB1494" s="1667"/>
      <c r="AC1494" s="1640"/>
      <c r="AD1494" s="1635"/>
      <c r="AE1494" s="1764"/>
      <c r="AF1494" s="1085"/>
      <c r="AG1494" s="1086"/>
      <c r="AH1494" s="1087">
        <v>100000</v>
      </c>
      <c r="AI1494" s="1089">
        <f>AH1494*Q1494*0.5</f>
        <v>525000</v>
      </c>
      <c r="AJ1494" s="1768"/>
      <c r="AK1494" s="1089"/>
      <c r="AL1494" s="1090"/>
      <c r="AM1494" s="1086"/>
      <c r="AN1494" s="1086"/>
      <c r="AO1494" s="1087"/>
      <c r="AP1494" s="1764"/>
      <c r="AQ1494" s="1087"/>
      <c r="AR1494" s="1764"/>
      <c r="AS1494" s="1764"/>
      <c r="AT1494" s="1086"/>
      <c r="AU1494" s="1768"/>
      <c r="AV1494" s="1814"/>
    </row>
    <row r="1495" spans="1:48" ht="33" customHeight="1">
      <c r="A1495" s="1640"/>
      <c r="B1495" s="1738"/>
      <c r="C1495" s="1666"/>
      <c r="D1495" s="1667"/>
      <c r="E1495" s="1628"/>
      <c r="F1495" s="1648"/>
      <c r="G1495" s="1625"/>
      <c r="H1495" s="1667"/>
      <c r="I1495" s="1629"/>
      <c r="J1495" s="1630"/>
      <c r="K1495" s="1631"/>
      <c r="L1495" s="1245"/>
      <c r="M1495" s="1320"/>
      <c r="N1495" s="1632" t="s">
        <v>18</v>
      </c>
      <c r="O1495" s="1748" t="s">
        <v>62</v>
      </c>
      <c r="P1495" s="1634">
        <v>1</v>
      </c>
      <c r="Q1495" s="1632">
        <v>55</v>
      </c>
      <c r="R1495" s="1646"/>
      <c r="S1495" s="1625"/>
      <c r="T1495" s="1634"/>
      <c r="U1495" s="1635"/>
      <c r="V1495" s="1636"/>
      <c r="W1495" s="1714"/>
      <c r="X1495" s="1650"/>
      <c r="Y1495" s="1623"/>
      <c r="Z1495" s="1651"/>
      <c r="AA1495" s="1625"/>
      <c r="AB1495" s="1667"/>
      <c r="AC1495" s="1640"/>
      <c r="AD1495" s="1635"/>
      <c r="AE1495" s="1764"/>
      <c r="AF1495" s="1085"/>
      <c r="AG1495" s="1086"/>
      <c r="AH1495" s="1087">
        <v>500000</v>
      </c>
      <c r="AI1495" s="1089">
        <f>AH1495*Q1495*0.4</f>
        <v>11000000</v>
      </c>
      <c r="AJ1495" s="1768"/>
      <c r="AK1495" s="1089"/>
      <c r="AL1495" s="1090"/>
      <c r="AM1495" s="1086"/>
      <c r="AN1495" s="1086"/>
      <c r="AO1495" s="1087"/>
      <c r="AP1495" s="1764"/>
      <c r="AQ1495" s="1087"/>
      <c r="AR1495" s="1764"/>
      <c r="AS1495" s="1764"/>
      <c r="AT1495" s="1086"/>
      <c r="AU1495" s="1768"/>
      <c r="AV1495" s="1814"/>
    </row>
    <row r="1496" spans="1:48" ht="16.5" customHeight="1">
      <c r="A1496" s="1640"/>
      <c r="B1496" s="1738"/>
      <c r="C1496" s="1666"/>
      <c r="D1496" s="1667"/>
      <c r="E1496" s="1628"/>
      <c r="F1496" s="1648"/>
      <c r="G1496" s="1625"/>
      <c r="H1496" s="1667"/>
      <c r="I1496" s="1629"/>
      <c r="J1496" s="1630"/>
      <c r="K1496" s="1631"/>
      <c r="L1496" s="1245"/>
      <c r="M1496" s="1320"/>
      <c r="N1496" s="1632" t="s">
        <v>12</v>
      </c>
      <c r="O1496" s="1737" t="s">
        <v>21</v>
      </c>
      <c r="P1496" s="1634">
        <v>1</v>
      </c>
      <c r="Q1496" s="1632">
        <v>7.5</v>
      </c>
      <c r="R1496" s="1646"/>
      <c r="S1496" s="1625"/>
      <c r="T1496" s="1634"/>
      <c r="U1496" s="1635"/>
      <c r="V1496" s="1636"/>
      <c r="W1496" s="1714"/>
      <c r="X1496" s="1650"/>
      <c r="Y1496" s="1623"/>
      <c r="Z1496" s="1651"/>
      <c r="AA1496" s="1625"/>
      <c r="AB1496" s="1667"/>
      <c r="AC1496" s="1640"/>
      <c r="AD1496" s="1635"/>
      <c r="AE1496" s="1764"/>
      <c r="AF1496" s="1085"/>
      <c r="AG1496" s="1086"/>
      <c r="AH1496" s="1087">
        <v>100000</v>
      </c>
      <c r="AI1496" s="1089">
        <f>AH1496*Q1496*0.5</f>
        <v>375000</v>
      </c>
      <c r="AJ1496" s="1768"/>
      <c r="AK1496" s="1089"/>
      <c r="AL1496" s="1090"/>
      <c r="AM1496" s="1086"/>
      <c r="AN1496" s="1086"/>
      <c r="AO1496" s="1087"/>
      <c r="AP1496" s="1764"/>
      <c r="AQ1496" s="1087"/>
      <c r="AR1496" s="1764"/>
      <c r="AS1496" s="1764"/>
      <c r="AT1496" s="1086"/>
      <c r="AU1496" s="1768"/>
      <c r="AV1496" s="1814"/>
    </row>
    <row r="1497" spans="1:48" ht="16.5" customHeight="1">
      <c r="A1497" s="1640"/>
      <c r="B1497" s="1738"/>
      <c r="C1497" s="1666"/>
      <c r="D1497" s="1667"/>
      <c r="E1497" s="1628"/>
      <c r="F1497" s="1648"/>
      <c r="G1497" s="1625"/>
      <c r="H1497" s="1667"/>
      <c r="I1497" s="1629"/>
      <c r="J1497" s="1630"/>
      <c r="K1497" s="1631"/>
      <c r="L1497" s="1245"/>
      <c r="M1497" s="1320"/>
      <c r="N1497" s="1632" t="s">
        <v>8</v>
      </c>
      <c r="O1497" s="1737" t="s">
        <v>17</v>
      </c>
      <c r="P1497" s="1634">
        <v>1</v>
      </c>
      <c r="Q1497" s="1632"/>
      <c r="R1497" s="1646"/>
      <c r="S1497" s="1625"/>
      <c r="T1497" s="1634"/>
      <c r="U1497" s="1635"/>
      <c r="V1497" s="1636"/>
      <c r="W1497" s="1714"/>
      <c r="X1497" s="1650"/>
      <c r="Y1497" s="1623"/>
      <c r="Z1497" s="1651"/>
      <c r="AA1497" s="1625"/>
      <c r="AB1497" s="1667"/>
      <c r="AC1497" s="1640"/>
      <c r="AD1497" s="1635"/>
      <c r="AE1497" s="1764"/>
      <c r="AF1497" s="1085"/>
      <c r="AG1497" s="1086"/>
      <c r="AH1497" s="1087">
        <v>2500000</v>
      </c>
      <c r="AI1497" s="1089">
        <f>AH1497*P1497*0.5</f>
        <v>1250000</v>
      </c>
      <c r="AJ1497" s="1768"/>
      <c r="AK1497" s="1089"/>
      <c r="AL1497" s="1090"/>
      <c r="AM1497" s="1086"/>
      <c r="AN1497" s="1086"/>
      <c r="AO1497" s="1087"/>
      <c r="AP1497" s="1764"/>
      <c r="AQ1497" s="1087"/>
      <c r="AR1497" s="1764"/>
      <c r="AS1497" s="1764"/>
      <c r="AT1497" s="1086"/>
      <c r="AU1497" s="1768"/>
      <c r="AV1497" s="1814"/>
    </row>
    <row r="1498" spans="1:48" ht="16.5" customHeight="1">
      <c r="A1498" s="1640"/>
      <c r="B1498" s="1738"/>
      <c r="C1498" s="1666"/>
      <c r="D1498" s="1667"/>
      <c r="E1498" s="1628"/>
      <c r="F1498" s="1648"/>
      <c r="G1498" s="1625"/>
      <c r="H1498" s="1667"/>
      <c r="I1498" s="1629"/>
      <c r="J1498" s="1630"/>
      <c r="K1498" s="1631"/>
      <c r="L1498" s="1245"/>
      <c r="M1498" s="1320"/>
      <c r="N1498" s="1632" t="s">
        <v>54</v>
      </c>
      <c r="O1498" s="1737" t="s">
        <v>11</v>
      </c>
      <c r="P1498" s="1634">
        <v>1</v>
      </c>
      <c r="Q1498" s="1632"/>
      <c r="R1498" s="1646"/>
      <c r="S1498" s="1625"/>
      <c r="T1498" s="1634"/>
      <c r="U1498" s="1635"/>
      <c r="V1498" s="1636"/>
      <c r="W1498" s="1714"/>
      <c r="X1498" s="1650"/>
      <c r="Y1498" s="1623"/>
      <c r="Z1498" s="1651"/>
      <c r="AA1498" s="1625"/>
      <c r="AB1498" s="1667"/>
      <c r="AC1498" s="1640"/>
      <c r="AD1498" s="1635"/>
      <c r="AE1498" s="1764"/>
      <c r="AF1498" s="1085"/>
      <c r="AG1498" s="1086"/>
      <c r="AH1498" s="1087">
        <v>2500000</v>
      </c>
      <c r="AI1498" s="1089">
        <f>AH1498*P1498*0.75</f>
        <v>1875000</v>
      </c>
      <c r="AJ1498" s="1768"/>
      <c r="AK1498" s="1089"/>
      <c r="AL1498" s="1090"/>
      <c r="AM1498" s="1086"/>
      <c r="AN1498" s="1086"/>
      <c r="AO1498" s="1087"/>
      <c r="AP1498" s="1764"/>
      <c r="AQ1498" s="1087"/>
      <c r="AR1498" s="1764"/>
      <c r="AS1498" s="1764"/>
      <c r="AT1498" s="1086"/>
      <c r="AU1498" s="1768"/>
      <c r="AV1498" s="1814"/>
    </row>
    <row r="1499" spans="1:48" ht="16.5" customHeight="1">
      <c r="A1499" s="1673"/>
      <c r="B1499" s="1738"/>
      <c r="C1499" s="1675"/>
      <c r="D1499" s="1676"/>
      <c r="E1499" s="1677"/>
      <c r="F1499" s="1678"/>
      <c r="G1499" s="1676"/>
      <c r="H1499" s="1679"/>
      <c r="I1499" s="1680"/>
      <c r="J1499" s="1681"/>
      <c r="K1499" s="1682"/>
      <c r="L1499" s="1245"/>
      <c r="M1499" s="1320"/>
      <c r="N1499" s="1683" t="s">
        <v>53</v>
      </c>
      <c r="O1499" s="1924" t="s">
        <v>175</v>
      </c>
      <c r="P1499" s="1685"/>
      <c r="Q1499" s="1683">
        <v>40</v>
      </c>
      <c r="R1499" s="1686"/>
      <c r="S1499" s="1676"/>
      <c r="T1499" s="1685"/>
      <c r="U1499" s="1773"/>
      <c r="V1499" s="1718"/>
      <c r="W1499" s="1719"/>
      <c r="X1499" s="1720"/>
      <c r="Y1499" s="1721"/>
      <c r="Z1499" s="1787"/>
      <c r="AA1499" s="1676"/>
      <c r="AB1499" s="1679"/>
      <c r="AC1499" s="1673"/>
      <c r="AD1499" s="1773"/>
      <c r="AE1499" s="1774"/>
      <c r="AF1499" s="1115"/>
      <c r="AG1499" s="1116"/>
      <c r="AH1499" s="1117">
        <v>300000</v>
      </c>
      <c r="AI1499" s="1089">
        <f>AH1499*Q1499*0.5</f>
        <v>6000000</v>
      </c>
      <c r="AJ1499" s="1775"/>
      <c r="AK1499" s="1119"/>
      <c r="AL1499" s="1120"/>
      <c r="AM1499" s="1116"/>
      <c r="AN1499" s="1116"/>
      <c r="AO1499" s="1117"/>
      <c r="AP1499" s="1774"/>
      <c r="AQ1499" s="1117"/>
      <c r="AR1499" s="1774"/>
      <c r="AS1499" s="1774"/>
      <c r="AT1499" s="1116"/>
      <c r="AU1499" s="1775"/>
      <c r="AV1499" s="1820"/>
    </row>
    <row r="1500" spans="1:48" ht="16.5" customHeight="1">
      <c r="A1500" s="1698">
        <v>116</v>
      </c>
      <c r="B1500" s="1699" t="s">
        <v>25</v>
      </c>
      <c r="C1500" s="1700" t="s">
        <v>1176</v>
      </c>
      <c r="D1500" s="1701"/>
      <c r="E1500" s="1702"/>
      <c r="F1500" s="1730" t="s">
        <v>1175</v>
      </c>
      <c r="G1500" s="1704" t="s">
        <v>25</v>
      </c>
      <c r="H1500" s="1705" t="s">
        <v>42</v>
      </c>
      <c r="I1500" s="1810">
        <v>319</v>
      </c>
      <c r="J1500" s="1783" t="s">
        <v>41</v>
      </c>
      <c r="K1500" s="1722" t="s">
        <v>1174</v>
      </c>
      <c r="L1500" s="1373"/>
      <c r="M1500" s="1317"/>
      <c r="N1500" s="1707" t="s">
        <v>25</v>
      </c>
      <c r="O1500" s="1777" t="s">
        <v>26</v>
      </c>
      <c r="P1500" s="1709">
        <v>1</v>
      </c>
      <c r="Q1500" s="1707">
        <v>234</v>
      </c>
      <c r="R1500" s="1699" t="s">
        <v>25</v>
      </c>
      <c r="S1500" s="1702" t="s">
        <v>24</v>
      </c>
      <c r="T1500" s="1709"/>
      <c r="U1500" s="1710"/>
      <c r="V1500" s="1711"/>
      <c r="W1500" s="1712"/>
      <c r="X1500" s="1713"/>
      <c r="Y1500" s="1700"/>
      <c r="Z1500" s="1761"/>
      <c r="AA1500" s="1702"/>
      <c r="AB1500" s="1809"/>
      <c r="AC1500" s="1641"/>
      <c r="AD1500" s="1710"/>
      <c r="AE1500" s="1766"/>
      <c r="AF1500" s="1056">
        <f>+Resum!F4</f>
        <v>204000</v>
      </c>
      <c r="AG1500" s="1057">
        <f>AF1500*I1500</f>
        <v>65076000</v>
      </c>
      <c r="AH1500" s="1058">
        <v>2200000</v>
      </c>
      <c r="AI1500" s="1060">
        <f>AH1500*Q1500*0.8</f>
        <v>411840000</v>
      </c>
      <c r="AJ1500" s="1811">
        <f>SUM(AI1500:AI1505)</f>
        <v>436010000</v>
      </c>
      <c r="AK1500" s="1060"/>
      <c r="AL1500" s="1061"/>
      <c r="AM1500" s="1057">
        <f>SUM(AL1502:AL1506)</f>
        <v>1330100</v>
      </c>
      <c r="AN1500" s="1057">
        <f>AM1500+AJ1500+AG1500</f>
        <v>502416100</v>
      </c>
      <c r="AO1500" s="1058"/>
      <c r="AP1500" s="1548">
        <f>(AG1500+AI1500)*15%</f>
        <v>71537400</v>
      </c>
      <c r="AQ1500" s="1058">
        <f>(AG1500+AI1500)*1%</f>
        <v>4769160</v>
      </c>
      <c r="AR1500" s="1548">
        <f>(AG1500+AI1500)*5%</f>
        <v>23845800</v>
      </c>
      <c r="AS1500" s="1058">
        <f>0.5%*(AG1500+AI1500)*(3)</f>
        <v>7153740</v>
      </c>
      <c r="AT1500" s="1057">
        <f>+AS1500+AR1500+AQ1500+AP1500+AO1500</f>
        <v>107306100</v>
      </c>
      <c r="AU1500" s="2015">
        <f>ROUND(AT1500+AN1500,-3)</f>
        <v>609722000</v>
      </c>
      <c r="AV1500" s="1812"/>
    </row>
    <row r="1501" spans="1:48" ht="16.5" customHeight="1">
      <c r="A1501" s="1640"/>
      <c r="B1501" s="1646" t="s">
        <v>16</v>
      </c>
      <c r="C1501" s="1647" t="s">
        <v>1173</v>
      </c>
      <c r="D1501" s="1625"/>
      <c r="E1501" s="1633"/>
      <c r="F1501" s="1648"/>
      <c r="G1501" s="1625" t="s">
        <v>16</v>
      </c>
      <c r="H1501" s="1625" t="s">
        <v>22</v>
      </c>
      <c r="I1501" s="1629"/>
      <c r="J1501" s="1630"/>
      <c r="K1501" s="1631"/>
      <c r="L1501" s="1245"/>
      <c r="M1501" s="1320"/>
      <c r="N1501" s="1632" t="s">
        <v>16</v>
      </c>
      <c r="O1501" s="1737" t="s">
        <v>21</v>
      </c>
      <c r="P1501" s="1634">
        <v>1</v>
      </c>
      <c r="Q1501" s="1632">
        <v>28</v>
      </c>
      <c r="R1501" s="1646"/>
      <c r="S1501" s="1625"/>
      <c r="T1501" s="1634"/>
      <c r="U1501" s="1635"/>
      <c r="V1501" s="1636"/>
      <c r="W1501" s="1714"/>
      <c r="X1501" s="1650"/>
      <c r="Y1501" s="1623"/>
      <c r="Z1501" s="1651"/>
      <c r="AA1501" s="1625"/>
      <c r="AB1501" s="1667"/>
      <c r="AC1501" s="1640"/>
      <c r="AD1501" s="1635"/>
      <c r="AE1501" s="1764"/>
      <c r="AF1501" s="1085"/>
      <c r="AG1501" s="1086"/>
      <c r="AH1501" s="1087">
        <v>350000</v>
      </c>
      <c r="AI1501" s="1089">
        <f>AH1501*Q1501*0.65</f>
        <v>6370000</v>
      </c>
      <c r="AJ1501" s="1768"/>
      <c r="AK1501" s="1089"/>
      <c r="AL1501" s="1090"/>
      <c r="AM1501" s="1086"/>
      <c r="AN1501" s="1086"/>
      <c r="AO1501" s="1087"/>
      <c r="AP1501" s="1764"/>
      <c r="AQ1501" s="1087"/>
      <c r="AR1501" s="1764"/>
      <c r="AS1501" s="1764"/>
      <c r="AT1501" s="1086"/>
      <c r="AU1501" s="1768"/>
      <c r="AV1501" s="1814"/>
    </row>
    <row r="1502" spans="1:48" ht="16.5" customHeight="1">
      <c r="A1502" s="1640"/>
      <c r="B1502" s="1646" t="s">
        <v>18</v>
      </c>
      <c r="C1502" s="1623" t="s">
        <v>38</v>
      </c>
      <c r="D1502" s="1625"/>
      <c r="E1502" s="1625"/>
      <c r="F1502" s="1648"/>
      <c r="G1502" s="1625" t="s">
        <v>18</v>
      </c>
      <c r="H1502" s="1625" t="s">
        <v>19</v>
      </c>
      <c r="I1502" s="1629"/>
      <c r="J1502" s="1630"/>
      <c r="K1502" s="1631"/>
      <c r="L1502" s="1245"/>
      <c r="M1502" s="1320"/>
      <c r="N1502" s="1632" t="s">
        <v>18</v>
      </c>
      <c r="O1502" s="1748" t="s">
        <v>17</v>
      </c>
      <c r="P1502" s="1634">
        <v>1</v>
      </c>
      <c r="Q1502" s="1632"/>
      <c r="R1502" s="1646" t="s">
        <v>16</v>
      </c>
      <c r="S1502" s="1625" t="s">
        <v>15</v>
      </c>
      <c r="T1502" s="1634">
        <v>5</v>
      </c>
      <c r="U1502" s="1635">
        <v>1</v>
      </c>
      <c r="V1502" s="1636" t="s">
        <v>14</v>
      </c>
      <c r="W1502" s="1714">
        <v>2</v>
      </c>
      <c r="X1502" s="1650"/>
      <c r="Y1502" s="1623"/>
      <c r="Z1502" s="1651">
        <f>SUM(W1502:Y1502)</f>
        <v>2</v>
      </c>
      <c r="AA1502" s="1625"/>
      <c r="AB1502" s="1667"/>
      <c r="AC1502" s="1640"/>
      <c r="AD1502" s="1635"/>
      <c r="AE1502" s="1764"/>
      <c r="AF1502" s="1085"/>
      <c r="AG1502" s="1086"/>
      <c r="AH1502" s="1087">
        <v>2500000</v>
      </c>
      <c r="AI1502" s="1089">
        <f>AH1502*P1502*0.5</f>
        <v>1250000</v>
      </c>
      <c r="AJ1502" s="1768"/>
      <c r="AK1502" s="1089">
        <v>350000</v>
      </c>
      <c r="AL1502" s="1087">
        <f t="shared" si="121"/>
        <v>700000</v>
      </c>
      <c r="AM1502" s="1086"/>
      <c r="AN1502" s="1086"/>
      <c r="AO1502" s="1087"/>
      <c r="AP1502" s="1764"/>
      <c r="AQ1502" s="1087"/>
      <c r="AR1502" s="1764"/>
      <c r="AS1502" s="1764"/>
      <c r="AT1502" s="1086"/>
      <c r="AU1502" s="1768"/>
      <c r="AV1502" s="1814"/>
    </row>
    <row r="1503" spans="1:48" ht="49.5" customHeight="1">
      <c r="A1503" s="1640"/>
      <c r="B1503" s="1658" t="s">
        <v>12</v>
      </c>
      <c r="C1503" s="1659" t="s">
        <v>1172</v>
      </c>
      <c r="D1503" s="1625"/>
      <c r="E1503" s="1625"/>
      <c r="F1503" s="1648"/>
      <c r="G1503" s="1625"/>
      <c r="H1503" s="1625"/>
      <c r="I1503" s="1629"/>
      <c r="J1503" s="1630"/>
      <c r="K1503" s="1631"/>
      <c r="L1503" s="1245"/>
      <c r="M1503" s="1320"/>
      <c r="N1503" s="1632" t="s">
        <v>12</v>
      </c>
      <c r="O1503" s="1737" t="s">
        <v>11</v>
      </c>
      <c r="P1503" s="1634">
        <v>2</v>
      </c>
      <c r="Q1503" s="1632"/>
      <c r="R1503" s="1646"/>
      <c r="S1503" s="1625"/>
      <c r="T1503" s="1634"/>
      <c r="U1503" s="1635">
        <v>2</v>
      </c>
      <c r="V1503" s="1636" t="s">
        <v>36</v>
      </c>
      <c r="W1503" s="1714">
        <v>3</v>
      </c>
      <c r="X1503" s="1650"/>
      <c r="Y1503" s="1623"/>
      <c r="Z1503" s="1651">
        <f>SUM(W1503:Y1503)</f>
        <v>3</v>
      </c>
      <c r="AA1503" s="1625"/>
      <c r="AB1503" s="1667"/>
      <c r="AC1503" s="1640"/>
      <c r="AD1503" s="1635"/>
      <c r="AE1503" s="1764"/>
      <c r="AF1503" s="1085"/>
      <c r="AG1503" s="1086"/>
      <c r="AH1503" s="1087">
        <v>2500000</v>
      </c>
      <c r="AI1503" s="1089">
        <f>AH1503*P1503*0.75</f>
        <v>3750000</v>
      </c>
      <c r="AJ1503" s="1768"/>
      <c r="AK1503" s="1089">
        <v>150000</v>
      </c>
      <c r="AL1503" s="1090">
        <f t="shared" si="121"/>
        <v>450000</v>
      </c>
      <c r="AM1503" s="1086"/>
      <c r="AN1503" s="1086"/>
      <c r="AO1503" s="1087"/>
      <c r="AP1503" s="1764"/>
      <c r="AQ1503" s="1087"/>
      <c r="AR1503" s="1764"/>
      <c r="AS1503" s="1764"/>
      <c r="AT1503" s="1086"/>
      <c r="AU1503" s="1768"/>
      <c r="AV1503" s="1814"/>
    </row>
    <row r="1504" spans="1:48" ht="33" customHeight="1">
      <c r="A1504" s="1640"/>
      <c r="B1504" s="1646" t="s">
        <v>8</v>
      </c>
      <c r="C1504" s="1716" t="s">
        <v>1171</v>
      </c>
      <c r="D1504" s="1625"/>
      <c r="E1504" s="1625"/>
      <c r="F1504" s="1648"/>
      <c r="G1504" s="1625"/>
      <c r="H1504" s="1625"/>
      <c r="I1504" s="1629"/>
      <c r="J1504" s="1630"/>
      <c r="K1504" s="1631"/>
      <c r="L1504" s="1245"/>
      <c r="M1504" s="1320"/>
      <c r="N1504" s="1632" t="s">
        <v>8</v>
      </c>
      <c r="O1504" s="1737" t="s">
        <v>175</v>
      </c>
      <c r="P1504" s="1634"/>
      <c r="Q1504" s="1632">
        <v>76</v>
      </c>
      <c r="R1504" s="1646"/>
      <c r="S1504" s="1625"/>
      <c r="T1504" s="1634"/>
      <c r="U1504" s="1635">
        <v>3</v>
      </c>
      <c r="V1504" s="1636" t="s">
        <v>10</v>
      </c>
      <c r="W1504" s="1714"/>
      <c r="X1504" s="1650">
        <v>1</v>
      </c>
      <c r="Y1504" s="1623"/>
      <c r="Z1504" s="1651">
        <f>SUM(W1504:Y1504)</f>
        <v>1</v>
      </c>
      <c r="AA1504" s="1625"/>
      <c r="AB1504" s="1667"/>
      <c r="AC1504" s="1640"/>
      <c r="AD1504" s="1635"/>
      <c r="AE1504" s="1764"/>
      <c r="AF1504" s="1085"/>
      <c r="AG1504" s="1086"/>
      <c r="AH1504" s="1087">
        <v>300000</v>
      </c>
      <c r="AI1504" s="1089">
        <f>AH1504*Q1504*0.5</f>
        <v>11400000</v>
      </c>
      <c r="AJ1504" s="1768"/>
      <c r="AK1504" s="1089">
        <v>35000</v>
      </c>
      <c r="AL1504" s="1090">
        <f t="shared" si="121"/>
        <v>0</v>
      </c>
      <c r="AM1504" s="1086"/>
      <c r="AN1504" s="1086"/>
      <c r="AO1504" s="1087"/>
      <c r="AP1504" s="1764"/>
      <c r="AQ1504" s="1087"/>
      <c r="AR1504" s="1764"/>
      <c r="AS1504" s="1764"/>
      <c r="AT1504" s="1086"/>
      <c r="AU1504" s="1768"/>
      <c r="AV1504" s="1814"/>
    </row>
    <row r="1505" spans="1:48" ht="33" customHeight="1">
      <c r="A1505" s="1640"/>
      <c r="B1505" s="1646"/>
      <c r="C1505" s="1623"/>
      <c r="D1505" s="1625"/>
      <c r="E1505" s="1625"/>
      <c r="F1505" s="1648"/>
      <c r="G1505" s="1625"/>
      <c r="H1505" s="1625"/>
      <c r="I1505" s="1629"/>
      <c r="J1505" s="1630"/>
      <c r="K1505" s="1631"/>
      <c r="L1505" s="1245"/>
      <c r="M1505" s="1320"/>
      <c r="N1505" s="1632" t="s">
        <v>54</v>
      </c>
      <c r="O1505" s="1737" t="s">
        <v>121</v>
      </c>
      <c r="P1505" s="1634"/>
      <c r="Q1505" s="1651">
        <v>14</v>
      </c>
      <c r="R1505" s="1646"/>
      <c r="S1505" s="1625"/>
      <c r="T1505" s="1634"/>
      <c r="U1505" s="1635">
        <v>4</v>
      </c>
      <c r="V1505" s="1636" t="s">
        <v>413</v>
      </c>
      <c r="W1505" s="1714">
        <v>2</v>
      </c>
      <c r="X1505" s="1650"/>
      <c r="Y1505" s="1623"/>
      <c r="Z1505" s="1651">
        <f>SUM(W1505:Y1505)</f>
        <v>2</v>
      </c>
      <c r="AA1505" s="1625"/>
      <c r="AB1505" s="1667"/>
      <c r="AC1505" s="1640"/>
      <c r="AD1505" s="1635"/>
      <c r="AE1505" s="1764"/>
      <c r="AF1505" s="1085"/>
      <c r="AG1505" s="1086"/>
      <c r="AH1505" s="1087">
        <v>200000</v>
      </c>
      <c r="AI1505" s="1089">
        <f>AH1505*Q1505*0.5</f>
        <v>1400000</v>
      </c>
      <c r="AJ1505" s="1768"/>
      <c r="AK1505" s="1089">
        <v>90000</v>
      </c>
      <c r="AL1505" s="1090">
        <f t="shared" si="121"/>
        <v>180000</v>
      </c>
      <c r="AM1505" s="1086"/>
      <c r="AN1505" s="1086"/>
      <c r="AO1505" s="1087"/>
      <c r="AP1505" s="1764"/>
      <c r="AQ1505" s="1087"/>
      <c r="AR1505" s="1764"/>
      <c r="AS1505" s="1764"/>
      <c r="AT1505" s="1086"/>
      <c r="AU1505" s="1768"/>
      <c r="AV1505" s="1814"/>
    </row>
    <row r="1506" spans="1:48" ht="16.5" customHeight="1">
      <c r="A1506" s="1640"/>
      <c r="B1506" s="1646"/>
      <c r="C1506" s="1623"/>
      <c r="D1506" s="1625"/>
      <c r="E1506" s="1625"/>
      <c r="F1506" s="1648"/>
      <c r="G1506" s="1625"/>
      <c r="H1506" s="1625"/>
      <c r="I1506" s="1629"/>
      <c r="J1506" s="1630"/>
      <c r="K1506" s="1631"/>
      <c r="L1506" s="1245"/>
      <c r="M1506" s="1320"/>
      <c r="N1506" s="1632"/>
      <c r="O1506" s="1647"/>
      <c r="P1506" s="1634"/>
      <c r="Q1506" s="1632"/>
      <c r="R1506" s="1646"/>
      <c r="S1506" s="1625"/>
      <c r="T1506" s="1634"/>
      <c r="U1506" s="1635">
        <v>5</v>
      </c>
      <c r="V1506" s="1636" t="s">
        <v>4</v>
      </c>
      <c r="W1506" s="1714"/>
      <c r="X1506" s="1650"/>
      <c r="Y1506" s="1623">
        <v>1</v>
      </c>
      <c r="Z1506" s="1651">
        <f>SUM(W1506:Y1506)</f>
        <v>1</v>
      </c>
      <c r="AA1506" s="1625"/>
      <c r="AB1506" s="1667"/>
      <c r="AC1506" s="1640"/>
      <c r="AD1506" s="1635"/>
      <c r="AE1506" s="1764"/>
      <c r="AF1506" s="1085"/>
      <c r="AG1506" s="1086"/>
      <c r="AH1506" s="1087"/>
      <c r="AI1506" s="1087"/>
      <c r="AJ1506" s="1768"/>
      <c r="AK1506" s="1089">
        <v>100</v>
      </c>
      <c r="AL1506" s="1090">
        <f>AK1506*Y1506</f>
        <v>100</v>
      </c>
      <c r="AM1506" s="1086"/>
      <c r="AN1506" s="1086"/>
      <c r="AO1506" s="1087"/>
      <c r="AP1506" s="1764"/>
      <c r="AQ1506" s="1087"/>
      <c r="AR1506" s="1764"/>
      <c r="AS1506" s="1764"/>
      <c r="AT1506" s="1086"/>
      <c r="AU1506" s="1768"/>
      <c r="AV1506" s="1814"/>
    </row>
    <row r="1507" spans="1:48" ht="33" customHeight="1">
      <c r="A1507" s="1640"/>
      <c r="B1507" s="1646"/>
      <c r="C1507" s="1623"/>
      <c r="D1507" s="1625"/>
      <c r="E1507" s="1625"/>
      <c r="F1507" s="1648"/>
      <c r="G1507" s="1625"/>
      <c r="H1507" s="1625"/>
      <c r="I1507" s="1629"/>
      <c r="J1507" s="1630"/>
      <c r="K1507" s="1631"/>
      <c r="L1507" s="1245"/>
      <c r="M1507" s="1320"/>
      <c r="N1507" s="1632"/>
      <c r="O1507" s="1647"/>
      <c r="P1507" s="1634"/>
      <c r="Q1507" s="1632"/>
      <c r="R1507" s="1646"/>
      <c r="S1507" s="1625"/>
      <c r="T1507" s="1634"/>
      <c r="U1507" s="1635"/>
      <c r="V1507" s="1636"/>
      <c r="W1507" s="1714"/>
      <c r="X1507" s="1650"/>
      <c r="Y1507" s="1623"/>
      <c r="Z1507" s="1651"/>
      <c r="AA1507" s="1625"/>
      <c r="AB1507" s="1667"/>
      <c r="AC1507" s="1640"/>
      <c r="AD1507" s="1635"/>
      <c r="AE1507" s="1764"/>
      <c r="AF1507" s="1085"/>
      <c r="AG1507" s="1086"/>
      <c r="AH1507" s="1087"/>
      <c r="AI1507" s="1087"/>
      <c r="AJ1507" s="1768"/>
      <c r="AK1507" s="1089"/>
      <c r="AL1507" s="1090"/>
      <c r="AM1507" s="1086"/>
      <c r="AN1507" s="1086"/>
      <c r="AO1507" s="1087"/>
      <c r="AP1507" s="1764"/>
      <c r="AQ1507" s="1087"/>
      <c r="AR1507" s="1764"/>
      <c r="AS1507" s="1764"/>
      <c r="AT1507" s="1086"/>
      <c r="AU1507" s="1768"/>
      <c r="AV1507" s="1814"/>
    </row>
    <row r="1508" spans="1:48" ht="16.5" customHeight="1">
      <c r="A1508" s="1640"/>
      <c r="B1508" s="1646"/>
      <c r="C1508" s="1623"/>
      <c r="D1508" s="1625"/>
      <c r="E1508" s="1625"/>
      <c r="F1508" s="1648"/>
      <c r="G1508" s="1625"/>
      <c r="H1508" s="1625"/>
      <c r="I1508" s="1629"/>
      <c r="J1508" s="1630"/>
      <c r="K1508" s="1631"/>
      <c r="L1508" s="1245"/>
      <c r="M1508" s="1320"/>
      <c r="N1508" s="1632"/>
      <c r="O1508" s="1647"/>
      <c r="P1508" s="1634"/>
      <c r="Q1508" s="1632"/>
      <c r="R1508" s="1646"/>
      <c r="S1508" s="1625"/>
      <c r="T1508" s="1634"/>
      <c r="U1508" s="1635"/>
      <c r="V1508" s="1636"/>
      <c r="W1508" s="1714"/>
      <c r="X1508" s="1650"/>
      <c r="Y1508" s="1623"/>
      <c r="Z1508" s="1651"/>
      <c r="AA1508" s="1625"/>
      <c r="AB1508" s="1667"/>
      <c r="AC1508" s="1640"/>
      <c r="AD1508" s="1635"/>
      <c r="AE1508" s="1764"/>
      <c r="AF1508" s="1085"/>
      <c r="AG1508" s="1086"/>
      <c r="AH1508" s="1087"/>
      <c r="AI1508" s="1087"/>
      <c r="AJ1508" s="1768"/>
      <c r="AK1508" s="1089"/>
      <c r="AL1508" s="1090"/>
      <c r="AM1508" s="1086"/>
      <c r="AN1508" s="1086"/>
      <c r="AO1508" s="1087"/>
      <c r="AP1508" s="1764"/>
      <c r="AQ1508" s="1087"/>
      <c r="AR1508" s="1764"/>
      <c r="AS1508" s="1764"/>
      <c r="AT1508" s="1086"/>
      <c r="AU1508" s="1768"/>
      <c r="AV1508" s="1814"/>
    </row>
    <row r="1509" spans="1:48" ht="16.5" customHeight="1">
      <c r="A1509" s="1640"/>
      <c r="B1509" s="1665"/>
      <c r="C1509" s="1666"/>
      <c r="D1509" s="1625"/>
      <c r="E1509" s="1628"/>
      <c r="F1509" s="1648"/>
      <c r="G1509" s="1625"/>
      <c r="H1509" s="1667"/>
      <c r="I1509" s="1629"/>
      <c r="J1509" s="1630"/>
      <c r="K1509" s="1631"/>
      <c r="L1509" s="1245"/>
      <c r="M1509" s="1320"/>
      <c r="N1509" s="1632"/>
      <c r="O1509" s="1647"/>
      <c r="P1509" s="1634"/>
      <c r="Q1509" s="1632"/>
      <c r="R1509" s="1646"/>
      <c r="S1509" s="1625"/>
      <c r="T1509" s="1634"/>
      <c r="U1509" s="1635"/>
      <c r="V1509" s="1636"/>
      <c r="W1509" s="1714"/>
      <c r="X1509" s="1650"/>
      <c r="Y1509" s="1623"/>
      <c r="Z1509" s="1651"/>
      <c r="AA1509" s="1625"/>
      <c r="AB1509" s="1667"/>
      <c r="AC1509" s="1640"/>
      <c r="AD1509" s="1635"/>
      <c r="AE1509" s="1764"/>
      <c r="AF1509" s="1085"/>
      <c r="AG1509" s="1086"/>
      <c r="AH1509" s="1087"/>
      <c r="AI1509" s="1087"/>
      <c r="AJ1509" s="1768"/>
      <c r="AK1509" s="1089"/>
      <c r="AL1509" s="1090"/>
      <c r="AM1509" s="1086"/>
      <c r="AN1509" s="1086"/>
      <c r="AO1509" s="1087"/>
      <c r="AP1509" s="1764"/>
      <c r="AQ1509" s="1087"/>
      <c r="AR1509" s="1764"/>
      <c r="AS1509" s="1764"/>
      <c r="AT1509" s="1086"/>
      <c r="AU1509" s="1768"/>
      <c r="AV1509" s="1814"/>
    </row>
    <row r="1510" spans="1:48" ht="16.5" customHeight="1">
      <c r="A1510" s="1640"/>
      <c r="B1510" s="1658"/>
      <c r="C1510" s="1659"/>
      <c r="D1510" s="1625"/>
      <c r="E1510" s="1628"/>
      <c r="F1510" s="1648"/>
      <c r="G1510" s="1625"/>
      <c r="H1510" s="1667"/>
      <c r="I1510" s="1629"/>
      <c r="J1510" s="1630"/>
      <c r="K1510" s="1631"/>
      <c r="L1510" s="1245"/>
      <c r="M1510" s="1320"/>
      <c r="N1510" s="1632"/>
      <c r="O1510" s="1647"/>
      <c r="P1510" s="1634"/>
      <c r="Q1510" s="1632"/>
      <c r="R1510" s="1646"/>
      <c r="S1510" s="1625"/>
      <c r="T1510" s="1634"/>
      <c r="U1510" s="1635"/>
      <c r="V1510" s="1636"/>
      <c r="W1510" s="1714"/>
      <c r="X1510" s="1650"/>
      <c r="Y1510" s="1623"/>
      <c r="Z1510" s="1651"/>
      <c r="AA1510" s="1625"/>
      <c r="AB1510" s="1667"/>
      <c r="AC1510" s="1640"/>
      <c r="AD1510" s="1635"/>
      <c r="AE1510" s="1764"/>
      <c r="AF1510" s="1085"/>
      <c r="AG1510" s="1086"/>
      <c r="AH1510" s="1087"/>
      <c r="AI1510" s="1087"/>
      <c r="AJ1510" s="1768"/>
      <c r="AK1510" s="1089"/>
      <c r="AL1510" s="1090"/>
      <c r="AM1510" s="1086"/>
      <c r="AN1510" s="1086"/>
      <c r="AO1510" s="1087"/>
      <c r="AP1510" s="1764"/>
      <c r="AQ1510" s="1087"/>
      <c r="AR1510" s="1764"/>
      <c r="AS1510" s="1764"/>
      <c r="AT1510" s="1086"/>
      <c r="AU1510" s="1768"/>
      <c r="AV1510" s="1814"/>
    </row>
    <row r="1511" spans="1:48" ht="16.5" customHeight="1">
      <c r="A1511" s="1673"/>
      <c r="B1511" s="1674"/>
      <c r="C1511" s="1675"/>
      <c r="D1511" s="1676"/>
      <c r="E1511" s="1677"/>
      <c r="F1511" s="1678"/>
      <c r="G1511" s="1676"/>
      <c r="H1511" s="1679"/>
      <c r="I1511" s="1680"/>
      <c r="J1511" s="1681"/>
      <c r="K1511" s="1682"/>
      <c r="L1511" s="1270"/>
      <c r="M1511" s="1549"/>
      <c r="N1511" s="1683"/>
      <c r="O1511" s="1781"/>
      <c r="P1511" s="1685"/>
      <c r="Q1511" s="1683"/>
      <c r="R1511" s="1686"/>
      <c r="S1511" s="1676"/>
      <c r="T1511" s="1685"/>
      <c r="U1511" s="1773"/>
      <c r="V1511" s="1718"/>
      <c r="W1511" s="1719"/>
      <c r="X1511" s="1720"/>
      <c r="Y1511" s="1721"/>
      <c r="Z1511" s="1787"/>
      <c r="AA1511" s="1676"/>
      <c r="AB1511" s="1679"/>
      <c r="AC1511" s="1673"/>
      <c r="AD1511" s="1773"/>
      <c r="AE1511" s="1774"/>
      <c r="AF1511" s="1115"/>
      <c r="AG1511" s="1116"/>
      <c r="AH1511" s="1117"/>
      <c r="AI1511" s="1117"/>
      <c r="AJ1511" s="1775"/>
      <c r="AK1511" s="1119"/>
      <c r="AL1511" s="1120"/>
      <c r="AM1511" s="1116"/>
      <c r="AN1511" s="1116"/>
      <c r="AO1511" s="1117"/>
      <c r="AP1511" s="1774"/>
      <c r="AQ1511" s="1117"/>
      <c r="AR1511" s="1774"/>
      <c r="AS1511" s="1774"/>
      <c r="AT1511" s="1116"/>
      <c r="AU1511" s="1775"/>
      <c r="AV1511" s="1820"/>
    </row>
    <row r="1512" spans="1:48" ht="16.5" customHeight="1">
      <c r="A1512" s="1621">
        <v>117</v>
      </c>
      <c r="B1512" s="1622" t="s">
        <v>25</v>
      </c>
      <c r="C1512" s="1623" t="s">
        <v>1170</v>
      </c>
      <c r="D1512" s="1624"/>
      <c r="E1512" s="1625"/>
      <c r="F1512" s="1648" t="s">
        <v>1169</v>
      </c>
      <c r="G1512" s="1627" t="s">
        <v>25</v>
      </c>
      <c r="H1512" s="1628" t="s">
        <v>42</v>
      </c>
      <c r="I1512" s="1816">
        <v>355</v>
      </c>
      <c r="J1512" s="1630" t="s">
        <v>41</v>
      </c>
      <c r="K1512" s="1631" t="s">
        <v>1168</v>
      </c>
      <c r="L1512" s="1245"/>
      <c r="M1512" s="1320"/>
      <c r="N1512" s="1632"/>
      <c r="O1512" s="1647"/>
      <c r="P1512" s="1634"/>
      <c r="Q1512" s="1632"/>
      <c r="R1512" s="1622" t="s">
        <v>25</v>
      </c>
      <c r="S1512" s="1625" t="s">
        <v>24</v>
      </c>
      <c r="T1512" s="1634"/>
      <c r="U1512" s="1635"/>
      <c r="V1512" s="1636"/>
      <c r="W1512" s="1714"/>
      <c r="X1512" s="1650"/>
      <c r="Y1512" s="1623"/>
      <c r="Z1512" s="1651"/>
      <c r="AA1512" s="1625"/>
      <c r="AB1512" s="1667"/>
      <c r="AC1512" s="1640"/>
      <c r="AD1512" s="1635"/>
      <c r="AE1512" s="1764"/>
      <c r="AF1512" s="1085">
        <f>+Resum!F4</f>
        <v>204000</v>
      </c>
      <c r="AG1512" s="1086">
        <f>AF1512*I1512</f>
        <v>72420000</v>
      </c>
      <c r="AH1512" s="1087"/>
      <c r="AI1512" s="1087"/>
      <c r="AJ1512" s="1768"/>
      <c r="AK1512" s="1089"/>
      <c r="AL1512" s="1090"/>
      <c r="AM1512" s="1086">
        <f>SUM(AL1513:AL1516)</f>
        <v>915000</v>
      </c>
      <c r="AN1512" s="1086">
        <f>AM1512+AJ1512+AG1512</f>
        <v>73335000</v>
      </c>
      <c r="AO1512" s="1087"/>
      <c r="AP1512" s="1136">
        <f>AI1513*15%</f>
        <v>0</v>
      </c>
      <c r="AQ1512" s="1087">
        <v>0</v>
      </c>
      <c r="AR1512" s="1136">
        <f>(AG1512+AI1512)*5%</f>
        <v>3621000</v>
      </c>
      <c r="AS1512" s="1087">
        <f>0.5%*(AG1512+AI1512)*(3)</f>
        <v>1086300</v>
      </c>
      <c r="AT1512" s="1086">
        <f>+AS1512+AR1512+AQ1512+AP1512+AO1512</f>
        <v>4707300</v>
      </c>
      <c r="AU1512" s="1137">
        <f>ROUND(AT1512+AN1512,-3)</f>
        <v>78042000</v>
      </c>
      <c r="AV1512" s="1812"/>
    </row>
    <row r="1513" spans="1:48" ht="16.5" customHeight="1">
      <c r="A1513" s="1640"/>
      <c r="B1513" s="1646" t="s">
        <v>16</v>
      </c>
      <c r="C1513" s="1647" t="s">
        <v>1167</v>
      </c>
      <c r="D1513" s="1625"/>
      <c r="E1513" s="1633"/>
      <c r="F1513" s="1648"/>
      <c r="G1513" s="1625" t="s">
        <v>16</v>
      </c>
      <c r="H1513" s="1625" t="s">
        <v>22</v>
      </c>
      <c r="I1513" s="1629"/>
      <c r="J1513" s="1630"/>
      <c r="K1513" s="1631"/>
      <c r="L1513" s="1245"/>
      <c r="M1513" s="1320"/>
      <c r="N1513" s="1632"/>
      <c r="O1513" s="1647"/>
      <c r="P1513" s="1634"/>
      <c r="Q1513" s="1632"/>
      <c r="R1513" s="1646"/>
      <c r="S1513" s="1625"/>
      <c r="T1513" s="1634"/>
      <c r="U1513" s="1635"/>
      <c r="V1513" s="1636"/>
      <c r="W1513" s="1714"/>
      <c r="X1513" s="1650"/>
      <c r="Y1513" s="1623"/>
      <c r="Z1513" s="1651"/>
      <c r="AA1513" s="1625"/>
      <c r="AB1513" s="1667"/>
      <c r="AC1513" s="1640"/>
      <c r="AD1513" s="1635"/>
      <c r="AE1513" s="1764"/>
      <c r="AF1513" s="1085"/>
      <c r="AG1513" s="1086"/>
      <c r="AH1513" s="1087"/>
      <c r="AI1513" s="1087"/>
      <c r="AJ1513" s="1768"/>
      <c r="AK1513" s="1089"/>
      <c r="AL1513" s="1090"/>
      <c r="AM1513" s="1086"/>
      <c r="AN1513" s="1086"/>
      <c r="AO1513" s="1087"/>
      <c r="AP1513" s="1764"/>
      <c r="AQ1513" s="1087"/>
      <c r="AR1513" s="1764"/>
      <c r="AS1513" s="1764"/>
      <c r="AT1513" s="1086"/>
      <c r="AU1513" s="1768"/>
      <c r="AV1513" s="1814"/>
    </row>
    <row r="1514" spans="1:48" ht="16.5" customHeight="1">
      <c r="A1514" s="1640"/>
      <c r="B1514" s="1646" t="s">
        <v>18</v>
      </c>
      <c r="C1514" s="1623" t="s">
        <v>38</v>
      </c>
      <c r="D1514" s="1625"/>
      <c r="E1514" s="1625"/>
      <c r="F1514" s="1648"/>
      <c r="G1514" s="1625" t="s">
        <v>18</v>
      </c>
      <c r="H1514" s="1625" t="s">
        <v>19</v>
      </c>
      <c r="I1514" s="1629"/>
      <c r="J1514" s="1630"/>
      <c r="K1514" s="1631"/>
      <c r="L1514" s="1245"/>
      <c r="M1514" s="1320"/>
      <c r="N1514" s="1632"/>
      <c r="O1514" s="1647"/>
      <c r="P1514" s="1634"/>
      <c r="Q1514" s="1632"/>
      <c r="R1514" s="1646" t="s">
        <v>16</v>
      </c>
      <c r="S1514" s="1625" t="s">
        <v>15</v>
      </c>
      <c r="T1514" s="1634">
        <v>3</v>
      </c>
      <c r="U1514" s="1635">
        <v>1</v>
      </c>
      <c r="V1514" s="1636" t="s">
        <v>14</v>
      </c>
      <c r="W1514" s="1714">
        <v>2</v>
      </c>
      <c r="X1514" s="1650"/>
      <c r="Y1514" s="1623"/>
      <c r="Z1514" s="1651">
        <f>SUM(W1514:Y1514)</f>
        <v>2</v>
      </c>
      <c r="AA1514" s="1625"/>
      <c r="AB1514" s="1667"/>
      <c r="AC1514" s="1640"/>
      <c r="AD1514" s="1635"/>
      <c r="AE1514" s="1764"/>
      <c r="AF1514" s="1085"/>
      <c r="AG1514" s="1086"/>
      <c r="AH1514" s="1087"/>
      <c r="AI1514" s="1087"/>
      <c r="AJ1514" s="1768"/>
      <c r="AK1514" s="1089">
        <v>350000</v>
      </c>
      <c r="AL1514" s="1087">
        <f t="shared" si="121"/>
        <v>700000</v>
      </c>
      <c r="AM1514" s="1086"/>
      <c r="AN1514" s="1086"/>
      <c r="AO1514" s="1087"/>
      <c r="AP1514" s="1764"/>
      <c r="AQ1514" s="1087"/>
      <c r="AR1514" s="1764"/>
      <c r="AS1514" s="1764"/>
      <c r="AT1514" s="1086"/>
      <c r="AU1514" s="1768"/>
      <c r="AV1514" s="1814"/>
    </row>
    <row r="1515" spans="1:48" ht="49.5" customHeight="1">
      <c r="A1515" s="1640"/>
      <c r="B1515" s="1658" t="s">
        <v>12</v>
      </c>
      <c r="C1515" s="1659" t="s">
        <v>1141</v>
      </c>
      <c r="D1515" s="1625"/>
      <c r="E1515" s="1628"/>
      <c r="F1515" s="1648"/>
      <c r="G1515" s="1625"/>
      <c r="H1515" s="1667"/>
      <c r="I1515" s="1629"/>
      <c r="J1515" s="1630"/>
      <c r="K1515" s="1631"/>
      <c r="L1515" s="1245"/>
      <c r="M1515" s="1320"/>
      <c r="N1515" s="1632"/>
      <c r="O1515" s="1647"/>
      <c r="P1515" s="1634"/>
      <c r="Q1515" s="1632"/>
      <c r="R1515" s="1646"/>
      <c r="S1515" s="1625"/>
      <c r="T1515" s="1634"/>
      <c r="U1515" s="1635">
        <v>2</v>
      </c>
      <c r="V1515" s="1636" t="s">
        <v>10</v>
      </c>
      <c r="W1515" s="1714"/>
      <c r="X1515" s="1650">
        <v>1</v>
      </c>
      <c r="Y1515" s="1623"/>
      <c r="Z1515" s="1651">
        <f>SUM(W1515:Y1515)</f>
        <v>1</v>
      </c>
      <c r="AA1515" s="1625"/>
      <c r="AB1515" s="1667"/>
      <c r="AC1515" s="1640"/>
      <c r="AD1515" s="1635"/>
      <c r="AE1515" s="1764"/>
      <c r="AF1515" s="1085"/>
      <c r="AG1515" s="1086"/>
      <c r="AH1515" s="1087"/>
      <c r="AI1515" s="1087"/>
      <c r="AJ1515" s="1768"/>
      <c r="AK1515" s="1089">
        <v>35000</v>
      </c>
      <c r="AL1515" s="1090">
        <f>AK1515*X1515</f>
        <v>35000</v>
      </c>
      <c r="AM1515" s="1086"/>
      <c r="AN1515" s="1086"/>
      <c r="AO1515" s="1087"/>
      <c r="AP1515" s="1764"/>
      <c r="AQ1515" s="1087"/>
      <c r="AR1515" s="1764"/>
      <c r="AS1515" s="1764"/>
      <c r="AT1515" s="1086"/>
      <c r="AU1515" s="1768"/>
      <c r="AV1515" s="1814"/>
    </row>
    <row r="1516" spans="1:48" ht="16.5" customHeight="1">
      <c r="A1516" s="1673"/>
      <c r="B1516" s="1686" t="s">
        <v>8</v>
      </c>
      <c r="C1516" s="1819" t="s">
        <v>1166</v>
      </c>
      <c r="D1516" s="1676"/>
      <c r="E1516" s="1677"/>
      <c r="F1516" s="1678"/>
      <c r="G1516" s="1676"/>
      <c r="H1516" s="1679"/>
      <c r="I1516" s="1680"/>
      <c r="J1516" s="1681"/>
      <c r="K1516" s="1682"/>
      <c r="L1516" s="1245"/>
      <c r="M1516" s="1320"/>
      <c r="N1516" s="1632"/>
      <c r="O1516" s="1647"/>
      <c r="P1516" s="1634"/>
      <c r="Q1516" s="1632"/>
      <c r="R1516" s="1646"/>
      <c r="S1516" s="1625"/>
      <c r="T1516" s="1634"/>
      <c r="U1516" s="1635">
        <v>3</v>
      </c>
      <c r="V1516" s="1636" t="s">
        <v>413</v>
      </c>
      <c r="W1516" s="1714">
        <v>2</v>
      </c>
      <c r="X1516" s="1650"/>
      <c r="Y1516" s="1721"/>
      <c r="Z1516" s="1787">
        <f>SUM(W1516:Y1516)</f>
        <v>2</v>
      </c>
      <c r="AA1516" s="1676"/>
      <c r="AB1516" s="1679"/>
      <c r="AC1516" s="1673"/>
      <c r="AD1516" s="1773"/>
      <c r="AE1516" s="1774"/>
      <c r="AF1516" s="1115"/>
      <c r="AG1516" s="1116"/>
      <c r="AH1516" s="1117"/>
      <c r="AI1516" s="1117"/>
      <c r="AJ1516" s="1775"/>
      <c r="AK1516" s="1119">
        <v>90000</v>
      </c>
      <c r="AL1516" s="1120">
        <f t="shared" si="121"/>
        <v>180000</v>
      </c>
      <c r="AM1516" s="1116"/>
      <c r="AN1516" s="1116"/>
      <c r="AO1516" s="1117"/>
      <c r="AP1516" s="1774"/>
      <c r="AQ1516" s="1117"/>
      <c r="AR1516" s="1774"/>
      <c r="AS1516" s="1774"/>
      <c r="AT1516" s="1116"/>
      <c r="AU1516" s="1775"/>
      <c r="AV1516" s="1820"/>
    </row>
    <row r="1517" spans="1:48" ht="33" customHeight="1">
      <c r="A1517" s="1698">
        <v>118</v>
      </c>
      <c r="B1517" s="1699" t="s">
        <v>25</v>
      </c>
      <c r="C1517" s="1700" t="s">
        <v>1165</v>
      </c>
      <c r="D1517" s="1701"/>
      <c r="E1517" s="1702"/>
      <c r="F1517" s="1730" t="s">
        <v>1164</v>
      </c>
      <c r="G1517" s="1704" t="s">
        <v>25</v>
      </c>
      <c r="H1517" s="1705" t="s">
        <v>42</v>
      </c>
      <c r="I1517" s="1706">
        <v>858</v>
      </c>
      <c r="J1517" s="1630" t="s">
        <v>41</v>
      </c>
      <c r="K1517" s="1722" t="s">
        <v>1163</v>
      </c>
      <c r="L1517" s="1373"/>
      <c r="M1517" s="1317"/>
      <c r="N1517" s="1707"/>
      <c r="O1517" s="1920"/>
      <c r="P1517" s="1709"/>
      <c r="Q1517" s="1707"/>
      <c r="R1517" s="1699" t="s">
        <v>25</v>
      </c>
      <c r="S1517" s="1702" t="s">
        <v>24</v>
      </c>
      <c r="T1517" s="1709"/>
      <c r="U1517" s="1766"/>
      <c r="V1517" s="1641"/>
      <c r="W1517" s="1713"/>
      <c r="X1517" s="1713"/>
      <c r="Y1517" s="1785"/>
      <c r="Z1517" s="1761"/>
      <c r="AA1517" s="1702"/>
      <c r="AB1517" s="1809"/>
      <c r="AC1517" s="1641"/>
      <c r="AD1517" s="1710"/>
      <c r="AE1517" s="1766"/>
      <c r="AF1517" s="1056">
        <f>Resum!F1</f>
        <v>356000</v>
      </c>
      <c r="AG1517" s="1086">
        <f>AF1517*I1517</f>
        <v>305448000</v>
      </c>
      <c r="AH1517" s="1058"/>
      <c r="AI1517" s="1058"/>
      <c r="AJ1517" s="1767"/>
      <c r="AK1517" s="1060"/>
      <c r="AL1517" s="1090"/>
      <c r="AM1517" s="1057">
        <f>SUM(AL1518:AL1524)</f>
        <v>2865500</v>
      </c>
      <c r="AN1517" s="1086">
        <f>AM1517+AJ1517+AG1517</f>
        <v>308313500</v>
      </c>
      <c r="AO1517" s="1058"/>
      <c r="AP1517" s="1136">
        <f>AI1518*15%</f>
        <v>0</v>
      </c>
      <c r="AQ1517" s="1087">
        <v>0</v>
      </c>
      <c r="AR1517" s="1136">
        <f>(AG1517+AI1517)*5%</f>
        <v>15272400</v>
      </c>
      <c r="AS1517" s="1087">
        <f>0.5%*(AG1517+AI1517)*(3)</f>
        <v>4581720</v>
      </c>
      <c r="AT1517" s="1086">
        <f>+AS1517+AR1517+AQ1517+AP1517+AO1517</f>
        <v>19854120</v>
      </c>
      <c r="AU1517" s="1137">
        <f>ROUND(AT1517+AN1517,-3)</f>
        <v>328168000</v>
      </c>
      <c r="AV1517" s="1812"/>
    </row>
    <row r="1518" spans="1:48" ht="16.5" customHeight="1">
      <c r="A1518" s="1640"/>
      <c r="B1518" s="1646" t="s">
        <v>16</v>
      </c>
      <c r="C1518" s="1647" t="s">
        <v>1162</v>
      </c>
      <c r="D1518" s="1625"/>
      <c r="E1518" s="1633"/>
      <c r="F1518" s="1648"/>
      <c r="G1518" s="1625" t="s">
        <v>16</v>
      </c>
      <c r="H1518" s="1625" t="s">
        <v>22</v>
      </c>
      <c r="I1518" s="1629"/>
      <c r="J1518" s="1630"/>
      <c r="K1518" s="1631"/>
      <c r="L1518" s="1245"/>
      <c r="M1518" s="1320"/>
      <c r="N1518" s="1632"/>
      <c r="O1518" s="1647"/>
      <c r="P1518" s="1634"/>
      <c r="Q1518" s="1632"/>
      <c r="R1518" s="1646"/>
      <c r="S1518" s="1625"/>
      <c r="T1518" s="1634"/>
      <c r="U1518" s="1764">
        <v>1</v>
      </c>
      <c r="V1518" s="1636" t="s">
        <v>14</v>
      </c>
      <c r="W1518" s="1650">
        <v>6</v>
      </c>
      <c r="X1518" s="1650"/>
      <c r="Y1518" s="1765"/>
      <c r="Z1518" s="1651"/>
      <c r="AA1518" s="1625"/>
      <c r="AB1518" s="1667"/>
      <c r="AC1518" s="1640"/>
      <c r="AD1518" s="1635"/>
      <c r="AE1518" s="1764"/>
      <c r="AF1518" s="1085"/>
      <c r="AG1518" s="1086"/>
      <c r="AH1518" s="1087"/>
      <c r="AI1518" s="1087"/>
      <c r="AJ1518" s="1768"/>
      <c r="AK1518" s="1089">
        <v>350000</v>
      </c>
      <c r="AL1518" s="1087">
        <f t="shared" si="121"/>
        <v>2100000</v>
      </c>
      <c r="AM1518" s="1086"/>
      <c r="AN1518" s="1086"/>
      <c r="AO1518" s="1087"/>
      <c r="AP1518" s="1764"/>
      <c r="AQ1518" s="1087"/>
      <c r="AR1518" s="1764"/>
      <c r="AS1518" s="1764"/>
      <c r="AT1518" s="1086"/>
      <c r="AU1518" s="1768"/>
      <c r="AV1518" s="1814"/>
    </row>
    <row r="1519" spans="1:48" ht="16.5" customHeight="1">
      <c r="A1519" s="1640"/>
      <c r="B1519" s="1646" t="s">
        <v>18</v>
      </c>
      <c r="C1519" s="1623" t="s">
        <v>38</v>
      </c>
      <c r="D1519" s="1625"/>
      <c r="E1519" s="1625"/>
      <c r="F1519" s="1648"/>
      <c r="G1519" s="1625" t="s">
        <v>18</v>
      </c>
      <c r="H1519" s="1625" t="s">
        <v>19</v>
      </c>
      <c r="I1519" s="1629"/>
      <c r="J1519" s="1630"/>
      <c r="K1519" s="1631"/>
      <c r="L1519" s="1245"/>
      <c r="M1519" s="1320"/>
      <c r="N1519" s="1632"/>
      <c r="O1519" s="1647"/>
      <c r="P1519" s="1634"/>
      <c r="Q1519" s="1632"/>
      <c r="R1519" s="1646" t="s">
        <v>16</v>
      </c>
      <c r="S1519" s="1625" t="s">
        <v>15</v>
      </c>
      <c r="T1519" s="1634">
        <v>6</v>
      </c>
      <c r="U1519" s="1764">
        <v>2</v>
      </c>
      <c r="V1519" s="1636" t="s">
        <v>36</v>
      </c>
      <c r="W1519" s="1650">
        <v>2</v>
      </c>
      <c r="X1519" s="1650"/>
      <c r="Y1519" s="1765"/>
      <c r="Z1519" s="1651">
        <f t="shared" ref="Z1519:Z1524" si="124">SUM(W1519:Y1519)</f>
        <v>2</v>
      </c>
      <c r="AA1519" s="1625"/>
      <c r="AB1519" s="1667"/>
      <c r="AC1519" s="1640"/>
      <c r="AD1519" s="1635"/>
      <c r="AE1519" s="1764"/>
      <c r="AF1519" s="1085"/>
      <c r="AG1519" s="1086"/>
      <c r="AH1519" s="1087"/>
      <c r="AI1519" s="1087"/>
      <c r="AJ1519" s="1768"/>
      <c r="AK1519" s="1089">
        <v>150000</v>
      </c>
      <c r="AL1519" s="1090">
        <f t="shared" si="121"/>
        <v>300000</v>
      </c>
      <c r="AM1519" s="1086"/>
      <c r="AN1519" s="1086"/>
      <c r="AO1519" s="1087"/>
      <c r="AP1519" s="1764"/>
      <c r="AQ1519" s="1087"/>
      <c r="AR1519" s="1764"/>
      <c r="AS1519" s="1764"/>
      <c r="AT1519" s="1086"/>
      <c r="AU1519" s="1768"/>
      <c r="AV1519" s="1814"/>
    </row>
    <row r="1520" spans="1:48" ht="66" customHeight="1">
      <c r="A1520" s="1640"/>
      <c r="B1520" s="1658" t="s">
        <v>12</v>
      </c>
      <c r="C1520" s="1659" t="s">
        <v>1161</v>
      </c>
      <c r="D1520" s="1625"/>
      <c r="E1520" s="1625"/>
      <c r="F1520" s="1648"/>
      <c r="G1520" s="1625"/>
      <c r="H1520" s="1625"/>
      <c r="I1520" s="1629"/>
      <c r="J1520" s="1630"/>
      <c r="K1520" s="1631"/>
      <c r="L1520" s="1245"/>
      <c r="M1520" s="1320"/>
      <c r="N1520" s="1632"/>
      <c r="O1520" s="1647"/>
      <c r="P1520" s="1634"/>
      <c r="Q1520" s="1632"/>
      <c r="R1520" s="1646"/>
      <c r="S1520" s="1625"/>
      <c r="T1520" s="1634"/>
      <c r="U1520" s="1635">
        <v>3</v>
      </c>
      <c r="V1520" s="1636" t="s">
        <v>413</v>
      </c>
      <c r="W1520" s="1714">
        <v>2</v>
      </c>
      <c r="X1520" s="1650"/>
      <c r="Y1520" s="1623"/>
      <c r="Z1520" s="1651">
        <f t="shared" si="124"/>
        <v>2</v>
      </c>
      <c r="AA1520" s="1625"/>
      <c r="AB1520" s="1667"/>
      <c r="AC1520" s="1640"/>
      <c r="AD1520" s="1635"/>
      <c r="AE1520" s="1764"/>
      <c r="AF1520" s="1085"/>
      <c r="AG1520" s="1086"/>
      <c r="AH1520" s="1087"/>
      <c r="AI1520" s="1087"/>
      <c r="AJ1520" s="1768"/>
      <c r="AK1520" s="1089">
        <v>90000</v>
      </c>
      <c r="AL1520" s="1090">
        <f t="shared" si="121"/>
        <v>180000</v>
      </c>
      <c r="AM1520" s="1086"/>
      <c r="AN1520" s="1086"/>
      <c r="AO1520" s="1087"/>
      <c r="AP1520" s="1764"/>
      <c r="AQ1520" s="1087"/>
      <c r="AR1520" s="1764"/>
      <c r="AS1520" s="1764"/>
      <c r="AT1520" s="1086"/>
      <c r="AU1520" s="1768"/>
      <c r="AV1520" s="1814"/>
    </row>
    <row r="1521" spans="1:48" ht="16.5" customHeight="1">
      <c r="A1521" s="1640"/>
      <c r="B1521" s="1658" t="s">
        <v>8</v>
      </c>
      <c r="C1521" s="1716" t="s">
        <v>1160</v>
      </c>
      <c r="D1521" s="1625"/>
      <c r="E1521" s="1625"/>
      <c r="F1521" s="1648"/>
      <c r="G1521" s="1625"/>
      <c r="H1521" s="1625"/>
      <c r="I1521" s="1629"/>
      <c r="J1521" s="1630"/>
      <c r="K1521" s="1631"/>
      <c r="L1521" s="1245"/>
      <c r="M1521" s="1320"/>
      <c r="N1521" s="1632"/>
      <c r="O1521" s="1647"/>
      <c r="P1521" s="1634"/>
      <c r="Q1521" s="1632"/>
      <c r="R1521" s="1646"/>
      <c r="S1521" s="1625"/>
      <c r="T1521" s="1634"/>
      <c r="U1521" s="1635"/>
      <c r="V1521" s="1636" t="s">
        <v>413</v>
      </c>
      <c r="W1521" s="1714"/>
      <c r="X1521" s="1650">
        <v>1</v>
      </c>
      <c r="Y1521" s="1623"/>
      <c r="Z1521" s="1651">
        <f t="shared" si="124"/>
        <v>1</v>
      </c>
      <c r="AA1521" s="1625"/>
      <c r="AB1521" s="1667"/>
      <c r="AC1521" s="1640"/>
      <c r="AD1521" s="1635"/>
      <c r="AE1521" s="1764"/>
      <c r="AF1521" s="1085"/>
      <c r="AG1521" s="1086"/>
      <c r="AH1521" s="1087"/>
      <c r="AI1521" s="1087"/>
      <c r="AJ1521" s="1768"/>
      <c r="AK1521" s="1089">
        <v>60000</v>
      </c>
      <c r="AL1521" s="1090">
        <f t="shared" si="121"/>
        <v>0</v>
      </c>
      <c r="AM1521" s="1086"/>
      <c r="AN1521" s="1086"/>
      <c r="AO1521" s="1087"/>
      <c r="AP1521" s="1764"/>
      <c r="AQ1521" s="1087"/>
      <c r="AR1521" s="1764"/>
      <c r="AS1521" s="1764"/>
      <c r="AT1521" s="1086"/>
      <c r="AU1521" s="1768"/>
      <c r="AV1521" s="1814"/>
    </row>
    <row r="1522" spans="1:48" ht="16.5" customHeight="1">
      <c r="A1522" s="1640"/>
      <c r="B1522" s="1646"/>
      <c r="C1522" s="1623"/>
      <c r="D1522" s="1625"/>
      <c r="E1522" s="1625"/>
      <c r="F1522" s="1648"/>
      <c r="G1522" s="1625"/>
      <c r="H1522" s="1625"/>
      <c r="I1522" s="1629"/>
      <c r="J1522" s="1630"/>
      <c r="K1522" s="1631"/>
      <c r="L1522" s="1245"/>
      <c r="M1522" s="1320"/>
      <c r="N1522" s="1632"/>
      <c r="O1522" s="1647"/>
      <c r="P1522" s="1634"/>
      <c r="Q1522" s="1632"/>
      <c r="R1522" s="1646"/>
      <c r="S1522" s="1625"/>
      <c r="T1522" s="1634"/>
      <c r="U1522" s="1635">
        <v>4</v>
      </c>
      <c r="V1522" s="1636" t="s">
        <v>48</v>
      </c>
      <c r="W1522" s="1714">
        <v>4</v>
      </c>
      <c r="X1522" s="1650"/>
      <c r="Y1522" s="1623"/>
      <c r="Z1522" s="1651">
        <f t="shared" si="124"/>
        <v>4</v>
      </c>
      <c r="AA1522" s="1625"/>
      <c r="AB1522" s="1667"/>
      <c r="AC1522" s="1640"/>
      <c r="AD1522" s="1635"/>
      <c r="AE1522" s="1764"/>
      <c r="AF1522" s="1085"/>
      <c r="AG1522" s="1086"/>
      <c r="AH1522" s="1087"/>
      <c r="AI1522" s="1087"/>
      <c r="AJ1522" s="1768"/>
      <c r="AK1522" s="1089">
        <v>15000</v>
      </c>
      <c r="AL1522" s="1090">
        <f t="shared" si="121"/>
        <v>60000</v>
      </c>
      <c r="AM1522" s="1086"/>
      <c r="AN1522" s="1086"/>
      <c r="AO1522" s="1087"/>
      <c r="AP1522" s="1764"/>
      <c r="AQ1522" s="1087"/>
      <c r="AR1522" s="1764"/>
      <c r="AS1522" s="1764"/>
      <c r="AT1522" s="1086"/>
      <c r="AU1522" s="1768"/>
      <c r="AV1522" s="1814"/>
    </row>
    <row r="1523" spans="1:48" ht="16.5" customHeight="1">
      <c r="A1523" s="1640"/>
      <c r="B1523" s="1646"/>
      <c r="C1523" s="1623"/>
      <c r="D1523" s="1625"/>
      <c r="E1523" s="1625"/>
      <c r="F1523" s="1648"/>
      <c r="G1523" s="1625"/>
      <c r="H1523" s="1625"/>
      <c r="I1523" s="1629"/>
      <c r="J1523" s="1630"/>
      <c r="K1523" s="1631"/>
      <c r="L1523" s="1245"/>
      <c r="M1523" s="1320"/>
      <c r="N1523" s="1632"/>
      <c r="O1523" s="1647"/>
      <c r="P1523" s="1634"/>
      <c r="Q1523" s="1632"/>
      <c r="R1523" s="1646"/>
      <c r="S1523" s="1625"/>
      <c r="T1523" s="1634"/>
      <c r="U1523" s="1635">
        <v>5</v>
      </c>
      <c r="V1523" s="1636" t="s">
        <v>34</v>
      </c>
      <c r="W1523" s="1714">
        <v>1</v>
      </c>
      <c r="X1523" s="1650"/>
      <c r="Y1523" s="1623"/>
      <c r="Z1523" s="1651">
        <f t="shared" si="124"/>
        <v>1</v>
      </c>
      <c r="AA1523" s="1625"/>
      <c r="AB1523" s="1667"/>
      <c r="AC1523" s="1640"/>
      <c r="AD1523" s="1635"/>
      <c r="AE1523" s="1764"/>
      <c r="AF1523" s="1085"/>
      <c r="AG1523" s="1086"/>
      <c r="AH1523" s="1087"/>
      <c r="AI1523" s="1087"/>
      <c r="AJ1523" s="1768"/>
      <c r="AK1523" s="1089">
        <v>125000</v>
      </c>
      <c r="AL1523" s="1090">
        <f t="shared" si="121"/>
        <v>125000</v>
      </c>
      <c r="AM1523" s="1086"/>
      <c r="AN1523" s="1086"/>
      <c r="AO1523" s="1087"/>
      <c r="AP1523" s="1764"/>
      <c r="AQ1523" s="1087"/>
      <c r="AR1523" s="1764"/>
      <c r="AS1523" s="1764"/>
      <c r="AT1523" s="1086"/>
      <c r="AU1523" s="1768"/>
      <c r="AV1523" s="1814"/>
    </row>
    <row r="1524" spans="1:48" ht="16.5" customHeight="1">
      <c r="A1524" s="1640"/>
      <c r="B1524" s="1738"/>
      <c r="C1524" s="1666"/>
      <c r="D1524" s="1625"/>
      <c r="E1524" s="1628"/>
      <c r="F1524" s="1648"/>
      <c r="G1524" s="1625"/>
      <c r="H1524" s="1667"/>
      <c r="I1524" s="1629"/>
      <c r="J1524" s="1630"/>
      <c r="K1524" s="1631"/>
      <c r="L1524" s="1245"/>
      <c r="M1524" s="1320"/>
      <c r="N1524" s="1632"/>
      <c r="O1524" s="1647"/>
      <c r="P1524" s="1634"/>
      <c r="Q1524" s="1632"/>
      <c r="R1524" s="1646"/>
      <c r="S1524" s="1625"/>
      <c r="T1524" s="1634"/>
      <c r="U1524" s="1635">
        <v>6</v>
      </c>
      <c r="V1524" s="1636" t="s">
        <v>144</v>
      </c>
      <c r="W1524" s="1714">
        <v>5</v>
      </c>
      <c r="X1524" s="1650"/>
      <c r="Y1524" s="1623"/>
      <c r="Z1524" s="1651">
        <f t="shared" si="124"/>
        <v>5</v>
      </c>
      <c r="AA1524" s="1625"/>
      <c r="AB1524" s="1667"/>
      <c r="AC1524" s="1640"/>
      <c r="AD1524" s="1635"/>
      <c r="AE1524" s="1764"/>
      <c r="AF1524" s="1085"/>
      <c r="AG1524" s="1086"/>
      <c r="AH1524" s="1087"/>
      <c r="AI1524" s="1087"/>
      <c r="AJ1524" s="1768"/>
      <c r="AK1524" s="1089">
        <v>20100</v>
      </c>
      <c r="AL1524" s="1090">
        <f t="shared" si="121"/>
        <v>100500</v>
      </c>
      <c r="AM1524" s="1086"/>
      <c r="AN1524" s="1086"/>
      <c r="AO1524" s="1087"/>
      <c r="AP1524" s="1764"/>
      <c r="AQ1524" s="1087"/>
      <c r="AR1524" s="1764"/>
      <c r="AS1524" s="1764"/>
      <c r="AT1524" s="1086"/>
      <c r="AU1524" s="1768"/>
      <c r="AV1524" s="1814"/>
    </row>
    <row r="1525" spans="1:48" ht="16.5" customHeight="1">
      <c r="A1525" s="1640"/>
      <c r="B1525" s="1738"/>
      <c r="C1525" s="1675"/>
      <c r="D1525" s="1625"/>
      <c r="E1525" s="1628"/>
      <c r="F1525" s="1648"/>
      <c r="G1525" s="1625"/>
      <c r="H1525" s="1667"/>
      <c r="I1525" s="1629"/>
      <c r="J1525" s="1681"/>
      <c r="K1525" s="1631"/>
      <c r="L1525" s="1270"/>
      <c r="M1525" s="1549"/>
      <c r="N1525" s="1683"/>
      <c r="O1525" s="1781"/>
      <c r="P1525" s="1685"/>
      <c r="Q1525" s="1683"/>
      <c r="R1525" s="1686"/>
      <c r="S1525" s="1676"/>
      <c r="T1525" s="1685"/>
      <c r="U1525" s="1773"/>
      <c r="V1525" s="1718"/>
      <c r="W1525" s="1719"/>
      <c r="X1525" s="1720"/>
      <c r="Y1525" s="1721"/>
      <c r="Z1525" s="1787"/>
      <c r="AA1525" s="1676"/>
      <c r="AB1525" s="1679"/>
      <c r="AC1525" s="1673"/>
      <c r="AD1525" s="1773"/>
      <c r="AE1525" s="1774"/>
      <c r="AF1525" s="1115"/>
      <c r="AG1525" s="1116"/>
      <c r="AH1525" s="1117"/>
      <c r="AI1525" s="1117"/>
      <c r="AJ1525" s="1775"/>
      <c r="AK1525" s="1119"/>
      <c r="AL1525" s="1120"/>
      <c r="AM1525" s="1116"/>
      <c r="AN1525" s="1116"/>
      <c r="AO1525" s="1117"/>
      <c r="AP1525" s="1774"/>
      <c r="AQ1525" s="1117"/>
      <c r="AR1525" s="1774"/>
      <c r="AS1525" s="1774"/>
      <c r="AT1525" s="1116"/>
      <c r="AU1525" s="1775"/>
      <c r="AV1525" s="1820"/>
    </row>
    <row r="1526" spans="1:48" ht="16.5" customHeight="1">
      <c r="A1526" s="1698">
        <v>119</v>
      </c>
      <c r="B1526" s="1699" t="s">
        <v>25</v>
      </c>
      <c r="C1526" s="1700" t="s">
        <v>1159</v>
      </c>
      <c r="D1526" s="1701"/>
      <c r="E1526" s="1702"/>
      <c r="F1526" s="1730" t="s">
        <v>1158</v>
      </c>
      <c r="G1526" s="1704" t="s">
        <v>25</v>
      </c>
      <c r="H1526" s="1705" t="s">
        <v>42</v>
      </c>
      <c r="I1526" s="1810">
        <v>139</v>
      </c>
      <c r="J1526" s="1783" t="s">
        <v>41</v>
      </c>
      <c r="K1526" s="1722" t="s">
        <v>1157</v>
      </c>
      <c r="L1526" s="1373"/>
      <c r="M1526" s="1317"/>
      <c r="N1526" s="1707" t="s">
        <v>25</v>
      </c>
      <c r="O1526" s="1777" t="s">
        <v>26</v>
      </c>
      <c r="P1526" s="1709">
        <v>1</v>
      </c>
      <c r="Q1526" s="1707">
        <v>45</v>
      </c>
      <c r="R1526" s="1699" t="s">
        <v>25</v>
      </c>
      <c r="S1526" s="1702" t="s">
        <v>24</v>
      </c>
      <c r="T1526" s="1709"/>
      <c r="U1526" s="1710"/>
      <c r="V1526" s="1711"/>
      <c r="W1526" s="1712"/>
      <c r="X1526" s="1713"/>
      <c r="Y1526" s="1700"/>
      <c r="Z1526" s="1761"/>
      <c r="AA1526" s="1702"/>
      <c r="AB1526" s="1809"/>
      <c r="AC1526" s="1641"/>
      <c r="AD1526" s="1710"/>
      <c r="AE1526" s="1766"/>
      <c r="AF1526" s="1056">
        <f>+Resum!F4</f>
        <v>204000</v>
      </c>
      <c r="AG1526" s="1057">
        <f>AF1526*I1526</f>
        <v>28356000</v>
      </c>
      <c r="AH1526" s="1058">
        <v>1800000</v>
      </c>
      <c r="AI1526" s="1060">
        <f>AH1526*Q1526*0.6</f>
        <v>48600000</v>
      </c>
      <c r="AJ1526" s="1811">
        <f>SUM(AI1526:AI1532)</f>
        <v>69147800</v>
      </c>
      <c r="AK1526" s="1060"/>
      <c r="AL1526" s="1061"/>
      <c r="AM1526" s="1057">
        <f>SUM(AL1527:AL1533)</f>
        <v>1195500</v>
      </c>
      <c r="AN1526" s="1057">
        <f>AM1526+AJ1526+AG1526</f>
        <v>98699300</v>
      </c>
      <c r="AO1526" s="1058"/>
      <c r="AP1526" s="1548">
        <f>(AG1526+AI1526)*15%</f>
        <v>11543400</v>
      </c>
      <c r="AQ1526" s="1058">
        <f>(AG1526+AI1526)*1%</f>
        <v>769560</v>
      </c>
      <c r="AR1526" s="1548">
        <f>(AG1526+AI1526)*5%</f>
        <v>3847800</v>
      </c>
      <c r="AS1526" s="1058">
        <f>0.5%*(AG1526+AI1526)*(3)</f>
        <v>1154340</v>
      </c>
      <c r="AT1526" s="1057">
        <f>+AS1526+AR1526+AQ1526+AP1526+AO1526</f>
        <v>17315100</v>
      </c>
      <c r="AU1526" s="2015">
        <f>ROUND(AT1526+AN1526,-3)</f>
        <v>116014000</v>
      </c>
      <c r="AV1526" s="1812"/>
    </row>
    <row r="1527" spans="1:48" ht="33" customHeight="1">
      <c r="A1527" s="1640"/>
      <c r="B1527" s="1646" t="s">
        <v>16</v>
      </c>
      <c r="C1527" s="1647" t="s">
        <v>1156</v>
      </c>
      <c r="D1527" s="1625"/>
      <c r="E1527" s="1633"/>
      <c r="F1527" s="1648"/>
      <c r="G1527" s="1625" t="s">
        <v>16</v>
      </c>
      <c r="H1527" s="1625" t="s">
        <v>22</v>
      </c>
      <c r="I1527" s="1629"/>
      <c r="J1527" s="1630"/>
      <c r="K1527" s="1631"/>
      <c r="L1527" s="1245"/>
      <c r="M1527" s="1320"/>
      <c r="N1527" s="1632" t="s">
        <v>16</v>
      </c>
      <c r="O1527" s="1748" t="s">
        <v>62</v>
      </c>
      <c r="P1527" s="1634">
        <v>1</v>
      </c>
      <c r="Q1527" s="1632">
        <v>36</v>
      </c>
      <c r="R1527" s="1646"/>
      <c r="S1527" s="1625"/>
      <c r="T1527" s="1634"/>
      <c r="U1527" s="1635"/>
      <c r="V1527" s="1636"/>
      <c r="W1527" s="1714"/>
      <c r="X1527" s="1650"/>
      <c r="Y1527" s="1623"/>
      <c r="Z1527" s="1651"/>
      <c r="AA1527" s="1625"/>
      <c r="AB1527" s="1667"/>
      <c r="AC1527" s="1640"/>
      <c r="AD1527" s="1635"/>
      <c r="AE1527" s="1764"/>
      <c r="AF1527" s="1085"/>
      <c r="AG1527" s="1086"/>
      <c r="AH1527" s="1087">
        <v>430000</v>
      </c>
      <c r="AI1527" s="1089">
        <f>AH1527*Q1527*0.5</f>
        <v>7740000</v>
      </c>
      <c r="AJ1527" s="1768"/>
      <c r="AK1527" s="1089"/>
      <c r="AL1527" s="1090"/>
      <c r="AM1527" s="1086"/>
      <c r="AN1527" s="1086"/>
      <c r="AO1527" s="1087"/>
      <c r="AP1527" s="1764"/>
      <c r="AQ1527" s="1087"/>
      <c r="AR1527" s="1764"/>
      <c r="AS1527" s="1764"/>
      <c r="AT1527" s="1086"/>
      <c r="AU1527" s="1768"/>
      <c r="AV1527" s="1814"/>
    </row>
    <row r="1528" spans="1:48" ht="16.5" customHeight="1">
      <c r="A1528" s="1640"/>
      <c r="B1528" s="1646" t="s">
        <v>18</v>
      </c>
      <c r="C1528" s="1623" t="s">
        <v>60</v>
      </c>
      <c r="D1528" s="1625"/>
      <c r="E1528" s="1625"/>
      <c r="F1528" s="1648"/>
      <c r="G1528" s="1625" t="s">
        <v>18</v>
      </c>
      <c r="H1528" s="1625" t="s">
        <v>19</v>
      </c>
      <c r="I1528" s="1629"/>
      <c r="J1528" s="1630"/>
      <c r="K1528" s="1631"/>
      <c r="L1528" s="1245"/>
      <c r="M1528" s="1320"/>
      <c r="N1528" s="1632" t="s">
        <v>18</v>
      </c>
      <c r="O1528" s="1737" t="s">
        <v>59</v>
      </c>
      <c r="P1528" s="1634">
        <v>1</v>
      </c>
      <c r="Q1528" s="1632">
        <v>20.92</v>
      </c>
      <c r="R1528" s="1646" t="s">
        <v>16</v>
      </c>
      <c r="S1528" s="1625" t="s">
        <v>15</v>
      </c>
      <c r="T1528" s="1634">
        <v>6</v>
      </c>
      <c r="U1528" s="1635">
        <v>1</v>
      </c>
      <c r="V1528" s="1636" t="s">
        <v>14</v>
      </c>
      <c r="W1528" s="1714">
        <v>2</v>
      </c>
      <c r="X1528" s="1650"/>
      <c r="Y1528" s="1623"/>
      <c r="Z1528" s="1651">
        <f t="shared" ref="Z1528:Z1533" si="125">SUM(W1528:Y1528)</f>
        <v>2</v>
      </c>
      <c r="AA1528" s="1625"/>
      <c r="AB1528" s="1667"/>
      <c r="AC1528" s="1640"/>
      <c r="AD1528" s="1635"/>
      <c r="AE1528" s="1764"/>
      <c r="AF1528" s="1085"/>
      <c r="AG1528" s="1086"/>
      <c r="AH1528" s="1087">
        <v>180000</v>
      </c>
      <c r="AI1528" s="1089">
        <f>AH1528*Q1528*0.5</f>
        <v>1882800.0000000002</v>
      </c>
      <c r="AJ1528" s="1768"/>
      <c r="AK1528" s="1089">
        <v>350000</v>
      </c>
      <c r="AL1528" s="1087">
        <f>AK1528*W1528</f>
        <v>700000</v>
      </c>
      <c r="AM1528" s="1086"/>
      <c r="AN1528" s="1086"/>
      <c r="AO1528" s="1087"/>
      <c r="AP1528" s="1764"/>
      <c r="AQ1528" s="1087"/>
      <c r="AR1528" s="1764"/>
      <c r="AS1528" s="1764"/>
      <c r="AT1528" s="1086"/>
      <c r="AU1528" s="1768"/>
      <c r="AV1528" s="1814"/>
    </row>
    <row r="1529" spans="1:48" ht="49.5" customHeight="1">
      <c r="A1529" s="1640"/>
      <c r="B1529" s="1658" t="s">
        <v>12</v>
      </c>
      <c r="C1529" s="1659" t="s">
        <v>1155</v>
      </c>
      <c r="D1529" s="1625"/>
      <c r="E1529" s="1625"/>
      <c r="F1529" s="1648"/>
      <c r="G1529" s="1625"/>
      <c r="H1529" s="1625"/>
      <c r="I1529" s="1629"/>
      <c r="J1529" s="1630"/>
      <c r="K1529" s="1631"/>
      <c r="L1529" s="1245"/>
      <c r="M1529" s="1320"/>
      <c r="N1529" s="1632" t="s">
        <v>12</v>
      </c>
      <c r="O1529" s="1737" t="s">
        <v>21</v>
      </c>
      <c r="P1529" s="1634">
        <v>2</v>
      </c>
      <c r="Q1529" s="1632">
        <v>15</v>
      </c>
      <c r="R1529" s="1646"/>
      <c r="S1529" s="1625"/>
      <c r="T1529" s="1634"/>
      <c r="U1529" s="1635">
        <v>2</v>
      </c>
      <c r="V1529" s="1636" t="s">
        <v>36</v>
      </c>
      <c r="W1529" s="1714">
        <v>1</v>
      </c>
      <c r="X1529" s="1650"/>
      <c r="Y1529" s="1623"/>
      <c r="Z1529" s="1651">
        <f t="shared" si="125"/>
        <v>1</v>
      </c>
      <c r="AA1529" s="1625"/>
      <c r="AB1529" s="1667"/>
      <c r="AC1529" s="1640"/>
      <c r="AD1529" s="1635"/>
      <c r="AE1529" s="1764"/>
      <c r="AF1529" s="1085"/>
      <c r="AG1529" s="1086"/>
      <c r="AH1529" s="1087">
        <v>100000</v>
      </c>
      <c r="AI1529" s="1089">
        <f>AH1529*Q1529*0.5</f>
        <v>750000</v>
      </c>
      <c r="AJ1529" s="1768"/>
      <c r="AK1529" s="1089">
        <v>150000</v>
      </c>
      <c r="AL1529" s="1090">
        <f t="shared" si="121"/>
        <v>150000</v>
      </c>
      <c r="AM1529" s="1086"/>
      <c r="AN1529" s="1086"/>
      <c r="AO1529" s="1087"/>
      <c r="AP1529" s="1764"/>
      <c r="AQ1529" s="1087"/>
      <c r="AR1529" s="1764"/>
      <c r="AS1529" s="1764"/>
      <c r="AT1529" s="1086"/>
      <c r="AU1529" s="1768"/>
      <c r="AV1529" s="1814"/>
    </row>
    <row r="1530" spans="1:48" ht="16.5" customHeight="1">
      <c r="A1530" s="1640"/>
      <c r="B1530" s="1646" t="s">
        <v>8</v>
      </c>
      <c r="C1530" s="1662" t="s">
        <v>1154</v>
      </c>
      <c r="D1530" s="1625"/>
      <c r="E1530" s="1625"/>
      <c r="F1530" s="1648"/>
      <c r="G1530" s="1625"/>
      <c r="H1530" s="1625"/>
      <c r="I1530" s="1629"/>
      <c r="J1530" s="1630"/>
      <c r="K1530" s="1631"/>
      <c r="L1530" s="1245"/>
      <c r="M1530" s="1320"/>
      <c r="N1530" s="1632" t="s">
        <v>8</v>
      </c>
      <c r="O1530" s="1737" t="s">
        <v>17</v>
      </c>
      <c r="P1530" s="1634">
        <v>1</v>
      </c>
      <c r="Q1530" s="1632"/>
      <c r="R1530" s="1646"/>
      <c r="S1530" s="1625"/>
      <c r="T1530" s="1634"/>
      <c r="U1530" s="1635">
        <v>3</v>
      </c>
      <c r="V1530" s="1636" t="s">
        <v>10</v>
      </c>
      <c r="W1530" s="1714">
        <v>2</v>
      </c>
      <c r="X1530" s="1650"/>
      <c r="Y1530" s="1623"/>
      <c r="Z1530" s="1651">
        <f t="shared" si="125"/>
        <v>2</v>
      </c>
      <c r="AA1530" s="1625"/>
      <c r="AB1530" s="1667"/>
      <c r="AC1530" s="1640"/>
      <c r="AD1530" s="1635"/>
      <c r="AE1530" s="1764"/>
      <c r="AF1530" s="1085"/>
      <c r="AG1530" s="1086"/>
      <c r="AH1530" s="1087">
        <v>2500000</v>
      </c>
      <c r="AI1530" s="1089">
        <f>AH1530*P1530*0.5</f>
        <v>1250000</v>
      </c>
      <c r="AJ1530" s="1768"/>
      <c r="AK1530" s="1089">
        <v>50000</v>
      </c>
      <c r="AL1530" s="1090">
        <f>AK1530*W1530</f>
        <v>100000</v>
      </c>
      <c r="AM1530" s="1086"/>
      <c r="AN1530" s="1086"/>
      <c r="AO1530" s="1087"/>
      <c r="AP1530" s="1764"/>
      <c r="AQ1530" s="1087"/>
      <c r="AR1530" s="1764"/>
      <c r="AS1530" s="1764"/>
      <c r="AT1530" s="1086"/>
      <c r="AU1530" s="1768"/>
      <c r="AV1530" s="1814"/>
    </row>
    <row r="1531" spans="1:48" ht="16.5" customHeight="1">
      <c r="A1531" s="1640"/>
      <c r="B1531" s="1625"/>
      <c r="C1531" s="1662"/>
      <c r="D1531" s="1625"/>
      <c r="E1531" s="1625"/>
      <c r="F1531" s="1648"/>
      <c r="G1531" s="1625"/>
      <c r="H1531" s="1625"/>
      <c r="I1531" s="1629"/>
      <c r="J1531" s="1630"/>
      <c r="K1531" s="1631"/>
      <c r="L1531" s="1245"/>
      <c r="M1531" s="1320"/>
      <c r="N1531" s="1632" t="s">
        <v>54</v>
      </c>
      <c r="O1531" s="1737" t="s">
        <v>11</v>
      </c>
      <c r="P1531" s="1634">
        <v>1</v>
      </c>
      <c r="Q1531" s="1632"/>
      <c r="R1531" s="1646"/>
      <c r="S1531" s="1625"/>
      <c r="T1531" s="1634"/>
      <c r="U1531" s="1635">
        <v>4</v>
      </c>
      <c r="V1531" s="1636" t="s">
        <v>48</v>
      </c>
      <c r="W1531" s="1714">
        <v>4</v>
      </c>
      <c r="X1531" s="1650"/>
      <c r="Y1531" s="1623"/>
      <c r="Z1531" s="1651">
        <f t="shared" si="125"/>
        <v>4</v>
      </c>
      <c r="AA1531" s="1625"/>
      <c r="AB1531" s="1667"/>
      <c r="AC1531" s="1640"/>
      <c r="AD1531" s="1635"/>
      <c r="AE1531" s="1764"/>
      <c r="AF1531" s="1085"/>
      <c r="AG1531" s="1086"/>
      <c r="AH1531" s="1087">
        <v>2500000</v>
      </c>
      <c r="AI1531" s="1089">
        <f>AH1531*P1531*0.75</f>
        <v>1875000</v>
      </c>
      <c r="AJ1531" s="1768"/>
      <c r="AK1531" s="1089">
        <v>15000</v>
      </c>
      <c r="AL1531" s="1090">
        <f t="shared" si="121"/>
        <v>60000</v>
      </c>
      <c r="AM1531" s="1086"/>
      <c r="AN1531" s="1086"/>
      <c r="AO1531" s="1087"/>
      <c r="AP1531" s="1764"/>
      <c r="AQ1531" s="1087"/>
      <c r="AR1531" s="1764"/>
      <c r="AS1531" s="1764"/>
      <c r="AT1531" s="1086"/>
      <c r="AU1531" s="1768"/>
      <c r="AV1531" s="1814"/>
    </row>
    <row r="1532" spans="1:48" ht="16.5" customHeight="1">
      <c r="A1532" s="1640"/>
      <c r="B1532" s="1625"/>
      <c r="C1532" s="1662"/>
      <c r="D1532" s="1625"/>
      <c r="E1532" s="1625"/>
      <c r="F1532" s="1648"/>
      <c r="G1532" s="1625"/>
      <c r="H1532" s="1625"/>
      <c r="I1532" s="1629"/>
      <c r="J1532" s="1630"/>
      <c r="K1532" s="1631"/>
      <c r="L1532" s="1245"/>
      <c r="M1532" s="1320"/>
      <c r="N1532" s="1632" t="s">
        <v>53</v>
      </c>
      <c r="O1532" s="1737" t="s">
        <v>7</v>
      </c>
      <c r="P1532" s="1634"/>
      <c r="Q1532" s="1634">
        <v>47</v>
      </c>
      <c r="R1532" s="1646"/>
      <c r="S1532" s="1625"/>
      <c r="T1532" s="1634"/>
      <c r="U1532" s="1635">
        <v>5</v>
      </c>
      <c r="V1532" s="1636" t="s">
        <v>3</v>
      </c>
      <c r="W1532" s="1714">
        <v>1</v>
      </c>
      <c r="X1532" s="1650"/>
      <c r="Y1532" s="1623"/>
      <c r="Z1532" s="1651">
        <f t="shared" si="125"/>
        <v>1</v>
      </c>
      <c r="AA1532" s="1625"/>
      <c r="AB1532" s="1667"/>
      <c r="AC1532" s="1640"/>
      <c r="AD1532" s="1635"/>
      <c r="AE1532" s="1764"/>
      <c r="AF1532" s="1085"/>
      <c r="AG1532" s="1086"/>
      <c r="AH1532" s="1087">
        <v>300000</v>
      </c>
      <c r="AI1532" s="1089">
        <f>AH1532*Q1532*0.5</f>
        <v>7050000</v>
      </c>
      <c r="AJ1532" s="1768"/>
      <c r="AK1532" s="1089">
        <v>85000</v>
      </c>
      <c r="AL1532" s="1090">
        <f t="shared" si="121"/>
        <v>85000</v>
      </c>
      <c r="AM1532" s="1086"/>
      <c r="AN1532" s="1086"/>
      <c r="AO1532" s="1087"/>
      <c r="AP1532" s="1764"/>
      <c r="AQ1532" s="1087"/>
      <c r="AR1532" s="1764"/>
      <c r="AS1532" s="1764"/>
      <c r="AT1532" s="1086"/>
      <c r="AU1532" s="1768"/>
      <c r="AV1532" s="1814"/>
    </row>
    <row r="1533" spans="1:48" ht="16.5" customHeight="1">
      <c r="A1533" s="1673"/>
      <c r="B1533" s="1734"/>
      <c r="C1533" s="1675"/>
      <c r="D1533" s="1676"/>
      <c r="E1533" s="1727"/>
      <c r="F1533" s="1678"/>
      <c r="G1533" s="1676"/>
      <c r="H1533" s="1679"/>
      <c r="I1533" s="1680"/>
      <c r="J1533" s="1681"/>
      <c r="K1533" s="1682"/>
      <c r="L1533" s="1270"/>
      <c r="M1533" s="1549"/>
      <c r="N1533" s="1734"/>
      <c r="O1533" s="1735"/>
      <c r="P1533" s="1736"/>
      <c r="Q1533" s="1736"/>
      <c r="R1533" s="1686"/>
      <c r="S1533" s="1676"/>
      <c r="T1533" s="1685"/>
      <c r="U1533" s="1773">
        <v>6</v>
      </c>
      <c r="V1533" s="1718" t="s">
        <v>144</v>
      </c>
      <c r="W1533" s="1719">
        <v>5</v>
      </c>
      <c r="X1533" s="1720"/>
      <c r="Y1533" s="1721"/>
      <c r="Z1533" s="1787">
        <f t="shared" si="125"/>
        <v>5</v>
      </c>
      <c r="AA1533" s="1676"/>
      <c r="AB1533" s="1679"/>
      <c r="AC1533" s="1673"/>
      <c r="AD1533" s="1773"/>
      <c r="AE1533" s="1774"/>
      <c r="AF1533" s="1115"/>
      <c r="AG1533" s="1116"/>
      <c r="AH1533" s="1117"/>
      <c r="AI1533" s="1117"/>
      <c r="AJ1533" s="1775"/>
      <c r="AK1533" s="1119">
        <v>20100</v>
      </c>
      <c r="AL1533" s="1120">
        <f t="shared" si="121"/>
        <v>100500</v>
      </c>
      <c r="AM1533" s="1116"/>
      <c r="AN1533" s="1116"/>
      <c r="AO1533" s="1117"/>
      <c r="AP1533" s="1774"/>
      <c r="AQ1533" s="1117"/>
      <c r="AR1533" s="1774"/>
      <c r="AS1533" s="1774"/>
      <c r="AT1533" s="1116"/>
      <c r="AU1533" s="1775"/>
      <c r="AV1533" s="1814"/>
    </row>
    <row r="1534" spans="1:48" ht="16.5" customHeight="1">
      <c r="A1534" s="1925">
        <v>120</v>
      </c>
      <c r="B1534" s="1699" t="s">
        <v>25</v>
      </c>
      <c r="C1534" s="1700" t="s">
        <v>284</v>
      </c>
      <c r="D1534" s="1699"/>
      <c r="E1534" s="1700"/>
      <c r="F1534" s="1730" t="s">
        <v>1153</v>
      </c>
      <c r="G1534" s="1926" t="s">
        <v>25</v>
      </c>
      <c r="H1534" s="1792" t="s">
        <v>42</v>
      </c>
      <c r="I1534" s="1810">
        <v>215</v>
      </c>
      <c r="J1534" s="1746" t="s">
        <v>41</v>
      </c>
      <c r="K1534" s="1722" t="s">
        <v>1152</v>
      </c>
      <c r="L1534" s="1373"/>
      <c r="M1534" s="1317"/>
      <c r="N1534" s="1707" t="s">
        <v>25</v>
      </c>
      <c r="O1534" s="1777" t="s">
        <v>62</v>
      </c>
      <c r="P1534" s="1709"/>
      <c r="Q1534" s="1707">
        <v>182</v>
      </c>
      <c r="R1534" s="1699" t="s">
        <v>25</v>
      </c>
      <c r="S1534" s="1702" t="s">
        <v>24</v>
      </c>
      <c r="T1534" s="1709">
        <v>1</v>
      </c>
      <c r="U1534" s="1710">
        <v>1</v>
      </c>
      <c r="V1534" s="1711" t="s">
        <v>109</v>
      </c>
      <c r="W1534" s="1712">
        <v>2</v>
      </c>
      <c r="X1534" s="1713"/>
      <c r="Y1534" s="1700"/>
      <c r="Z1534" s="1761">
        <f>SUM(W1534:Y1534)</f>
        <v>2</v>
      </c>
      <c r="AA1534" s="1702"/>
      <c r="AB1534" s="1809"/>
      <c r="AC1534" s="1641"/>
      <c r="AD1534" s="1710"/>
      <c r="AE1534" s="1766"/>
      <c r="AF1534" s="1056">
        <f>Resum!F1</f>
        <v>356000</v>
      </c>
      <c r="AG1534" s="1086">
        <f>AF1534*I1534</f>
        <v>76540000</v>
      </c>
      <c r="AH1534" s="1058">
        <v>430000</v>
      </c>
      <c r="AI1534" s="1089">
        <f>AH1534*Q1534*0.5</f>
        <v>39130000</v>
      </c>
      <c r="AJ1534" s="1811">
        <f>SUM(AI1534:AI1539)</f>
        <v>54330000</v>
      </c>
      <c r="AK1534" s="1336">
        <v>40000</v>
      </c>
      <c r="AL1534" s="1090">
        <f t="shared" si="121"/>
        <v>80000</v>
      </c>
      <c r="AM1534" s="1057">
        <f>SUM(AL1534:AL1540)</f>
        <v>1205000</v>
      </c>
      <c r="AN1534" s="1086">
        <f>AM1534+AJ1534+AG1534</f>
        <v>132075000</v>
      </c>
      <c r="AO1534" s="1058"/>
      <c r="AP1534" s="1136">
        <v>0</v>
      </c>
      <c r="AQ1534" s="1087">
        <v>0</v>
      </c>
      <c r="AR1534" s="1136">
        <f>AG1534*5%</f>
        <v>3827000</v>
      </c>
      <c r="AS1534" s="1087">
        <f>0.5%*(AG1534)*(3)</f>
        <v>1148100</v>
      </c>
      <c r="AT1534" s="1086">
        <f>+AS1534+AR1534+AQ1534+AP1534+AO1534</f>
        <v>4975100</v>
      </c>
      <c r="AU1534" s="1137">
        <f>ROUND(AT1534+AN1534,-3)</f>
        <v>137050000</v>
      </c>
      <c r="AV1534" s="1812"/>
    </row>
    <row r="1535" spans="1:48" ht="16.5" customHeight="1">
      <c r="A1535" s="1658"/>
      <c r="B1535" s="1646" t="s">
        <v>16</v>
      </c>
      <c r="C1535" s="1647" t="s">
        <v>281</v>
      </c>
      <c r="D1535" s="1646"/>
      <c r="E1535" s="1647"/>
      <c r="F1535" s="1648"/>
      <c r="G1535" s="1646" t="s">
        <v>16</v>
      </c>
      <c r="H1535" s="1623" t="s">
        <v>22</v>
      </c>
      <c r="I1535" s="1629"/>
      <c r="J1535" s="1747"/>
      <c r="K1535" s="1631"/>
      <c r="L1535" s="1245"/>
      <c r="M1535" s="1320"/>
      <c r="N1535" s="1632" t="s">
        <v>16</v>
      </c>
      <c r="O1535" s="1737" t="s">
        <v>21</v>
      </c>
      <c r="P1535" s="1634"/>
      <c r="Q1535" s="1632">
        <v>18.75</v>
      </c>
      <c r="R1535" s="1646"/>
      <c r="S1535" s="1625"/>
      <c r="T1535" s="1634"/>
      <c r="U1535" s="1635"/>
      <c r="V1535" s="1636"/>
      <c r="W1535" s="1714"/>
      <c r="X1535" s="1650"/>
      <c r="Y1535" s="1623"/>
      <c r="Z1535" s="1651"/>
      <c r="AA1535" s="1625"/>
      <c r="AB1535" s="1667"/>
      <c r="AC1535" s="1640"/>
      <c r="AD1535" s="1635"/>
      <c r="AE1535" s="1764"/>
      <c r="AF1535" s="1085"/>
      <c r="AG1535" s="1086"/>
      <c r="AH1535" s="1087">
        <v>100000</v>
      </c>
      <c r="AI1535" s="1089">
        <f>AH1535*Q1535*0.4</f>
        <v>750000</v>
      </c>
      <c r="AJ1535" s="1768"/>
      <c r="AK1535" s="1089"/>
      <c r="AL1535" s="1090"/>
      <c r="AM1535" s="1086"/>
      <c r="AN1535" s="1086"/>
      <c r="AO1535" s="1087"/>
      <c r="AP1535" s="1764"/>
      <c r="AQ1535" s="1087"/>
      <c r="AR1535" s="1764"/>
      <c r="AS1535" s="1764"/>
      <c r="AT1535" s="1086"/>
      <c r="AU1535" s="1768"/>
      <c r="AV1535" s="1814"/>
    </row>
    <row r="1536" spans="1:48" ht="16.5" customHeight="1">
      <c r="A1536" s="1658"/>
      <c r="B1536" s="1646" t="s">
        <v>18</v>
      </c>
      <c r="C1536" s="1623" t="s">
        <v>38</v>
      </c>
      <c r="D1536" s="1646"/>
      <c r="E1536" s="1623"/>
      <c r="F1536" s="1648"/>
      <c r="G1536" s="1646" t="s">
        <v>18</v>
      </c>
      <c r="H1536" s="1623" t="s">
        <v>19</v>
      </c>
      <c r="I1536" s="1629"/>
      <c r="J1536" s="1747"/>
      <c r="K1536" s="1631"/>
      <c r="L1536" s="1245"/>
      <c r="M1536" s="1320"/>
      <c r="N1536" s="1632" t="s">
        <v>18</v>
      </c>
      <c r="O1536" s="1737" t="s">
        <v>59</v>
      </c>
      <c r="P1536" s="1634"/>
      <c r="Q1536" s="1632">
        <v>20</v>
      </c>
      <c r="R1536" s="1646" t="s">
        <v>16</v>
      </c>
      <c r="S1536" s="1625" t="s">
        <v>15</v>
      </c>
      <c r="T1536" s="1634">
        <v>2</v>
      </c>
      <c r="U1536" s="1635">
        <v>1</v>
      </c>
      <c r="V1536" s="1636" t="s">
        <v>14</v>
      </c>
      <c r="W1536" s="1714">
        <v>2</v>
      </c>
      <c r="X1536" s="1650"/>
      <c r="Y1536" s="1623"/>
      <c r="Z1536" s="1651">
        <f>SUM(W1536:Y1536)</f>
        <v>2</v>
      </c>
      <c r="AA1536" s="1625"/>
      <c r="AB1536" s="1667"/>
      <c r="AC1536" s="1640"/>
      <c r="AD1536" s="1635"/>
      <c r="AE1536" s="1764"/>
      <c r="AF1536" s="1085"/>
      <c r="AG1536" s="1086"/>
      <c r="AH1536" s="1087">
        <v>180000</v>
      </c>
      <c r="AI1536" s="1089">
        <f>AH1536*Q1536*0.5</f>
        <v>1800000</v>
      </c>
      <c r="AJ1536" s="1768"/>
      <c r="AK1536" s="1089">
        <v>350000</v>
      </c>
      <c r="AL1536" s="1087">
        <f t="shared" si="121"/>
        <v>700000</v>
      </c>
      <c r="AM1536" s="1086"/>
      <c r="AN1536" s="1086"/>
      <c r="AO1536" s="1087"/>
      <c r="AP1536" s="1764"/>
      <c r="AQ1536" s="1087"/>
      <c r="AR1536" s="1764"/>
      <c r="AS1536" s="1764"/>
      <c r="AT1536" s="1086"/>
      <c r="AU1536" s="1768"/>
      <c r="AV1536" s="1814"/>
    </row>
    <row r="1537" spans="1:48" ht="49.5" customHeight="1">
      <c r="A1537" s="1658"/>
      <c r="B1537" s="1658" t="s">
        <v>12</v>
      </c>
      <c r="C1537" s="1659" t="s">
        <v>1128</v>
      </c>
      <c r="D1537" s="1646"/>
      <c r="E1537" s="1659"/>
      <c r="F1537" s="1648"/>
      <c r="G1537" s="1646"/>
      <c r="H1537" s="1807"/>
      <c r="I1537" s="1629"/>
      <c r="J1537" s="1747"/>
      <c r="K1537" s="1631"/>
      <c r="L1537" s="1245"/>
      <c r="M1537" s="1320"/>
      <c r="N1537" s="1632" t="s">
        <v>12</v>
      </c>
      <c r="O1537" s="1737" t="s">
        <v>17</v>
      </c>
      <c r="P1537" s="1634">
        <v>1</v>
      </c>
      <c r="Q1537" s="1632"/>
      <c r="R1537" s="1646"/>
      <c r="S1537" s="1625"/>
      <c r="T1537" s="1634"/>
      <c r="U1537" s="1635">
        <v>2</v>
      </c>
      <c r="V1537" s="1636" t="s">
        <v>3</v>
      </c>
      <c r="W1537" s="1714">
        <v>5</v>
      </c>
      <c r="X1537" s="1650"/>
      <c r="Y1537" s="1623"/>
      <c r="Z1537" s="1651">
        <f>SUM(W1537:Y1537)</f>
        <v>5</v>
      </c>
      <c r="AA1537" s="1625"/>
      <c r="AB1537" s="1667"/>
      <c r="AC1537" s="1640"/>
      <c r="AD1537" s="1635"/>
      <c r="AE1537" s="1764"/>
      <c r="AF1537" s="1085"/>
      <c r="AG1537" s="1086"/>
      <c r="AH1537" s="1087">
        <v>2500000</v>
      </c>
      <c r="AI1537" s="1089">
        <f>AH1537*P1537*0.5</f>
        <v>1250000</v>
      </c>
      <c r="AJ1537" s="1768"/>
      <c r="AK1537" s="1089">
        <v>85000</v>
      </c>
      <c r="AL1537" s="1090">
        <f t="shared" si="121"/>
        <v>425000</v>
      </c>
      <c r="AM1537" s="1086"/>
      <c r="AN1537" s="1086"/>
      <c r="AO1537" s="1087"/>
      <c r="AP1537" s="1764"/>
      <c r="AQ1537" s="1087"/>
      <c r="AR1537" s="1764"/>
      <c r="AS1537" s="1764"/>
      <c r="AT1537" s="1086"/>
      <c r="AU1537" s="1768"/>
      <c r="AV1537" s="1814"/>
    </row>
    <row r="1538" spans="1:48">
      <c r="A1538" s="1658"/>
      <c r="B1538" s="1658" t="s">
        <v>8</v>
      </c>
      <c r="C1538" s="1780" t="s">
        <v>280</v>
      </c>
      <c r="D1538" s="1646"/>
      <c r="E1538" s="1659"/>
      <c r="F1538" s="1648"/>
      <c r="G1538" s="1646"/>
      <c r="H1538" s="1807"/>
      <c r="I1538" s="1629"/>
      <c r="J1538" s="1747"/>
      <c r="K1538" s="1631"/>
      <c r="L1538" s="1245"/>
      <c r="M1538" s="1320"/>
      <c r="N1538" s="1632" t="s">
        <v>8</v>
      </c>
      <c r="O1538" s="1737" t="s">
        <v>11</v>
      </c>
      <c r="P1538" s="1634">
        <v>1</v>
      </c>
      <c r="Q1538" s="1632"/>
      <c r="R1538" s="1646"/>
      <c r="S1538" s="1625"/>
      <c r="T1538" s="1634"/>
      <c r="U1538" s="1635"/>
      <c r="V1538" s="1636"/>
      <c r="W1538" s="1714"/>
      <c r="X1538" s="1650"/>
      <c r="Y1538" s="1623"/>
      <c r="Z1538" s="1651"/>
      <c r="AA1538" s="1625"/>
      <c r="AB1538" s="1667"/>
      <c r="AC1538" s="1640"/>
      <c r="AD1538" s="1635"/>
      <c r="AE1538" s="1764"/>
      <c r="AF1538" s="1085"/>
      <c r="AG1538" s="1086"/>
      <c r="AH1538" s="1087">
        <v>2500000</v>
      </c>
      <c r="AI1538" s="1089">
        <f>AH1538*P1538*0.75</f>
        <v>1875000</v>
      </c>
      <c r="AJ1538" s="1768"/>
      <c r="AK1538" s="1089"/>
      <c r="AL1538" s="1090"/>
      <c r="AM1538" s="1086"/>
      <c r="AN1538" s="1086"/>
      <c r="AO1538" s="1087"/>
      <c r="AP1538" s="1764"/>
      <c r="AQ1538" s="1087"/>
      <c r="AR1538" s="1764"/>
      <c r="AS1538" s="1764"/>
      <c r="AT1538" s="1086"/>
      <c r="AU1538" s="1768"/>
      <c r="AV1538" s="1814"/>
    </row>
    <row r="1539" spans="1:48">
      <c r="A1539" s="1658"/>
      <c r="B1539" s="1658"/>
      <c r="C1539" s="1659"/>
      <c r="D1539" s="1646"/>
      <c r="E1539" s="1659"/>
      <c r="F1539" s="1648"/>
      <c r="G1539" s="1646"/>
      <c r="H1539" s="1807"/>
      <c r="I1539" s="1629"/>
      <c r="J1539" s="1747"/>
      <c r="K1539" s="1631"/>
      <c r="L1539" s="1245"/>
      <c r="M1539" s="1320"/>
      <c r="N1539" s="1632" t="s">
        <v>54</v>
      </c>
      <c r="O1539" s="1737" t="s">
        <v>175</v>
      </c>
      <c r="P1539" s="1634"/>
      <c r="Q1539" s="1632">
        <v>63.5</v>
      </c>
      <c r="R1539" s="1646"/>
      <c r="S1539" s="1625"/>
      <c r="T1539" s="1634"/>
      <c r="U1539" s="1635"/>
      <c r="V1539" s="1636"/>
      <c r="W1539" s="1714"/>
      <c r="X1539" s="1650"/>
      <c r="Y1539" s="1623"/>
      <c r="Z1539" s="1651"/>
      <c r="AA1539" s="1625"/>
      <c r="AB1539" s="1667"/>
      <c r="AC1539" s="1640"/>
      <c r="AD1539" s="1635"/>
      <c r="AE1539" s="1764"/>
      <c r="AF1539" s="1085"/>
      <c r="AG1539" s="1086"/>
      <c r="AH1539" s="1087">
        <v>300000</v>
      </c>
      <c r="AI1539" s="1089">
        <f>AH1539*Q1539*0.5</f>
        <v>9525000</v>
      </c>
      <c r="AJ1539" s="1768"/>
      <c r="AK1539" s="1089"/>
      <c r="AL1539" s="1090"/>
      <c r="AM1539" s="1086"/>
      <c r="AN1539" s="1086"/>
      <c r="AO1539" s="1087"/>
      <c r="AP1539" s="1764"/>
      <c r="AQ1539" s="1087"/>
      <c r="AR1539" s="1764"/>
      <c r="AS1539" s="1764"/>
      <c r="AT1539" s="1086"/>
      <c r="AU1539" s="1768"/>
      <c r="AV1539" s="1814"/>
    </row>
    <row r="1540" spans="1:48" ht="16.5" customHeight="1">
      <c r="A1540" s="1818"/>
      <c r="B1540" s="1686"/>
      <c r="C1540" s="1819"/>
      <c r="D1540" s="1686"/>
      <c r="E1540" s="1819"/>
      <c r="F1540" s="1678"/>
      <c r="G1540" s="1686"/>
      <c r="H1540" s="1927"/>
      <c r="I1540" s="1680"/>
      <c r="J1540" s="1754"/>
      <c r="K1540" s="1682"/>
      <c r="L1540" s="1270"/>
      <c r="M1540" s="1549"/>
      <c r="N1540" s="1799"/>
      <c r="O1540" s="1781"/>
      <c r="P1540" s="1685"/>
      <c r="Q1540" s="1787"/>
      <c r="R1540" s="1646"/>
      <c r="S1540" s="1625"/>
      <c r="T1540" s="1634"/>
      <c r="U1540" s="1635"/>
      <c r="V1540" s="1636"/>
      <c r="W1540" s="1714"/>
      <c r="X1540" s="1650"/>
      <c r="Y1540" s="1721"/>
      <c r="Z1540" s="1787"/>
      <c r="AA1540" s="1676"/>
      <c r="AB1540" s="1679"/>
      <c r="AC1540" s="1673"/>
      <c r="AD1540" s="1773"/>
      <c r="AE1540" s="1774"/>
      <c r="AF1540" s="1115"/>
      <c r="AG1540" s="1116"/>
      <c r="AH1540" s="1117"/>
      <c r="AI1540" s="1117"/>
      <c r="AJ1540" s="1775"/>
      <c r="AK1540" s="1119"/>
      <c r="AL1540" s="1120"/>
      <c r="AM1540" s="1116"/>
      <c r="AN1540" s="1116"/>
      <c r="AO1540" s="1117"/>
      <c r="AP1540" s="1774"/>
      <c r="AQ1540" s="1117"/>
      <c r="AR1540" s="1774"/>
      <c r="AS1540" s="1774"/>
      <c r="AT1540" s="1116"/>
      <c r="AU1540" s="1775"/>
      <c r="AV1540" s="1820"/>
    </row>
    <row r="1541" spans="1:48" ht="33" customHeight="1">
      <c r="A1541" s="1925">
        <v>121</v>
      </c>
      <c r="B1541" s="1699" t="s">
        <v>25</v>
      </c>
      <c r="C1541" s="1700" t="s">
        <v>1151</v>
      </c>
      <c r="D1541" s="1699"/>
      <c r="E1541" s="1700"/>
      <c r="F1541" s="1730" t="s">
        <v>1150</v>
      </c>
      <c r="G1541" s="1926" t="s">
        <v>25</v>
      </c>
      <c r="H1541" s="1792" t="s">
        <v>42</v>
      </c>
      <c r="I1541" s="1810">
        <v>468</v>
      </c>
      <c r="J1541" s="1630" t="s">
        <v>41</v>
      </c>
      <c r="K1541" s="1722" t="s">
        <v>1149</v>
      </c>
      <c r="L1541" s="1245"/>
      <c r="M1541" s="1320"/>
      <c r="N1541" s="1794"/>
      <c r="O1541" s="1737" t="s">
        <v>1994</v>
      </c>
      <c r="P1541" s="1634">
        <v>1</v>
      </c>
      <c r="Q1541" s="1134"/>
      <c r="R1541" s="1699" t="s">
        <v>25</v>
      </c>
      <c r="S1541" s="1702" t="s">
        <v>24</v>
      </c>
      <c r="T1541" s="1709"/>
      <c r="U1541" s="1710"/>
      <c r="V1541" s="1711"/>
      <c r="W1541" s="1712"/>
      <c r="X1541" s="1713"/>
      <c r="Y1541" s="1700"/>
      <c r="Z1541" s="1761"/>
      <c r="AA1541" s="1702"/>
      <c r="AB1541" s="1809"/>
      <c r="AC1541" s="1641"/>
      <c r="AD1541" s="1710"/>
      <c r="AE1541" s="1766"/>
      <c r="AF1541" s="1056">
        <f>Resum!F1</f>
        <v>356000</v>
      </c>
      <c r="AG1541" s="1086">
        <f>AF1541*I1541</f>
        <v>166608000</v>
      </c>
      <c r="AH1541" s="1058"/>
      <c r="AI1541" s="1058"/>
      <c r="AJ1541" s="1811">
        <f>SUM(AI1541:AI1572)</f>
        <v>391986460</v>
      </c>
      <c r="AK1541" s="1060"/>
      <c r="AL1541" s="1090"/>
      <c r="AM1541" s="1057">
        <f>SUM(AL1543:AL1548)</f>
        <v>1221200</v>
      </c>
      <c r="AN1541" s="1086">
        <f>AM1541+AJ1541+AG1541</f>
        <v>559815660</v>
      </c>
      <c r="AO1541" s="1058"/>
      <c r="AP1541" s="1136">
        <f>(AG1541+AI1562)*15%</f>
        <v>46929600</v>
      </c>
      <c r="AQ1541" s="1087">
        <f>(AG1541+AI1562)*1%</f>
        <v>3128640</v>
      </c>
      <c r="AR1541" s="1136">
        <f>(AG1541+AI1562)*5%</f>
        <v>15643200</v>
      </c>
      <c r="AS1541" s="1087">
        <f>0.5%*(AG1541+AI1562)*(3)</f>
        <v>4692960</v>
      </c>
      <c r="AT1541" s="1086">
        <f>+AS1541+AR1541+AQ1541+AP1541+AO1541</f>
        <v>70394400</v>
      </c>
      <c r="AU1541" s="1137">
        <f>ROUND(AT1541+AN1541,-3)</f>
        <v>630210000</v>
      </c>
      <c r="AV1541" s="1812"/>
    </row>
    <row r="1542" spans="1:48" ht="16.5" customHeight="1">
      <c r="A1542" s="1658"/>
      <c r="B1542" s="1646" t="s">
        <v>16</v>
      </c>
      <c r="C1542" s="1647" t="s">
        <v>1148</v>
      </c>
      <c r="D1542" s="1646"/>
      <c r="E1542" s="1647"/>
      <c r="F1542" s="1648"/>
      <c r="G1542" s="1646" t="s">
        <v>16</v>
      </c>
      <c r="H1542" s="1623" t="s">
        <v>22</v>
      </c>
      <c r="I1542" s="1629"/>
      <c r="J1542" s="1630"/>
      <c r="K1542" s="1631"/>
      <c r="L1542" s="1245"/>
      <c r="M1542" s="1320"/>
      <c r="N1542" s="1794" t="s">
        <v>25</v>
      </c>
      <c r="O1542" s="1748" t="s">
        <v>274</v>
      </c>
      <c r="P1542" s="1634">
        <v>1</v>
      </c>
      <c r="Q1542" s="1651">
        <v>57.5</v>
      </c>
      <c r="R1542" s="1646"/>
      <c r="S1542" s="1625"/>
      <c r="T1542" s="1634"/>
      <c r="U1542" s="1635"/>
      <c r="V1542" s="1636"/>
      <c r="W1542" s="1714"/>
      <c r="X1542" s="1650"/>
      <c r="Y1542" s="1623"/>
      <c r="Z1542" s="1651"/>
      <c r="AA1542" s="1625"/>
      <c r="AB1542" s="1667"/>
      <c r="AC1542" s="1640"/>
      <c r="AD1542" s="1635"/>
      <c r="AE1542" s="1764"/>
      <c r="AF1542" s="1085"/>
      <c r="AG1542" s="1086"/>
      <c r="AH1542" s="1087">
        <v>1800000</v>
      </c>
      <c r="AI1542" s="1089">
        <f>AH1542*Q1542*0.75</f>
        <v>77625000</v>
      </c>
      <c r="AJ1542" s="1768"/>
      <c r="AK1542" s="1089"/>
      <c r="AL1542" s="1090"/>
      <c r="AM1542" s="1086"/>
      <c r="AN1542" s="1086"/>
      <c r="AO1542" s="1087"/>
      <c r="AP1542" s="1764"/>
      <c r="AQ1542" s="1087"/>
      <c r="AR1542" s="1764"/>
      <c r="AS1542" s="1764"/>
      <c r="AT1542" s="1086"/>
      <c r="AU1542" s="1768"/>
      <c r="AV1542" s="1814"/>
    </row>
    <row r="1543" spans="1:48" ht="16.5" customHeight="1">
      <c r="A1543" s="1658"/>
      <c r="B1543" s="1646" t="s">
        <v>18</v>
      </c>
      <c r="C1543" s="1623" t="s">
        <v>60</v>
      </c>
      <c r="D1543" s="1646"/>
      <c r="E1543" s="1623"/>
      <c r="F1543" s="1648"/>
      <c r="G1543" s="1646" t="s">
        <v>18</v>
      </c>
      <c r="H1543" s="1623" t="s">
        <v>19</v>
      </c>
      <c r="I1543" s="1629"/>
      <c r="J1543" s="1630"/>
      <c r="K1543" s="1631"/>
      <c r="L1543" s="1245"/>
      <c r="M1543" s="1320"/>
      <c r="N1543" s="1632" t="s">
        <v>16</v>
      </c>
      <c r="O1543" s="1737" t="s">
        <v>21</v>
      </c>
      <c r="P1543" s="1634">
        <v>1</v>
      </c>
      <c r="Q1543" s="1632">
        <v>10</v>
      </c>
      <c r="R1543" s="1646" t="s">
        <v>16</v>
      </c>
      <c r="S1543" s="1625" t="s">
        <v>15</v>
      </c>
      <c r="T1543" s="1634">
        <v>5</v>
      </c>
      <c r="U1543" s="1635">
        <v>1</v>
      </c>
      <c r="V1543" s="1636" t="s">
        <v>144</v>
      </c>
      <c r="W1543" s="1714">
        <v>2</v>
      </c>
      <c r="X1543" s="1650"/>
      <c r="Y1543" s="1623"/>
      <c r="Z1543" s="1651">
        <f>SUM(W1543:Y1543)</f>
        <v>2</v>
      </c>
      <c r="AA1543" s="1625"/>
      <c r="AB1543" s="1667"/>
      <c r="AC1543" s="1640"/>
      <c r="AD1543" s="1635"/>
      <c r="AE1543" s="1764"/>
      <c r="AF1543" s="1085"/>
      <c r="AG1543" s="1086"/>
      <c r="AH1543" s="1087">
        <v>250000</v>
      </c>
      <c r="AI1543" s="1089">
        <f>AH1543*Q1543*0.6</f>
        <v>1500000</v>
      </c>
      <c r="AJ1543" s="1768"/>
      <c r="AK1543" s="1089">
        <v>20100</v>
      </c>
      <c r="AL1543" s="1090">
        <f t="shared" ref="AL1543:AL1620" si="126">AK1543*W1543</f>
        <v>40200</v>
      </c>
      <c r="AM1543" s="1086"/>
      <c r="AN1543" s="1086"/>
      <c r="AO1543" s="1087"/>
      <c r="AP1543" s="1764"/>
      <c r="AQ1543" s="1087"/>
      <c r="AR1543" s="1764"/>
      <c r="AS1543" s="1764"/>
      <c r="AT1543" s="1086"/>
      <c r="AU1543" s="1768"/>
      <c r="AV1543" s="1814"/>
    </row>
    <row r="1544" spans="1:48" ht="49.5" customHeight="1">
      <c r="A1544" s="1658"/>
      <c r="B1544" s="1658" t="s">
        <v>12</v>
      </c>
      <c r="C1544" s="1659" t="s">
        <v>1128</v>
      </c>
      <c r="D1544" s="1646"/>
      <c r="E1544" s="1623"/>
      <c r="F1544" s="1648"/>
      <c r="G1544" s="1646"/>
      <c r="H1544" s="1623"/>
      <c r="I1544" s="1629"/>
      <c r="J1544" s="1630"/>
      <c r="K1544" s="1631"/>
      <c r="L1544" s="1245"/>
      <c r="M1544" s="1320"/>
      <c r="N1544" s="1632" t="s">
        <v>18</v>
      </c>
      <c r="O1544" s="1737" t="s">
        <v>1791</v>
      </c>
      <c r="P1544" s="1634">
        <v>1</v>
      </c>
      <c r="Q1544" s="1632">
        <v>4.76</v>
      </c>
      <c r="R1544" s="1646"/>
      <c r="S1544" s="1625"/>
      <c r="T1544" s="1634"/>
      <c r="U1544" s="1635">
        <v>2</v>
      </c>
      <c r="V1544" s="1636" t="s">
        <v>1147</v>
      </c>
      <c r="W1544" s="1714"/>
      <c r="X1544" s="1650">
        <v>20</v>
      </c>
      <c r="Y1544" s="1623"/>
      <c r="Z1544" s="1651">
        <f>SUM(W1544:Y1544)</f>
        <v>20</v>
      </c>
      <c r="AA1544" s="1625"/>
      <c r="AB1544" s="1667"/>
      <c r="AC1544" s="1640"/>
      <c r="AD1544" s="1635"/>
      <c r="AE1544" s="1764"/>
      <c r="AF1544" s="1085"/>
      <c r="AG1544" s="1086"/>
      <c r="AH1544" s="1087">
        <v>100000</v>
      </c>
      <c r="AI1544" s="1089">
        <f>AH1544*Q1544*0.5</f>
        <v>238000</v>
      </c>
      <c r="AJ1544" s="1768"/>
      <c r="AK1544" s="1089">
        <v>20000</v>
      </c>
      <c r="AL1544" s="1090">
        <f>AK1544*X1544</f>
        <v>400000</v>
      </c>
      <c r="AM1544" s="1086"/>
      <c r="AN1544" s="1086"/>
      <c r="AO1544" s="1087"/>
      <c r="AP1544" s="1764"/>
      <c r="AQ1544" s="1087"/>
      <c r="AR1544" s="1764"/>
      <c r="AS1544" s="1764"/>
      <c r="AT1544" s="1086"/>
      <c r="AU1544" s="1768"/>
      <c r="AV1544" s="1814"/>
    </row>
    <row r="1545" spans="1:48" ht="16.5" customHeight="1">
      <c r="A1545" s="1658"/>
      <c r="B1545" s="1658"/>
      <c r="C1545" s="1780" t="s">
        <v>1146</v>
      </c>
      <c r="D1545" s="1646"/>
      <c r="E1545" s="1623"/>
      <c r="F1545" s="1648"/>
      <c r="G1545" s="1646"/>
      <c r="H1545" s="1623"/>
      <c r="I1545" s="1629"/>
      <c r="J1545" s="1630"/>
      <c r="K1545" s="1631"/>
      <c r="L1545" s="1245"/>
      <c r="M1545" s="1320"/>
      <c r="N1545" s="1632" t="s">
        <v>12</v>
      </c>
      <c r="O1545" s="1737" t="s">
        <v>120</v>
      </c>
      <c r="P1545" s="1634">
        <v>1</v>
      </c>
      <c r="Q1545" s="1632">
        <v>3.6</v>
      </c>
      <c r="R1545" s="1646"/>
      <c r="S1545" s="1625"/>
      <c r="T1545" s="1634"/>
      <c r="U1545" s="1635">
        <v>3</v>
      </c>
      <c r="V1545" s="1636" t="s">
        <v>139</v>
      </c>
      <c r="W1545" s="1714">
        <v>2</v>
      </c>
      <c r="X1545" s="1650"/>
      <c r="Y1545" s="1623"/>
      <c r="Z1545" s="1651">
        <f>SUM(W1545:Y1545)</f>
        <v>2</v>
      </c>
      <c r="AA1545" s="1625"/>
      <c r="AB1545" s="1667"/>
      <c r="AC1545" s="1640"/>
      <c r="AD1545" s="1635"/>
      <c r="AE1545" s="1764"/>
      <c r="AF1545" s="1085"/>
      <c r="AG1545" s="1086"/>
      <c r="AH1545" s="1087">
        <v>200000</v>
      </c>
      <c r="AI1545" s="1089">
        <f>AH1545*Q1545*0.75</f>
        <v>540000</v>
      </c>
      <c r="AJ1545" s="1768"/>
      <c r="AK1545" s="1089">
        <v>75000</v>
      </c>
      <c r="AL1545" s="1090">
        <f t="shared" si="126"/>
        <v>150000</v>
      </c>
      <c r="AM1545" s="1086"/>
      <c r="AN1545" s="1086"/>
      <c r="AO1545" s="1087"/>
      <c r="AP1545" s="1764"/>
      <c r="AQ1545" s="1087"/>
      <c r="AR1545" s="1764"/>
      <c r="AS1545" s="1764"/>
      <c r="AT1545" s="1086"/>
      <c r="AU1545" s="1768"/>
      <c r="AV1545" s="1814"/>
    </row>
    <row r="1546" spans="1:48" ht="16.5" customHeight="1">
      <c r="A1546" s="1658"/>
      <c r="B1546" s="1646" t="s">
        <v>8</v>
      </c>
      <c r="C1546" s="1716"/>
      <c r="D1546" s="1646"/>
      <c r="E1546" s="1659"/>
      <c r="F1546" s="1648"/>
      <c r="G1546" s="1646"/>
      <c r="H1546" s="1807"/>
      <c r="I1546" s="1629"/>
      <c r="J1546" s="1630"/>
      <c r="K1546" s="1631"/>
      <c r="L1546" s="1245"/>
      <c r="M1546" s="1320"/>
      <c r="N1546" s="1632" t="s">
        <v>8</v>
      </c>
      <c r="O1546" s="1737" t="s">
        <v>59</v>
      </c>
      <c r="P1546" s="1634">
        <v>1</v>
      </c>
      <c r="Q1546" s="1632">
        <v>13.2</v>
      </c>
      <c r="R1546" s="1646"/>
      <c r="S1546" s="1625"/>
      <c r="T1546" s="1634"/>
      <c r="U1546" s="1635">
        <v>4</v>
      </c>
      <c r="V1546" s="1636" t="s">
        <v>14</v>
      </c>
      <c r="W1546" s="1714"/>
      <c r="X1546" s="1650">
        <v>1</v>
      </c>
      <c r="Y1546" s="1623"/>
      <c r="Z1546" s="1651">
        <f>SUM(W1546:Y1546)</f>
        <v>1</v>
      </c>
      <c r="AA1546" s="1625"/>
      <c r="AB1546" s="1667"/>
      <c r="AC1546" s="1640"/>
      <c r="AD1546" s="1635"/>
      <c r="AE1546" s="1764"/>
      <c r="AF1546" s="1085"/>
      <c r="AG1546" s="1086"/>
      <c r="AH1546" s="1087">
        <v>180000</v>
      </c>
      <c r="AI1546" s="1089">
        <f>AH1546*Q1546*0.5</f>
        <v>1188000</v>
      </c>
      <c r="AJ1546" s="1768"/>
      <c r="AK1546" s="1089">
        <v>231000</v>
      </c>
      <c r="AL1546" s="1087">
        <f>AK1546*X1546</f>
        <v>231000</v>
      </c>
      <c r="AM1546" s="1086"/>
      <c r="AN1546" s="1086"/>
      <c r="AO1546" s="1087"/>
      <c r="AP1546" s="1764"/>
      <c r="AQ1546" s="1087"/>
      <c r="AR1546" s="1764"/>
      <c r="AS1546" s="1764"/>
      <c r="AT1546" s="1086"/>
      <c r="AU1546" s="1768"/>
      <c r="AV1546" s="1814"/>
    </row>
    <row r="1547" spans="1:48" ht="16.5" customHeight="1">
      <c r="A1547" s="1658"/>
      <c r="B1547" s="1665"/>
      <c r="C1547" s="1666"/>
      <c r="D1547" s="1646"/>
      <c r="E1547" s="1659"/>
      <c r="F1547" s="1648"/>
      <c r="G1547" s="1646"/>
      <c r="H1547" s="1807"/>
      <c r="I1547" s="1629"/>
      <c r="J1547" s="1630"/>
      <c r="K1547" s="1631"/>
      <c r="L1547" s="1245"/>
      <c r="M1547" s="1320"/>
      <c r="N1547" s="1632" t="s">
        <v>1792</v>
      </c>
      <c r="O1547" s="1737" t="s">
        <v>320</v>
      </c>
      <c r="P1547" s="1634">
        <v>1</v>
      </c>
      <c r="Q1547" s="1632">
        <v>2</v>
      </c>
      <c r="R1547" s="1646"/>
      <c r="S1547" s="1625"/>
      <c r="T1547" s="1634"/>
      <c r="U1547" s="1635">
        <v>5</v>
      </c>
      <c r="V1547" s="1636" t="s">
        <v>831</v>
      </c>
      <c r="W1547" s="1714"/>
      <c r="X1547" s="1650"/>
      <c r="Y1547" s="1623">
        <v>40</v>
      </c>
      <c r="Z1547" s="1651">
        <f>SUM(W1547:Y1547)</f>
        <v>40</v>
      </c>
      <c r="AA1547" s="1625"/>
      <c r="AB1547" s="1667"/>
      <c r="AC1547" s="1640"/>
      <c r="AD1547" s="1635"/>
      <c r="AE1547" s="1764"/>
      <c r="AF1547" s="1085"/>
      <c r="AG1547" s="1086"/>
      <c r="AH1547" s="1087">
        <v>150000</v>
      </c>
      <c r="AI1547" s="1089">
        <f>AH1547*Q1547*0.75</f>
        <v>225000</v>
      </c>
      <c r="AJ1547" s="1768"/>
      <c r="AK1547" s="1089">
        <v>10000</v>
      </c>
      <c r="AL1547" s="1090">
        <f>AK1547*Y1547</f>
        <v>400000</v>
      </c>
      <c r="AM1547" s="1086"/>
      <c r="AN1547" s="1086"/>
      <c r="AO1547" s="1087"/>
      <c r="AP1547" s="1764"/>
      <c r="AQ1547" s="1087"/>
      <c r="AR1547" s="1764"/>
      <c r="AS1547" s="1764"/>
      <c r="AT1547" s="1086"/>
      <c r="AU1547" s="1768"/>
      <c r="AV1547" s="1814"/>
    </row>
    <row r="1548" spans="1:48" ht="16.5" customHeight="1">
      <c r="A1548" s="1658"/>
      <c r="B1548" s="1665"/>
      <c r="C1548" s="1666"/>
      <c r="D1548" s="1646"/>
      <c r="E1548" s="1659"/>
      <c r="F1548" s="1648"/>
      <c r="G1548" s="1646"/>
      <c r="H1548" s="1807"/>
      <c r="I1548" s="1629"/>
      <c r="J1548" s="1630"/>
      <c r="K1548" s="1631"/>
      <c r="L1548" s="1245"/>
      <c r="M1548" s="1320"/>
      <c r="N1548" s="1632" t="s">
        <v>53</v>
      </c>
      <c r="O1548" s="1737" t="s">
        <v>17</v>
      </c>
      <c r="P1548" s="1634">
        <v>1</v>
      </c>
      <c r="Q1548" s="1632"/>
      <c r="R1548" s="1646"/>
      <c r="S1548" s="1625"/>
      <c r="T1548" s="1634"/>
      <c r="U1548" s="1635"/>
      <c r="V1548" s="1636"/>
      <c r="W1548" s="1714"/>
      <c r="X1548" s="1650"/>
      <c r="Y1548" s="1623"/>
      <c r="Z1548" s="1651"/>
      <c r="AA1548" s="1625"/>
      <c r="AB1548" s="1667"/>
      <c r="AC1548" s="1640"/>
      <c r="AD1548" s="1635"/>
      <c r="AE1548" s="1764"/>
      <c r="AF1548" s="1085"/>
      <c r="AG1548" s="1086"/>
      <c r="AH1548" s="1087">
        <v>2500000</v>
      </c>
      <c r="AI1548" s="1089">
        <f>AH1548*P1548*0.5</f>
        <v>1250000</v>
      </c>
      <c r="AJ1548" s="1768"/>
      <c r="AK1548" s="1089"/>
      <c r="AL1548" s="1090"/>
      <c r="AM1548" s="1086"/>
      <c r="AN1548" s="1086"/>
      <c r="AO1548" s="1087"/>
      <c r="AP1548" s="1764"/>
      <c r="AQ1548" s="1087"/>
      <c r="AR1548" s="1764"/>
      <c r="AS1548" s="1764"/>
      <c r="AT1548" s="1086"/>
      <c r="AU1548" s="1768"/>
      <c r="AV1548" s="1814"/>
    </row>
    <row r="1549" spans="1:48" ht="16.5" customHeight="1">
      <c r="A1549" s="1658"/>
      <c r="B1549" s="1665"/>
      <c r="C1549" s="1666"/>
      <c r="D1549" s="1646"/>
      <c r="E1549" s="1659"/>
      <c r="F1549" s="1648"/>
      <c r="G1549" s="1646"/>
      <c r="H1549" s="1807"/>
      <c r="I1549" s="1629"/>
      <c r="J1549" s="1630"/>
      <c r="K1549" s="1631"/>
      <c r="L1549" s="1245"/>
      <c r="M1549" s="1320"/>
      <c r="N1549" s="1632" t="s">
        <v>51</v>
      </c>
      <c r="O1549" s="1737" t="s">
        <v>11</v>
      </c>
      <c r="P1549" s="1634">
        <v>1</v>
      </c>
      <c r="Q1549" s="1632"/>
      <c r="R1549" s="1646"/>
      <c r="S1549" s="1625"/>
      <c r="T1549" s="1634"/>
      <c r="U1549" s="1635"/>
      <c r="V1549" s="1636"/>
      <c r="W1549" s="1714"/>
      <c r="X1549" s="1650"/>
      <c r="Y1549" s="1623"/>
      <c r="Z1549" s="1651"/>
      <c r="AA1549" s="1625"/>
      <c r="AB1549" s="1667"/>
      <c r="AC1549" s="1640"/>
      <c r="AD1549" s="1635"/>
      <c r="AE1549" s="1764"/>
      <c r="AF1549" s="1085"/>
      <c r="AG1549" s="1086"/>
      <c r="AH1549" s="1087">
        <v>2500000</v>
      </c>
      <c r="AI1549" s="1089">
        <f>AH1549*P1549*0.75</f>
        <v>1875000</v>
      </c>
      <c r="AJ1549" s="1768"/>
      <c r="AK1549" s="1089"/>
      <c r="AL1549" s="1090"/>
      <c r="AM1549" s="1086"/>
      <c r="AN1549" s="1086"/>
      <c r="AO1549" s="1087"/>
      <c r="AP1549" s="1764"/>
      <c r="AQ1549" s="1087"/>
      <c r="AR1549" s="1764"/>
      <c r="AS1549" s="1764"/>
      <c r="AT1549" s="1086"/>
      <c r="AU1549" s="1768"/>
      <c r="AV1549" s="1814"/>
    </row>
    <row r="1550" spans="1:48" ht="16.5" customHeight="1">
      <c r="A1550" s="1658"/>
      <c r="B1550" s="1665"/>
      <c r="C1550" s="1666"/>
      <c r="D1550" s="1646"/>
      <c r="E1550" s="1659"/>
      <c r="F1550" s="1648"/>
      <c r="G1550" s="1646"/>
      <c r="H1550" s="1807"/>
      <c r="I1550" s="1629"/>
      <c r="J1550" s="1630"/>
      <c r="K1550" s="1631"/>
      <c r="L1550" s="1245"/>
      <c r="M1550" s="1320"/>
      <c r="N1550" s="1632" t="s">
        <v>154</v>
      </c>
      <c r="O1550" s="1748" t="s">
        <v>189</v>
      </c>
      <c r="P1550" s="1634"/>
      <c r="Q1550" s="1632">
        <v>21</v>
      </c>
      <c r="R1550" s="1646"/>
      <c r="S1550" s="1625"/>
      <c r="T1550" s="1634"/>
      <c r="U1550" s="1635"/>
      <c r="V1550" s="1636"/>
      <c r="W1550" s="1714"/>
      <c r="X1550" s="1650"/>
      <c r="Y1550" s="1623"/>
      <c r="Z1550" s="1651"/>
      <c r="AA1550" s="1625"/>
      <c r="AB1550" s="1667"/>
      <c r="AC1550" s="1640"/>
      <c r="AD1550" s="1635"/>
      <c r="AE1550" s="1764"/>
      <c r="AF1550" s="1085"/>
      <c r="AG1550" s="1086"/>
      <c r="AH1550" s="1087">
        <v>300000</v>
      </c>
      <c r="AI1550" s="1089">
        <f>AH1550*Q1550*0.5</f>
        <v>3150000</v>
      </c>
      <c r="AJ1550" s="1768"/>
      <c r="AK1550" s="1089"/>
      <c r="AL1550" s="1090"/>
      <c r="AM1550" s="1086"/>
      <c r="AN1550" s="1086"/>
      <c r="AO1550" s="1087"/>
      <c r="AP1550" s="1764"/>
      <c r="AQ1550" s="1087"/>
      <c r="AR1550" s="1764"/>
      <c r="AS1550" s="1764"/>
      <c r="AT1550" s="1086"/>
      <c r="AU1550" s="1768"/>
      <c r="AV1550" s="1814"/>
    </row>
    <row r="1551" spans="1:48" ht="16.5" customHeight="1">
      <c r="A1551" s="1658"/>
      <c r="B1551" s="1665"/>
      <c r="C1551" s="1666"/>
      <c r="D1551" s="1646"/>
      <c r="E1551" s="1659"/>
      <c r="F1551" s="1648"/>
      <c r="G1551" s="1646"/>
      <c r="H1551" s="1807"/>
      <c r="I1551" s="1629"/>
      <c r="J1551" s="1630"/>
      <c r="K1551" s="1631"/>
      <c r="L1551" s="1245"/>
      <c r="M1551" s="1320"/>
      <c r="N1551" s="1632" t="s">
        <v>172</v>
      </c>
      <c r="O1551" s="1737" t="s">
        <v>17</v>
      </c>
      <c r="P1551" s="1634">
        <v>1</v>
      </c>
      <c r="Q1551" s="1632"/>
      <c r="R1551" s="1646"/>
      <c r="S1551" s="1625"/>
      <c r="T1551" s="1634"/>
      <c r="U1551" s="1635"/>
      <c r="V1551" s="1636"/>
      <c r="W1551" s="1714"/>
      <c r="X1551" s="1650"/>
      <c r="Y1551" s="1623"/>
      <c r="Z1551" s="1651"/>
      <c r="AA1551" s="1625"/>
      <c r="AB1551" s="1667"/>
      <c r="AC1551" s="1640"/>
      <c r="AD1551" s="1635"/>
      <c r="AE1551" s="1764"/>
      <c r="AF1551" s="1085"/>
      <c r="AG1551" s="1086"/>
      <c r="AH1551" s="1087">
        <v>2500000</v>
      </c>
      <c r="AI1551" s="1089">
        <f>AH1551*P1551*0.5</f>
        <v>1250000</v>
      </c>
      <c r="AJ1551" s="1768"/>
      <c r="AK1551" s="1089"/>
      <c r="AL1551" s="1090"/>
      <c r="AM1551" s="1086"/>
      <c r="AN1551" s="1086"/>
      <c r="AO1551" s="1087"/>
      <c r="AP1551" s="1764"/>
      <c r="AQ1551" s="1087"/>
      <c r="AR1551" s="1764"/>
      <c r="AS1551" s="1764"/>
      <c r="AT1551" s="1086"/>
      <c r="AU1551" s="1768"/>
      <c r="AV1551" s="1814"/>
    </row>
    <row r="1552" spans="1:48" ht="16.5" customHeight="1">
      <c r="A1552" s="1658"/>
      <c r="B1552" s="1665"/>
      <c r="C1552" s="1666"/>
      <c r="D1552" s="1646"/>
      <c r="E1552" s="1659"/>
      <c r="F1552" s="1648"/>
      <c r="G1552" s="1646"/>
      <c r="H1552" s="1807"/>
      <c r="I1552" s="1629"/>
      <c r="J1552" s="1630"/>
      <c r="K1552" s="1631"/>
      <c r="L1552" s="1245"/>
      <c r="M1552" s="1320"/>
      <c r="N1552" s="1632" t="s">
        <v>187</v>
      </c>
      <c r="O1552" s="1737" t="s">
        <v>11</v>
      </c>
      <c r="P1552" s="1634">
        <v>1</v>
      </c>
      <c r="Q1552" s="1632"/>
      <c r="R1552" s="1646"/>
      <c r="S1552" s="1625"/>
      <c r="T1552" s="1634"/>
      <c r="U1552" s="1635"/>
      <c r="V1552" s="1636"/>
      <c r="W1552" s="1714"/>
      <c r="X1552" s="1650"/>
      <c r="Y1552" s="1623"/>
      <c r="Z1552" s="1651"/>
      <c r="AA1552" s="1625"/>
      <c r="AB1552" s="1667"/>
      <c r="AC1552" s="1640"/>
      <c r="AD1552" s="1635"/>
      <c r="AE1552" s="1764"/>
      <c r="AF1552" s="1085"/>
      <c r="AG1552" s="1086"/>
      <c r="AH1552" s="1087">
        <v>2500000</v>
      </c>
      <c r="AI1552" s="1089">
        <f>AH1552*P1552*0.75</f>
        <v>1875000</v>
      </c>
      <c r="AJ1552" s="1768"/>
      <c r="AK1552" s="1089"/>
      <c r="AL1552" s="1090"/>
      <c r="AM1552" s="1086"/>
      <c r="AN1552" s="1086"/>
      <c r="AO1552" s="1087"/>
      <c r="AP1552" s="1764"/>
      <c r="AQ1552" s="1087"/>
      <c r="AR1552" s="1764"/>
      <c r="AS1552" s="1764"/>
      <c r="AT1552" s="1086"/>
      <c r="AU1552" s="1768"/>
      <c r="AV1552" s="1814"/>
    </row>
    <row r="1553" spans="1:48" ht="16.5" customHeight="1">
      <c r="A1553" s="1658"/>
      <c r="B1553" s="1665"/>
      <c r="C1553" s="1666"/>
      <c r="D1553" s="1646"/>
      <c r="E1553" s="1659"/>
      <c r="F1553" s="1648"/>
      <c r="G1553" s="1646"/>
      <c r="H1553" s="1807"/>
      <c r="I1553" s="1629"/>
      <c r="J1553" s="1630"/>
      <c r="K1553" s="1631"/>
      <c r="L1553" s="1245"/>
      <c r="M1553" s="1320"/>
      <c r="N1553" s="1794"/>
      <c r="O1553" s="1191"/>
      <c r="P1553" s="1075"/>
      <c r="Q1553" s="1632"/>
      <c r="R1553" s="1646"/>
      <c r="S1553" s="1625"/>
      <c r="T1553" s="1634"/>
      <c r="U1553" s="1635"/>
      <c r="V1553" s="1636"/>
      <c r="W1553" s="1714"/>
      <c r="X1553" s="1650"/>
      <c r="Y1553" s="1623"/>
      <c r="Z1553" s="1651"/>
      <c r="AA1553" s="1625"/>
      <c r="AB1553" s="1667"/>
      <c r="AC1553" s="1640"/>
      <c r="AD1553" s="1635"/>
      <c r="AE1553" s="1764"/>
      <c r="AF1553" s="1085"/>
      <c r="AG1553" s="1086"/>
      <c r="AH1553" s="1087"/>
      <c r="AI1553" s="1089">
        <f t="shared" ref="AI1553:AI1569" si="127">AH1553*P1553*0.75</f>
        <v>0</v>
      </c>
      <c r="AJ1553" s="1768"/>
      <c r="AK1553" s="1089"/>
      <c r="AL1553" s="1090"/>
      <c r="AM1553" s="1086"/>
      <c r="AN1553" s="1086"/>
      <c r="AO1553" s="1087"/>
      <c r="AP1553" s="1764"/>
      <c r="AQ1553" s="1087"/>
      <c r="AR1553" s="1764"/>
      <c r="AS1553" s="1764"/>
      <c r="AT1553" s="1086"/>
      <c r="AU1553" s="1768"/>
      <c r="AV1553" s="1814"/>
    </row>
    <row r="1554" spans="1:48" ht="16.5" customHeight="1">
      <c r="A1554" s="1658"/>
      <c r="B1554" s="1665"/>
      <c r="C1554" s="1666"/>
      <c r="D1554" s="1646"/>
      <c r="E1554" s="1659"/>
      <c r="F1554" s="1648"/>
      <c r="G1554" s="1646"/>
      <c r="H1554" s="1807"/>
      <c r="I1554" s="1629"/>
      <c r="J1554" s="1630"/>
      <c r="K1554" s="1631"/>
      <c r="L1554" s="1245"/>
      <c r="M1554" s="1320"/>
      <c r="N1554" s="1794"/>
      <c r="O1554" s="1737" t="s">
        <v>1995</v>
      </c>
      <c r="P1554" s="1075"/>
      <c r="Q1554" s="1632"/>
      <c r="R1554" s="1646"/>
      <c r="S1554" s="1625"/>
      <c r="T1554" s="1634"/>
      <c r="U1554" s="1635"/>
      <c r="V1554" s="1636"/>
      <c r="W1554" s="1714"/>
      <c r="X1554" s="1650"/>
      <c r="Y1554" s="1623"/>
      <c r="Z1554" s="1651"/>
      <c r="AA1554" s="1625"/>
      <c r="AB1554" s="1667"/>
      <c r="AC1554" s="1640"/>
      <c r="AD1554" s="1635"/>
      <c r="AE1554" s="1764"/>
      <c r="AF1554" s="1085"/>
      <c r="AG1554" s="1086"/>
      <c r="AH1554" s="1087"/>
      <c r="AI1554" s="1089">
        <f t="shared" si="127"/>
        <v>0</v>
      </c>
      <c r="AJ1554" s="1768"/>
      <c r="AK1554" s="1089"/>
      <c r="AL1554" s="1090"/>
      <c r="AM1554" s="1086"/>
      <c r="AN1554" s="1086"/>
      <c r="AO1554" s="1087"/>
      <c r="AP1554" s="1764"/>
      <c r="AQ1554" s="1087"/>
      <c r="AR1554" s="1764"/>
      <c r="AS1554" s="1764"/>
      <c r="AT1554" s="1086"/>
      <c r="AU1554" s="1768"/>
      <c r="AV1554" s="1814"/>
    </row>
    <row r="1555" spans="1:48" ht="16.5" customHeight="1">
      <c r="A1555" s="1658"/>
      <c r="B1555" s="1665"/>
      <c r="C1555" s="1666"/>
      <c r="D1555" s="1646"/>
      <c r="E1555" s="1659"/>
      <c r="F1555" s="1648"/>
      <c r="G1555" s="1646"/>
      <c r="H1555" s="1807"/>
      <c r="I1555" s="1629"/>
      <c r="J1555" s="1630"/>
      <c r="K1555" s="1631"/>
      <c r="L1555" s="1245"/>
      <c r="M1555" s="1320"/>
      <c r="N1555" s="1794" t="s">
        <v>25</v>
      </c>
      <c r="O1555" s="1748" t="s">
        <v>274</v>
      </c>
      <c r="P1555" s="1634">
        <v>1</v>
      </c>
      <c r="Q1555" s="1651">
        <v>72.239999999999995</v>
      </c>
      <c r="R1555" s="1646"/>
      <c r="S1555" s="1625"/>
      <c r="T1555" s="1634"/>
      <c r="U1555" s="1635"/>
      <c r="V1555" s="1636"/>
      <c r="W1555" s="1714"/>
      <c r="X1555" s="1650"/>
      <c r="Y1555" s="1623"/>
      <c r="Z1555" s="1651"/>
      <c r="AA1555" s="1625"/>
      <c r="AB1555" s="1667"/>
      <c r="AC1555" s="1640"/>
      <c r="AD1555" s="1635"/>
      <c r="AE1555" s="1764"/>
      <c r="AF1555" s="1085"/>
      <c r="AG1555" s="1086"/>
      <c r="AH1555" s="1087">
        <v>1800000</v>
      </c>
      <c r="AI1555" s="1089">
        <f>AH1555*Q1555*0.75</f>
        <v>97523999.999999985</v>
      </c>
      <c r="AJ1555" s="1768"/>
      <c r="AK1555" s="1089"/>
      <c r="AL1555" s="1090"/>
      <c r="AM1555" s="1086"/>
      <c r="AN1555" s="1086"/>
      <c r="AO1555" s="1087"/>
      <c r="AP1555" s="1764"/>
      <c r="AQ1555" s="1087"/>
      <c r="AR1555" s="1764"/>
      <c r="AS1555" s="1764"/>
      <c r="AT1555" s="1086"/>
      <c r="AU1555" s="1768"/>
      <c r="AV1555" s="1814"/>
    </row>
    <row r="1556" spans="1:48" ht="16.5" customHeight="1">
      <c r="A1556" s="1658"/>
      <c r="B1556" s="1665"/>
      <c r="C1556" s="1666"/>
      <c r="D1556" s="1646"/>
      <c r="E1556" s="1659"/>
      <c r="F1556" s="1648"/>
      <c r="G1556" s="1646"/>
      <c r="H1556" s="1807"/>
      <c r="I1556" s="1629"/>
      <c r="J1556" s="1630"/>
      <c r="K1556" s="1631"/>
      <c r="L1556" s="1245"/>
      <c r="M1556" s="1320"/>
      <c r="N1556" s="1794" t="s">
        <v>16</v>
      </c>
      <c r="O1556" s="1737" t="s">
        <v>21</v>
      </c>
      <c r="P1556" s="1634">
        <v>1</v>
      </c>
      <c r="Q1556" s="1632">
        <v>10</v>
      </c>
      <c r="R1556" s="1646"/>
      <c r="S1556" s="1625"/>
      <c r="T1556" s="1634"/>
      <c r="U1556" s="1635"/>
      <c r="V1556" s="1636"/>
      <c r="W1556" s="1714"/>
      <c r="X1556" s="1650"/>
      <c r="Y1556" s="1623"/>
      <c r="Z1556" s="1651"/>
      <c r="AA1556" s="1625"/>
      <c r="AB1556" s="1667"/>
      <c r="AC1556" s="1640"/>
      <c r="AD1556" s="1635"/>
      <c r="AE1556" s="1764"/>
      <c r="AF1556" s="1085"/>
      <c r="AG1556" s="1086"/>
      <c r="AH1556" s="1087">
        <v>250000</v>
      </c>
      <c r="AI1556" s="1089">
        <f>AH1556*P1556*0.6</f>
        <v>150000</v>
      </c>
      <c r="AJ1556" s="1768"/>
      <c r="AK1556" s="1089"/>
      <c r="AL1556" s="1090"/>
      <c r="AM1556" s="1086"/>
      <c r="AN1556" s="1086"/>
      <c r="AO1556" s="1087"/>
      <c r="AP1556" s="1764"/>
      <c r="AQ1556" s="1087"/>
      <c r="AR1556" s="1764"/>
      <c r="AS1556" s="1764"/>
      <c r="AT1556" s="1086"/>
      <c r="AU1556" s="1768"/>
      <c r="AV1556" s="1814"/>
    </row>
    <row r="1557" spans="1:48" ht="16.5" customHeight="1">
      <c r="A1557" s="1658"/>
      <c r="B1557" s="1665"/>
      <c r="C1557" s="1666"/>
      <c r="D1557" s="1646"/>
      <c r="E1557" s="1659"/>
      <c r="F1557" s="1648"/>
      <c r="G1557" s="1646"/>
      <c r="H1557" s="1807"/>
      <c r="I1557" s="1629"/>
      <c r="J1557" s="1630"/>
      <c r="K1557" s="1631"/>
      <c r="L1557" s="1245"/>
      <c r="M1557" s="1320"/>
      <c r="N1557" s="1794" t="s">
        <v>18</v>
      </c>
      <c r="O1557" s="1737" t="s">
        <v>17</v>
      </c>
      <c r="P1557" s="1634">
        <v>1</v>
      </c>
      <c r="Q1557" s="1632"/>
      <c r="R1557" s="1646"/>
      <c r="S1557" s="1625"/>
      <c r="T1557" s="1634"/>
      <c r="U1557" s="1635"/>
      <c r="V1557" s="1636"/>
      <c r="W1557" s="1714"/>
      <c r="X1557" s="1650"/>
      <c r="Y1557" s="1623"/>
      <c r="Z1557" s="1651"/>
      <c r="AA1557" s="1625"/>
      <c r="AB1557" s="1667"/>
      <c r="AC1557" s="1640"/>
      <c r="AD1557" s="1635"/>
      <c r="AE1557" s="1764"/>
      <c r="AF1557" s="1085"/>
      <c r="AG1557" s="1086"/>
      <c r="AH1557" s="1087">
        <v>2500000</v>
      </c>
      <c r="AI1557" s="1089">
        <f>AH1557*P1557*0.5</f>
        <v>1250000</v>
      </c>
      <c r="AJ1557" s="1768"/>
      <c r="AK1557" s="1089"/>
      <c r="AL1557" s="1090"/>
      <c r="AM1557" s="1086"/>
      <c r="AN1557" s="1086"/>
      <c r="AO1557" s="1087"/>
      <c r="AP1557" s="1764"/>
      <c r="AQ1557" s="1087"/>
      <c r="AR1557" s="1764"/>
      <c r="AS1557" s="1764"/>
      <c r="AT1557" s="1086"/>
      <c r="AU1557" s="1768"/>
      <c r="AV1557" s="1814"/>
    </row>
    <row r="1558" spans="1:48" ht="16.5" customHeight="1">
      <c r="A1558" s="1658"/>
      <c r="B1558" s="1665"/>
      <c r="C1558" s="1666"/>
      <c r="D1558" s="1646"/>
      <c r="E1558" s="1659"/>
      <c r="F1558" s="1648"/>
      <c r="G1558" s="1646"/>
      <c r="H1558" s="1807"/>
      <c r="I1558" s="1629"/>
      <c r="J1558" s="1630"/>
      <c r="K1558" s="1631"/>
      <c r="L1558" s="1245"/>
      <c r="M1558" s="1320"/>
      <c r="N1558" s="1794" t="s">
        <v>12</v>
      </c>
      <c r="O1558" s="1737" t="s">
        <v>11</v>
      </c>
      <c r="P1558" s="1634">
        <v>1</v>
      </c>
      <c r="Q1558" s="1632"/>
      <c r="R1558" s="1646"/>
      <c r="S1558" s="1625"/>
      <c r="T1558" s="1634"/>
      <c r="U1558" s="1635"/>
      <c r="V1558" s="1636"/>
      <c r="W1558" s="1714"/>
      <c r="X1558" s="1650"/>
      <c r="Y1558" s="1623"/>
      <c r="Z1558" s="1651"/>
      <c r="AA1558" s="1625"/>
      <c r="AB1558" s="1667"/>
      <c r="AC1558" s="1640"/>
      <c r="AD1558" s="1635"/>
      <c r="AE1558" s="1764"/>
      <c r="AF1558" s="1085"/>
      <c r="AG1558" s="1086"/>
      <c r="AH1558" s="1087">
        <v>2500000</v>
      </c>
      <c r="AI1558" s="1089">
        <f>AH1558*P1558*0.75</f>
        <v>1875000</v>
      </c>
      <c r="AJ1558" s="1768"/>
      <c r="AK1558" s="1089"/>
      <c r="AL1558" s="1090"/>
      <c r="AM1558" s="1086"/>
      <c r="AN1558" s="1086"/>
      <c r="AO1558" s="1087"/>
      <c r="AP1558" s="1764"/>
      <c r="AQ1558" s="1087"/>
      <c r="AR1558" s="1764"/>
      <c r="AS1558" s="1764"/>
      <c r="AT1558" s="1086"/>
      <c r="AU1558" s="1768"/>
      <c r="AV1558" s="1814"/>
    </row>
    <row r="1559" spans="1:48" ht="16.5" customHeight="1">
      <c r="A1559" s="1658"/>
      <c r="B1559" s="1665"/>
      <c r="C1559" s="1666"/>
      <c r="D1559" s="1646"/>
      <c r="E1559" s="1659"/>
      <c r="F1559" s="1648"/>
      <c r="G1559" s="1646"/>
      <c r="H1559" s="1807"/>
      <c r="I1559" s="1629"/>
      <c r="J1559" s="1630"/>
      <c r="K1559" s="1631"/>
      <c r="L1559" s="1245"/>
      <c r="M1559" s="1320"/>
      <c r="N1559" s="1794" t="s">
        <v>8</v>
      </c>
      <c r="O1559" s="1737" t="s">
        <v>7</v>
      </c>
      <c r="P1559" s="1634"/>
      <c r="Q1559" s="1632">
        <v>57</v>
      </c>
      <c r="R1559" s="1646"/>
      <c r="S1559" s="1625"/>
      <c r="T1559" s="1634"/>
      <c r="U1559" s="1635"/>
      <c r="V1559" s="1636"/>
      <c r="W1559" s="1714"/>
      <c r="X1559" s="1650"/>
      <c r="Y1559" s="1623"/>
      <c r="Z1559" s="1651"/>
      <c r="AA1559" s="1625"/>
      <c r="AB1559" s="1667"/>
      <c r="AC1559" s="1640"/>
      <c r="AD1559" s="1635"/>
      <c r="AE1559" s="1764"/>
      <c r="AF1559" s="1085"/>
      <c r="AG1559" s="1086"/>
      <c r="AH1559" s="1087">
        <v>300000</v>
      </c>
      <c r="AI1559" s="1089">
        <f>AH1559*Q1559*0.5</f>
        <v>8550000</v>
      </c>
      <c r="AJ1559" s="1768"/>
      <c r="AK1559" s="1089"/>
      <c r="AL1559" s="1090"/>
      <c r="AM1559" s="1086"/>
      <c r="AN1559" s="1086"/>
      <c r="AO1559" s="1087"/>
      <c r="AP1559" s="1764"/>
      <c r="AQ1559" s="1087"/>
      <c r="AR1559" s="1764"/>
      <c r="AS1559" s="1764"/>
      <c r="AT1559" s="1086"/>
      <c r="AU1559" s="1768"/>
      <c r="AV1559" s="1814"/>
    </row>
    <row r="1560" spans="1:48" ht="16.5" customHeight="1">
      <c r="A1560" s="1658"/>
      <c r="B1560" s="1665"/>
      <c r="C1560" s="1666"/>
      <c r="D1560" s="1646"/>
      <c r="E1560" s="1659"/>
      <c r="F1560" s="1648"/>
      <c r="G1560" s="1646"/>
      <c r="H1560" s="1807"/>
      <c r="I1560" s="1629"/>
      <c r="J1560" s="1630"/>
      <c r="K1560" s="1631"/>
      <c r="L1560" s="1245"/>
      <c r="M1560" s="1320"/>
      <c r="N1560" s="1794"/>
      <c r="O1560" s="1737"/>
      <c r="P1560" s="1634"/>
      <c r="Q1560" s="1632"/>
      <c r="R1560" s="1646"/>
      <c r="S1560" s="1625"/>
      <c r="T1560" s="1634"/>
      <c r="U1560" s="1635"/>
      <c r="V1560" s="1636"/>
      <c r="W1560" s="1714"/>
      <c r="X1560" s="1650"/>
      <c r="Y1560" s="1623"/>
      <c r="Z1560" s="1651"/>
      <c r="AA1560" s="1625"/>
      <c r="AB1560" s="1667"/>
      <c r="AC1560" s="1640"/>
      <c r="AD1560" s="1635"/>
      <c r="AE1560" s="1764"/>
      <c r="AF1560" s="1085"/>
      <c r="AG1560" s="1086"/>
      <c r="AH1560" s="1087"/>
      <c r="AI1560" s="1089">
        <f t="shared" si="127"/>
        <v>0</v>
      </c>
      <c r="AJ1560" s="1768"/>
      <c r="AK1560" s="1089"/>
      <c r="AL1560" s="1090"/>
      <c r="AM1560" s="1086"/>
      <c r="AN1560" s="1086"/>
      <c r="AO1560" s="1087"/>
      <c r="AP1560" s="1764"/>
      <c r="AQ1560" s="1087"/>
      <c r="AR1560" s="1764"/>
      <c r="AS1560" s="1764"/>
      <c r="AT1560" s="1086"/>
      <c r="AU1560" s="1768"/>
      <c r="AV1560" s="1814"/>
    </row>
    <row r="1561" spans="1:48" ht="16.5" customHeight="1">
      <c r="A1561" s="1658"/>
      <c r="B1561" s="1665"/>
      <c r="C1561" s="1666"/>
      <c r="D1561" s="1646"/>
      <c r="E1561" s="1659"/>
      <c r="F1561" s="1648"/>
      <c r="G1561" s="1646"/>
      <c r="H1561" s="1807"/>
      <c r="I1561" s="1629"/>
      <c r="J1561" s="1630"/>
      <c r="K1561" s="1631"/>
      <c r="L1561" s="1245"/>
      <c r="M1561" s="1320"/>
      <c r="N1561" s="1794"/>
      <c r="O1561" s="1737" t="s">
        <v>1994</v>
      </c>
      <c r="P1561" s="1634"/>
      <c r="Q1561" s="1632"/>
      <c r="R1561" s="1646"/>
      <c r="S1561" s="1625"/>
      <c r="T1561" s="1634"/>
      <c r="U1561" s="1635"/>
      <c r="V1561" s="1636"/>
      <c r="W1561" s="1714"/>
      <c r="X1561" s="1650"/>
      <c r="Y1561" s="1623"/>
      <c r="Z1561" s="1651"/>
      <c r="AA1561" s="1625"/>
      <c r="AB1561" s="1667"/>
      <c r="AC1561" s="1640"/>
      <c r="AD1561" s="1635"/>
      <c r="AE1561" s="1764"/>
      <c r="AF1561" s="1085"/>
      <c r="AG1561" s="1086"/>
      <c r="AH1561" s="1087"/>
      <c r="AI1561" s="1089">
        <f t="shared" si="127"/>
        <v>0</v>
      </c>
      <c r="AJ1561" s="1768"/>
      <c r="AK1561" s="1089"/>
      <c r="AL1561" s="1090"/>
      <c r="AM1561" s="1086"/>
      <c r="AN1561" s="1086"/>
      <c r="AO1561" s="1087"/>
      <c r="AP1561" s="1764"/>
      <c r="AQ1561" s="1087"/>
      <c r="AR1561" s="1764"/>
      <c r="AS1561" s="1764"/>
      <c r="AT1561" s="1086"/>
      <c r="AU1561" s="1768"/>
      <c r="AV1561" s="1814"/>
    </row>
    <row r="1562" spans="1:48" ht="16.5" customHeight="1">
      <c r="A1562" s="1658"/>
      <c r="B1562" s="1665"/>
      <c r="C1562" s="1666"/>
      <c r="D1562" s="1646"/>
      <c r="E1562" s="1659"/>
      <c r="F1562" s="1648"/>
      <c r="G1562" s="1646"/>
      <c r="H1562" s="1807"/>
      <c r="I1562" s="1629"/>
      <c r="J1562" s="1630"/>
      <c r="K1562" s="1631"/>
      <c r="L1562" s="1245"/>
      <c r="M1562" s="1320"/>
      <c r="N1562" s="1794" t="s">
        <v>25</v>
      </c>
      <c r="O1562" s="1748" t="s">
        <v>26</v>
      </c>
      <c r="P1562" s="1634">
        <v>1</v>
      </c>
      <c r="Q1562" s="1632">
        <v>83.1</v>
      </c>
      <c r="R1562" s="1646"/>
      <c r="S1562" s="1625"/>
      <c r="T1562" s="1634"/>
      <c r="U1562" s="1635"/>
      <c r="V1562" s="1636"/>
      <c r="W1562" s="1714"/>
      <c r="X1562" s="1650"/>
      <c r="Y1562" s="1623"/>
      <c r="Z1562" s="1651"/>
      <c r="AA1562" s="1625"/>
      <c r="AB1562" s="1667"/>
      <c r="AC1562" s="1640"/>
      <c r="AD1562" s="1635"/>
      <c r="AE1562" s="1764"/>
      <c r="AF1562" s="1085"/>
      <c r="AG1562" s="1086"/>
      <c r="AH1562" s="1087">
        <v>2200000</v>
      </c>
      <c r="AI1562" s="1089">
        <f>AH1562*Q1562*0.8</f>
        <v>146256000</v>
      </c>
      <c r="AJ1562" s="1768"/>
      <c r="AK1562" s="1089"/>
      <c r="AL1562" s="1090"/>
      <c r="AM1562" s="1086"/>
      <c r="AN1562" s="1086"/>
      <c r="AO1562" s="1087"/>
      <c r="AP1562" s="1764"/>
      <c r="AQ1562" s="1087"/>
      <c r="AR1562" s="1764"/>
      <c r="AS1562" s="1764"/>
      <c r="AT1562" s="1086"/>
      <c r="AU1562" s="1768"/>
      <c r="AV1562" s="1814"/>
    </row>
    <row r="1563" spans="1:48" ht="16.5" customHeight="1">
      <c r="A1563" s="1658"/>
      <c r="B1563" s="1665"/>
      <c r="C1563" s="1666"/>
      <c r="D1563" s="1646"/>
      <c r="E1563" s="1659"/>
      <c r="F1563" s="1648"/>
      <c r="G1563" s="1646"/>
      <c r="H1563" s="1807"/>
      <c r="I1563" s="1629"/>
      <c r="J1563" s="1630"/>
      <c r="K1563" s="1631"/>
      <c r="L1563" s="1245"/>
      <c r="M1563" s="1320"/>
      <c r="N1563" s="1632" t="s">
        <v>16</v>
      </c>
      <c r="O1563" s="1737" t="s">
        <v>21</v>
      </c>
      <c r="P1563" s="1634">
        <v>1</v>
      </c>
      <c r="Q1563" s="1632">
        <v>10.199999999999999</v>
      </c>
      <c r="R1563" s="1646"/>
      <c r="S1563" s="1625"/>
      <c r="T1563" s="1634"/>
      <c r="U1563" s="1635"/>
      <c r="V1563" s="1636"/>
      <c r="W1563" s="1714"/>
      <c r="X1563" s="1650"/>
      <c r="Y1563" s="1623"/>
      <c r="Z1563" s="1651"/>
      <c r="AA1563" s="1625"/>
      <c r="AB1563" s="1667"/>
      <c r="AC1563" s="1640"/>
      <c r="AD1563" s="1635"/>
      <c r="AE1563" s="1764"/>
      <c r="AF1563" s="1085"/>
      <c r="AG1563" s="1086"/>
      <c r="AH1563" s="1087">
        <v>350000</v>
      </c>
      <c r="AI1563" s="1089">
        <f>AH1563*Q1563*0.7</f>
        <v>2498999.9999999995</v>
      </c>
      <c r="AJ1563" s="1768"/>
      <c r="AK1563" s="1089"/>
      <c r="AL1563" s="1090"/>
      <c r="AM1563" s="1086"/>
      <c r="AN1563" s="1086"/>
      <c r="AO1563" s="1087"/>
      <c r="AP1563" s="1764"/>
      <c r="AQ1563" s="1087"/>
      <c r="AR1563" s="1764"/>
      <c r="AS1563" s="1764"/>
      <c r="AT1563" s="1086"/>
      <c r="AU1563" s="1768"/>
      <c r="AV1563" s="1814"/>
    </row>
    <row r="1564" spans="1:48" ht="16.5" customHeight="1">
      <c r="A1564" s="1658"/>
      <c r="B1564" s="1665"/>
      <c r="C1564" s="1666"/>
      <c r="D1564" s="1646"/>
      <c r="E1564" s="1659"/>
      <c r="F1564" s="1648"/>
      <c r="G1564" s="1646"/>
      <c r="H1564" s="1807"/>
      <c r="I1564" s="1629"/>
      <c r="J1564" s="1630"/>
      <c r="K1564" s="1631"/>
      <c r="L1564" s="1245"/>
      <c r="M1564" s="1320"/>
      <c r="N1564" s="1632" t="s">
        <v>18</v>
      </c>
      <c r="O1564" s="1737" t="s">
        <v>1097</v>
      </c>
      <c r="P1564" s="1634">
        <v>1</v>
      </c>
      <c r="Q1564" s="1632"/>
      <c r="R1564" s="1646"/>
      <c r="S1564" s="1625"/>
      <c r="T1564" s="1634"/>
      <c r="U1564" s="1635"/>
      <c r="V1564" s="1636"/>
      <c r="W1564" s="1714"/>
      <c r="X1564" s="1650"/>
      <c r="Y1564" s="1623"/>
      <c r="Z1564" s="1651"/>
      <c r="AA1564" s="1625"/>
      <c r="AB1564" s="1667"/>
      <c r="AC1564" s="1640"/>
      <c r="AD1564" s="1635"/>
      <c r="AE1564" s="1764"/>
      <c r="AF1564" s="1085"/>
      <c r="AG1564" s="1086"/>
      <c r="AH1564" s="1087">
        <v>500000</v>
      </c>
      <c r="AI1564" s="1089">
        <f>AH1564*P1564*0.5</f>
        <v>250000</v>
      </c>
      <c r="AJ1564" s="1768"/>
      <c r="AK1564" s="1089"/>
      <c r="AL1564" s="1090"/>
      <c r="AM1564" s="1086"/>
      <c r="AN1564" s="1086"/>
      <c r="AO1564" s="1087"/>
      <c r="AP1564" s="1764"/>
      <c r="AQ1564" s="1087"/>
      <c r="AR1564" s="1764"/>
      <c r="AS1564" s="1764"/>
      <c r="AT1564" s="1086"/>
      <c r="AU1564" s="1768"/>
      <c r="AV1564" s="1814"/>
    </row>
    <row r="1565" spans="1:48" ht="16.5" customHeight="1">
      <c r="A1565" s="1658"/>
      <c r="B1565" s="1665"/>
      <c r="C1565" s="1666"/>
      <c r="D1565" s="1646"/>
      <c r="E1565" s="1659"/>
      <c r="F1565" s="1648"/>
      <c r="G1565" s="1646"/>
      <c r="H1565" s="1807"/>
      <c r="I1565" s="1629"/>
      <c r="J1565" s="1630"/>
      <c r="K1565" s="1631"/>
      <c r="L1565" s="1245"/>
      <c r="M1565" s="1320"/>
      <c r="N1565" s="1632" t="s">
        <v>12</v>
      </c>
      <c r="O1565" s="1737" t="s">
        <v>17</v>
      </c>
      <c r="P1565" s="1634">
        <v>1</v>
      </c>
      <c r="Q1565" s="1632"/>
      <c r="R1565" s="1646"/>
      <c r="S1565" s="1625"/>
      <c r="T1565" s="1634"/>
      <c r="U1565" s="1635"/>
      <c r="V1565" s="1636"/>
      <c r="W1565" s="1714"/>
      <c r="X1565" s="1650"/>
      <c r="Y1565" s="1623"/>
      <c r="Z1565" s="1651"/>
      <c r="AA1565" s="1625"/>
      <c r="AB1565" s="1667"/>
      <c r="AC1565" s="1640"/>
      <c r="AD1565" s="1635"/>
      <c r="AE1565" s="1764"/>
      <c r="AF1565" s="1085"/>
      <c r="AG1565" s="1086"/>
      <c r="AH1565" s="1087">
        <v>2500000</v>
      </c>
      <c r="AI1565" s="1089">
        <f>AH1565*P1565*0.5</f>
        <v>1250000</v>
      </c>
      <c r="AJ1565" s="1768"/>
      <c r="AK1565" s="1089"/>
      <c r="AL1565" s="1090"/>
      <c r="AM1565" s="1086"/>
      <c r="AN1565" s="1086"/>
      <c r="AO1565" s="1087"/>
      <c r="AP1565" s="1764"/>
      <c r="AQ1565" s="1087"/>
      <c r="AR1565" s="1764"/>
      <c r="AS1565" s="1764"/>
      <c r="AT1565" s="1086"/>
      <c r="AU1565" s="1768"/>
      <c r="AV1565" s="1814"/>
    </row>
    <row r="1566" spans="1:48" ht="16.5" customHeight="1">
      <c r="A1566" s="1658"/>
      <c r="B1566" s="1665"/>
      <c r="C1566" s="1666"/>
      <c r="D1566" s="1646"/>
      <c r="E1566" s="1659"/>
      <c r="F1566" s="1648"/>
      <c r="G1566" s="1646"/>
      <c r="H1566" s="1807"/>
      <c r="I1566" s="1629"/>
      <c r="J1566" s="1630"/>
      <c r="K1566" s="1631"/>
      <c r="L1566" s="1245"/>
      <c r="M1566" s="1320"/>
      <c r="N1566" s="1632" t="s">
        <v>8</v>
      </c>
      <c r="O1566" s="1737" t="s">
        <v>11</v>
      </c>
      <c r="P1566" s="1634">
        <v>2</v>
      </c>
      <c r="Q1566" s="1632"/>
      <c r="R1566" s="1646"/>
      <c r="S1566" s="1625"/>
      <c r="T1566" s="1634"/>
      <c r="U1566" s="1635"/>
      <c r="V1566" s="1636"/>
      <c r="W1566" s="1714"/>
      <c r="X1566" s="1650"/>
      <c r="Y1566" s="1623"/>
      <c r="Z1566" s="1651"/>
      <c r="AA1566" s="1625"/>
      <c r="AB1566" s="1667"/>
      <c r="AC1566" s="1640"/>
      <c r="AD1566" s="1635"/>
      <c r="AE1566" s="1764"/>
      <c r="AF1566" s="1085"/>
      <c r="AG1566" s="1086"/>
      <c r="AH1566" s="1087">
        <v>2500000</v>
      </c>
      <c r="AI1566" s="1089">
        <f>AH1566*P1566*0.75</f>
        <v>3750000</v>
      </c>
      <c r="AJ1566" s="1768"/>
      <c r="AK1566" s="1089"/>
      <c r="AL1566" s="1090"/>
      <c r="AM1566" s="1086"/>
      <c r="AN1566" s="1086"/>
      <c r="AO1566" s="1087"/>
      <c r="AP1566" s="1764"/>
      <c r="AQ1566" s="1087"/>
      <c r="AR1566" s="1764"/>
      <c r="AS1566" s="1764"/>
      <c r="AT1566" s="1086"/>
      <c r="AU1566" s="1768"/>
      <c r="AV1566" s="1814"/>
    </row>
    <row r="1567" spans="1:48" ht="16.5" customHeight="1">
      <c r="A1567" s="1658"/>
      <c r="B1567" s="1665"/>
      <c r="C1567" s="1666"/>
      <c r="D1567" s="1646"/>
      <c r="E1567" s="1659"/>
      <c r="F1567" s="1648"/>
      <c r="G1567" s="1646"/>
      <c r="H1567" s="1807"/>
      <c r="I1567" s="1629"/>
      <c r="J1567" s="1630"/>
      <c r="K1567" s="1631"/>
      <c r="L1567" s="1245"/>
      <c r="M1567" s="1320"/>
      <c r="N1567" s="1632" t="s">
        <v>54</v>
      </c>
      <c r="O1567" s="1737" t="s">
        <v>7</v>
      </c>
      <c r="P1567" s="1634"/>
      <c r="Q1567" s="1632">
        <v>27.1</v>
      </c>
      <c r="R1567" s="1646"/>
      <c r="S1567" s="1625"/>
      <c r="T1567" s="1634"/>
      <c r="U1567" s="1635"/>
      <c r="V1567" s="1636"/>
      <c r="W1567" s="1714"/>
      <c r="X1567" s="1650"/>
      <c r="Y1567" s="1623"/>
      <c r="Z1567" s="1651"/>
      <c r="AA1567" s="1625"/>
      <c r="AB1567" s="1667"/>
      <c r="AC1567" s="1640"/>
      <c r="AD1567" s="1635"/>
      <c r="AE1567" s="1764"/>
      <c r="AF1567" s="1085"/>
      <c r="AG1567" s="1086"/>
      <c r="AH1567" s="1087">
        <v>300000</v>
      </c>
      <c r="AI1567" s="1089">
        <f>AH1567*Q1567*0.5</f>
        <v>4065000</v>
      </c>
      <c r="AJ1567" s="1768"/>
      <c r="AK1567" s="1089"/>
      <c r="AL1567" s="1090"/>
      <c r="AM1567" s="1086"/>
      <c r="AN1567" s="1086"/>
      <c r="AO1567" s="1087"/>
      <c r="AP1567" s="1764"/>
      <c r="AQ1567" s="1087"/>
      <c r="AR1567" s="1764"/>
      <c r="AS1567" s="1764"/>
      <c r="AT1567" s="1086"/>
      <c r="AU1567" s="1768"/>
      <c r="AV1567" s="1814"/>
    </row>
    <row r="1568" spans="1:48" ht="16.5" customHeight="1">
      <c r="A1568" s="1658"/>
      <c r="B1568" s="1665"/>
      <c r="C1568" s="1666"/>
      <c r="D1568" s="1646"/>
      <c r="E1568" s="1659"/>
      <c r="F1568" s="1648"/>
      <c r="G1568" s="1646"/>
      <c r="H1568" s="1807"/>
      <c r="I1568" s="1629"/>
      <c r="J1568" s="1630"/>
      <c r="K1568" s="1631"/>
      <c r="L1568" s="1245"/>
      <c r="M1568" s="1320"/>
      <c r="N1568" s="1632"/>
      <c r="O1568" s="1737"/>
      <c r="P1568" s="1634"/>
      <c r="Q1568" s="1632"/>
      <c r="R1568" s="1646"/>
      <c r="S1568" s="1625"/>
      <c r="T1568" s="1634"/>
      <c r="U1568" s="1635"/>
      <c r="V1568" s="1636"/>
      <c r="W1568" s="1714"/>
      <c r="X1568" s="1650"/>
      <c r="Y1568" s="1623"/>
      <c r="Z1568" s="1651"/>
      <c r="AA1568" s="1625"/>
      <c r="AB1568" s="1667"/>
      <c r="AC1568" s="1640"/>
      <c r="AD1568" s="1635"/>
      <c r="AE1568" s="1764"/>
      <c r="AF1568" s="1085"/>
      <c r="AG1568" s="1086"/>
      <c r="AH1568" s="1087"/>
      <c r="AI1568" s="1089">
        <f t="shared" si="127"/>
        <v>0</v>
      </c>
      <c r="AJ1568" s="1768"/>
      <c r="AK1568" s="1089"/>
      <c r="AL1568" s="1090"/>
      <c r="AM1568" s="1086"/>
      <c r="AN1568" s="1086"/>
      <c r="AO1568" s="1087"/>
      <c r="AP1568" s="1764"/>
      <c r="AQ1568" s="1087"/>
      <c r="AR1568" s="1764"/>
      <c r="AS1568" s="1764"/>
      <c r="AT1568" s="1086"/>
      <c r="AU1568" s="1768"/>
      <c r="AV1568" s="1814"/>
    </row>
    <row r="1569" spans="1:48" ht="16.5" customHeight="1">
      <c r="A1569" s="1658"/>
      <c r="B1569" s="1665"/>
      <c r="C1569" s="1666"/>
      <c r="D1569" s="1646"/>
      <c r="E1569" s="1659"/>
      <c r="F1569" s="1648"/>
      <c r="G1569" s="1646"/>
      <c r="H1569" s="1807"/>
      <c r="I1569" s="1629"/>
      <c r="J1569" s="1630"/>
      <c r="K1569" s="1631"/>
      <c r="L1569" s="1245"/>
      <c r="M1569" s="1320"/>
      <c r="N1569" s="1632"/>
      <c r="O1569" s="1737" t="s">
        <v>1996</v>
      </c>
      <c r="P1569" s="1634"/>
      <c r="Q1569" s="1632"/>
      <c r="R1569" s="1646"/>
      <c r="S1569" s="1625"/>
      <c r="T1569" s="1634"/>
      <c r="U1569" s="1635"/>
      <c r="V1569" s="1636"/>
      <c r="W1569" s="1714"/>
      <c r="X1569" s="1650"/>
      <c r="Y1569" s="1623"/>
      <c r="Z1569" s="1651"/>
      <c r="AA1569" s="1625"/>
      <c r="AB1569" s="1667"/>
      <c r="AC1569" s="1640"/>
      <c r="AD1569" s="1635"/>
      <c r="AE1569" s="1764"/>
      <c r="AF1569" s="1085"/>
      <c r="AG1569" s="1086"/>
      <c r="AH1569" s="1087"/>
      <c r="AI1569" s="1089">
        <f t="shared" si="127"/>
        <v>0</v>
      </c>
      <c r="AJ1569" s="1768"/>
      <c r="AK1569" s="1089"/>
      <c r="AL1569" s="1090"/>
      <c r="AM1569" s="1086"/>
      <c r="AN1569" s="1086"/>
      <c r="AO1569" s="1087"/>
      <c r="AP1569" s="1764"/>
      <c r="AQ1569" s="1087"/>
      <c r="AR1569" s="1764"/>
      <c r="AS1569" s="1764"/>
      <c r="AT1569" s="1086"/>
      <c r="AU1569" s="1768"/>
      <c r="AV1569" s="1814"/>
    </row>
    <row r="1570" spans="1:48" ht="16.5" customHeight="1">
      <c r="A1570" s="1658"/>
      <c r="B1570" s="1665"/>
      <c r="C1570" s="1666"/>
      <c r="D1570" s="1646"/>
      <c r="E1570" s="1659"/>
      <c r="F1570" s="1648"/>
      <c r="G1570" s="1646"/>
      <c r="H1570" s="1807"/>
      <c r="I1570" s="1629"/>
      <c r="J1570" s="1630"/>
      <c r="K1570" s="1631"/>
      <c r="L1570" s="1245"/>
      <c r="M1570" s="1320"/>
      <c r="N1570" s="1794" t="s">
        <v>25</v>
      </c>
      <c r="O1570" s="1748" t="s">
        <v>274</v>
      </c>
      <c r="P1570" s="1634">
        <v>1</v>
      </c>
      <c r="Q1570" s="1075">
        <v>85.81</v>
      </c>
      <c r="R1570" s="1646"/>
      <c r="S1570" s="1625"/>
      <c r="T1570" s="1634"/>
      <c r="U1570" s="1635"/>
      <c r="V1570" s="1636"/>
      <c r="W1570" s="1714"/>
      <c r="X1570" s="1650"/>
      <c r="Y1570" s="1623"/>
      <c r="Z1570" s="1651"/>
      <c r="AA1570" s="1625"/>
      <c r="AB1570" s="1667"/>
      <c r="AC1570" s="1640"/>
      <c r="AD1570" s="1635"/>
      <c r="AE1570" s="1764"/>
      <c r="AF1570" s="1085"/>
      <c r="AG1570" s="1086"/>
      <c r="AH1570" s="1087">
        <v>610000</v>
      </c>
      <c r="AI1570" s="1089">
        <f>AH1570*Q1570*0.6</f>
        <v>31406460</v>
      </c>
      <c r="AJ1570" s="1768"/>
      <c r="AK1570" s="1089"/>
      <c r="AL1570" s="1090"/>
      <c r="AM1570" s="1086"/>
      <c r="AN1570" s="1086"/>
      <c r="AO1570" s="1087"/>
      <c r="AP1570" s="1764"/>
      <c r="AQ1570" s="1087"/>
      <c r="AR1570" s="1764"/>
      <c r="AS1570" s="1764"/>
      <c r="AT1570" s="1086"/>
      <c r="AU1570" s="1768"/>
      <c r="AV1570" s="1814"/>
    </row>
    <row r="1571" spans="1:48" ht="16.5" customHeight="1">
      <c r="A1571" s="1658"/>
      <c r="B1571" s="1665"/>
      <c r="C1571" s="1666"/>
      <c r="D1571" s="1646"/>
      <c r="E1571" s="1659"/>
      <c r="F1571" s="1648"/>
      <c r="G1571" s="1646"/>
      <c r="H1571" s="1807"/>
      <c r="I1571" s="1629"/>
      <c r="J1571" s="1630"/>
      <c r="K1571" s="1631"/>
      <c r="L1571" s="1245"/>
      <c r="M1571" s="1320"/>
      <c r="N1571" s="1794" t="s">
        <v>16</v>
      </c>
      <c r="O1571" s="1737" t="s">
        <v>21</v>
      </c>
      <c r="P1571" s="1634">
        <v>1</v>
      </c>
      <c r="Q1571" s="1075">
        <v>11.4</v>
      </c>
      <c r="R1571" s="1646"/>
      <c r="S1571" s="1625"/>
      <c r="T1571" s="1634"/>
      <c r="U1571" s="1635"/>
      <c r="V1571" s="1636"/>
      <c r="W1571" s="1714"/>
      <c r="X1571" s="1650"/>
      <c r="Y1571" s="1623"/>
      <c r="Z1571" s="1651"/>
      <c r="AA1571" s="1625"/>
      <c r="AB1571" s="1667"/>
      <c r="AC1571" s="1640"/>
      <c r="AD1571" s="1635"/>
      <c r="AE1571" s="1764"/>
      <c r="AF1571" s="1085"/>
      <c r="AG1571" s="1086"/>
      <c r="AH1571" s="1087">
        <v>100000</v>
      </c>
      <c r="AI1571" s="1089">
        <f>AH1571*Q1571*0.5</f>
        <v>570000</v>
      </c>
      <c r="AJ1571" s="1768"/>
      <c r="AK1571" s="1089"/>
      <c r="AL1571" s="1090"/>
      <c r="AM1571" s="1086"/>
      <c r="AN1571" s="1086"/>
      <c r="AO1571" s="1087"/>
      <c r="AP1571" s="1764"/>
      <c r="AQ1571" s="1087"/>
      <c r="AR1571" s="1764"/>
      <c r="AS1571" s="1764"/>
      <c r="AT1571" s="1086"/>
      <c r="AU1571" s="1768"/>
      <c r="AV1571" s="1814"/>
    </row>
    <row r="1572" spans="1:48" ht="16.5" customHeight="1">
      <c r="A1572" s="1658"/>
      <c r="B1572" s="1665"/>
      <c r="C1572" s="1666"/>
      <c r="D1572" s="1646"/>
      <c r="E1572" s="1659"/>
      <c r="F1572" s="1648"/>
      <c r="G1572" s="1646"/>
      <c r="H1572" s="1807"/>
      <c r="I1572" s="1629"/>
      <c r="J1572" s="1630"/>
      <c r="K1572" s="1631"/>
      <c r="L1572" s="1245"/>
      <c r="M1572" s="1320"/>
      <c r="N1572" s="1794" t="s">
        <v>18</v>
      </c>
      <c r="O1572" s="1737" t="s">
        <v>11</v>
      </c>
      <c r="P1572" s="1634">
        <v>1</v>
      </c>
      <c r="Q1572" s="1320"/>
      <c r="R1572" s="1646"/>
      <c r="S1572" s="1625"/>
      <c r="T1572" s="1634"/>
      <c r="U1572" s="1635"/>
      <c r="V1572" s="1636"/>
      <c r="W1572" s="1714"/>
      <c r="X1572" s="1650"/>
      <c r="Y1572" s="1623"/>
      <c r="Z1572" s="1651"/>
      <c r="AA1572" s="1625"/>
      <c r="AB1572" s="1667"/>
      <c r="AC1572" s="1640"/>
      <c r="AD1572" s="1635"/>
      <c r="AE1572" s="1764"/>
      <c r="AF1572" s="1085"/>
      <c r="AG1572" s="1086"/>
      <c r="AH1572" s="1087">
        <v>2500000</v>
      </c>
      <c r="AI1572" s="1089">
        <f>AH1572*P1572*0.75</f>
        <v>1875000</v>
      </c>
      <c r="AJ1572" s="1768"/>
      <c r="AK1572" s="1089"/>
      <c r="AL1572" s="1090"/>
      <c r="AM1572" s="1086"/>
      <c r="AN1572" s="1086"/>
      <c r="AO1572" s="1087"/>
      <c r="AP1572" s="1764"/>
      <c r="AQ1572" s="1087"/>
      <c r="AR1572" s="1764"/>
      <c r="AS1572" s="1764"/>
      <c r="AT1572" s="1086"/>
      <c r="AU1572" s="1768"/>
      <c r="AV1572" s="1814"/>
    </row>
    <row r="1573" spans="1:48" ht="16.5" customHeight="1">
      <c r="A1573" s="1818"/>
      <c r="B1573" s="1674"/>
      <c r="C1573" s="1675"/>
      <c r="D1573" s="1686"/>
      <c r="E1573" s="1819"/>
      <c r="F1573" s="1678"/>
      <c r="G1573" s="1686"/>
      <c r="H1573" s="1927"/>
      <c r="I1573" s="1680"/>
      <c r="J1573" s="1681"/>
      <c r="K1573" s="1631"/>
      <c r="L1573" s="1245"/>
      <c r="M1573" s="1320"/>
      <c r="N1573" s="1794"/>
      <c r="O1573" s="1737"/>
      <c r="P1573" s="1685"/>
      <c r="Q1573" s="1683"/>
      <c r="R1573" s="1686"/>
      <c r="S1573" s="1676"/>
      <c r="T1573" s="1685"/>
      <c r="U1573" s="1773"/>
      <c r="V1573" s="1718"/>
      <c r="W1573" s="1719"/>
      <c r="X1573" s="1720"/>
      <c r="Y1573" s="1721"/>
      <c r="Z1573" s="1787"/>
      <c r="AA1573" s="1676"/>
      <c r="AB1573" s="1679"/>
      <c r="AC1573" s="1673"/>
      <c r="AD1573" s="1773"/>
      <c r="AE1573" s="1774"/>
      <c r="AF1573" s="1115"/>
      <c r="AG1573" s="1116"/>
      <c r="AH1573" s="1117"/>
      <c r="AI1573" s="1117"/>
      <c r="AJ1573" s="1775"/>
      <c r="AK1573" s="1119"/>
      <c r="AL1573" s="1120"/>
      <c r="AM1573" s="1116"/>
      <c r="AN1573" s="1116"/>
      <c r="AO1573" s="1117"/>
      <c r="AP1573" s="1774"/>
      <c r="AQ1573" s="1117"/>
      <c r="AR1573" s="1774"/>
      <c r="AS1573" s="1774"/>
      <c r="AT1573" s="1116"/>
      <c r="AU1573" s="1775"/>
      <c r="AV1573" s="1820"/>
    </row>
    <row r="1574" spans="1:48" ht="16.5" customHeight="1">
      <c r="A1574" s="1925">
        <v>122</v>
      </c>
      <c r="B1574" s="1699" t="s">
        <v>25</v>
      </c>
      <c r="C1574" s="1700" t="s">
        <v>1145</v>
      </c>
      <c r="D1574" s="1791"/>
      <c r="E1574" s="1928"/>
      <c r="F1574" s="1730" t="s">
        <v>1144</v>
      </c>
      <c r="G1574" s="1926" t="s">
        <v>25</v>
      </c>
      <c r="H1574" s="1792" t="s">
        <v>42</v>
      </c>
      <c r="I1574" s="1810">
        <v>468</v>
      </c>
      <c r="J1574" s="1783" t="s">
        <v>41</v>
      </c>
      <c r="K1574" s="1722" t="s">
        <v>1143</v>
      </c>
      <c r="L1574" s="1373"/>
      <c r="M1574" s="1317"/>
      <c r="N1574" s="1707" t="s">
        <v>25</v>
      </c>
      <c r="O1574" s="1777" t="s">
        <v>26</v>
      </c>
      <c r="P1574" s="1709">
        <v>1</v>
      </c>
      <c r="Q1574" s="1707">
        <v>70</v>
      </c>
      <c r="R1574" s="1699" t="s">
        <v>25</v>
      </c>
      <c r="S1574" s="1702" t="s">
        <v>24</v>
      </c>
      <c r="T1574" s="1709">
        <v>1</v>
      </c>
      <c r="U1574" s="1710">
        <v>1</v>
      </c>
      <c r="V1574" s="1711" t="s">
        <v>56</v>
      </c>
      <c r="W1574" s="1712"/>
      <c r="X1574" s="1713"/>
      <c r="Y1574" s="1700">
        <v>2</v>
      </c>
      <c r="Z1574" s="1761">
        <f>SUM(W1574:Y1574)</f>
        <v>2</v>
      </c>
      <c r="AA1574" s="1702"/>
      <c r="AB1574" s="1809"/>
      <c r="AC1574" s="1641"/>
      <c r="AD1574" s="1710"/>
      <c r="AE1574" s="1766"/>
      <c r="AF1574" s="1056">
        <f>Resum!F1</f>
        <v>356000</v>
      </c>
      <c r="AG1574" s="1057">
        <f>AF1574*I1574</f>
        <v>166608000</v>
      </c>
      <c r="AH1574" s="1058">
        <v>2530000</v>
      </c>
      <c r="AI1574" s="1060">
        <f>AH1574*Q1574*0.9</f>
        <v>159390000</v>
      </c>
      <c r="AJ1574" s="1811">
        <f>SUM(AI1574:AI1581)</f>
        <v>194393250</v>
      </c>
      <c r="AK1574" s="1060">
        <v>10000</v>
      </c>
      <c r="AL1574" s="1061">
        <f>AK1574*Y1574</f>
        <v>20000</v>
      </c>
      <c r="AM1574" s="1057">
        <f>SUM(AL1574:AL1588)</f>
        <v>3817050</v>
      </c>
      <c r="AN1574" s="1057">
        <f>AM1574+AJ1574+AG1574</f>
        <v>364818300</v>
      </c>
      <c r="AO1574" s="1058"/>
      <c r="AP1574" s="1548">
        <f>(86508000+AI1574)*15%</f>
        <v>36884700</v>
      </c>
      <c r="AQ1574" s="1058">
        <f>(AG1574+AI1574)*1%</f>
        <v>3259980</v>
      </c>
      <c r="AR1574" s="1548">
        <f>(AG1574+AI1574)*5%</f>
        <v>16299900</v>
      </c>
      <c r="AS1574" s="1058">
        <f>0.5%*(AG1574+AI1574)*(3)</f>
        <v>4889970</v>
      </c>
      <c r="AT1574" s="1057">
        <f>+AS1574+AR1574+AQ1574+AP1574+AO1574</f>
        <v>61334550</v>
      </c>
      <c r="AU1574" s="2015">
        <f>ROUND(AT1574+AN1574,-3)</f>
        <v>426153000</v>
      </c>
      <c r="AV1574" s="1812"/>
    </row>
    <row r="1575" spans="1:48" ht="33" customHeight="1">
      <c r="A1575" s="1658"/>
      <c r="B1575" s="1646" t="s">
        <v>16</v>
      </c>
      <c r="C1575" s="1647" t="s">
        <v>1142</v>
      </c>
      <c r="D1575" s="1646"/>
      <c r="E1575" s="1716"/>
      <c r="F1575" s="1626"/>
      <c r="G1575" s="1646" t="s">
        <v>16</v>
      </c>
      <c r="H1575" s="1623" t="s">
        <v>22</v>
      </c>
      <c r="I1575" s="1816"/>
      <c r="J1575" s="1630"/>
      <c r="K1575" s="1631"/>
      <c r="L1575" s="1245"/>
      <c r="M1575" s="1320"/>
      <c r="N1575" s="1632" t="s">
        <v>16</v>
      </c>
      <c r="O1575" s="1737" t="s">
        <v>395</v>
      </c>
      <c r="P1575" s="1634">
        <v>1</v>
      </c>
      <c r="Q1575" s="1632">
        <v>11</v>
      </c>
      <c r="R1575" s="1646"/>
      <c r="S1575" s="1625"/>
      <c r="T1575" s="1634"/>
      <c r="U1575" s="1635"/>
      <c r="V1575" s="1636"/>
      <c r="W1575" s="1714"/>
      <c r="X1575" s="1650"/>
      <c r="Y1575" s="1623"/>
      <c r="Z1575" s="1651"/>
      <c r="AA1575" s="1625"/>
      <c r="AB1575" s="1667"/>
      <c r="AC1575" s="1640"/>
      <c r="AD1575" s="1635"/>
      <c r="AE1575" s="1764"/>
      <c r="AF1575" s="1085"/>
      <c r="AG1575" s="1086"/>
      <c r="AH1575" s="1087">
        <v>350000</v>
      </c>
      <c r="AI1575" s="1089">
        <f>AH1575*Q1575*0.75</f>
        <v>2887500</v>
      </c>
      <c r="AJ1575" s="1768"/>
      <c r="AK1575" s="1089"/>
      <c r="AL1575" s="1090"/>
      <c r="AM1575" s="1086"/>
      <c r="AN1575" s="1086"/>
      <c r="AO1575" s="1087"/>
      <c r="AP1575" s="1764"/>
      <c r="AQ1575" s="1087"/>
      <c r="AR1575" s="1764"/>
      <c r="AS1575" s="1764"/>
      <c r="AT1575" s="1086"/>
      <c r="AU1575" s="1768"/>
      <c r="AV1575" s="1814"/>
    </row>
    <row r="1576" spans="1:48" ht="16.5" customHeight="1">
      <c r="A1576" s="1658"/>
      <c r="B1576" s="1646" t="s">
        <v>18</v>
      </c>
      <c r="C1576" s="1623" t="s">
        <v>124</v>
      </c>
      <c r="D1576" s="1646"/>
      <c r="E1576" s="1716"/>
      <c r="F1576" s="1626"/>
      <c r="G1576" s="1646" t="s">
        <v>18</v>
      </c>
      <c r="H1576" s="1623" t="s">
        <v>19</v>
      </c>
      <c r="I1576" s="1816"/>
      <c r="J1576" s="1630"/>
      <c r="K1576" s="1631"/>
      <c r="L1576" s="1245"/>
      <c r="M1576" s="1320"/>
      <c r="N1576" s="1632" t="s">
        <v>18</v>
      </c>
      <c r="O1576" s="1737" t="s">
        <v>733</v>
      </c>
      <c r="P1576" s="1634">
        <v>1</v>
      </c>
      <c r="Q1576" s="1632"/>
      <c r="R1576" s="1646" t="s">
        <v>16</v>
      </c>
      <c r="S1576" s="1625" t="s">
        <v>15</v>
      </c>
      <c r="T1576" s="1634">
        <v>14</v>
      </c>
      <c r="U1576" s="1635">
        <v>1</v>
      </c>
      <c r="V1576" s="1636" t="s">
        <v>82</v>
      </c>
      <c r="W1576" s="1714"/>
      <c r="X1576" s="1650"/>
      <c r="Y1576" s="1623">
        <v>10</v>
      </c>
      <c r="Z1576" s="1651">
        <f>SUM(W1576:Y1576)</f>
        <v>10</v>
      </c>
      <c r="AA1576" s="1625"/>
      <c r="AB1576" s="1667"/>
      <c r="AC1576" s="1640"/>
      <c r="AD1576" s="1635"/>
      <c r="AE1576" s="1764"/>
      <c r="AF1576" s="1085"/>
      <c r="AG1576" s="1086"/>
      <c r="AH1576" s="1087">
        <v>3000000</v>
      </c>
      <c r="AI1576" s="1089">
        <f>AH1576*P1576*0.5</f>
        <v>1500000</v>
      </c>
      <c r="AJ1576" s="1768"/>
      <c r="AK1576" s="1089">
        <v>41200</v>
      </c>
      <c r="AL1576" s="1090">
        <f>AK1576*Y1576</f>
        <v>412000</v>
      </c>
      <c r="AM1576" s="1086"/>
      <c r="AN1576" s="1086"/>
      <c r="AO1576" s="1087"/>
      <c r="AP1576" s="1764"/>
      <c r="AQ1576" s="1087"/>
      <c r="AR1576" s="1764"/>
      <c r="AS1576" s="1764"/>
      <c r="AT1576" s="1086"/>
      <c r="AU1576" s="1768"/>
      <c r="AV1576" s="1814"/>
    </row>
    <row r="1577" spans="1:48" ht="49.5" customHeight="1">
      <c r="A1577" s="1658"/>
      <c r="B1577" s="1658" t="s">
        <v>12</v>
      </c>
      <c r="C1577" s="1659" t="s">
        <v>1141</v>
      </c>
      <c r="D1577" s="1646"/>
      <c r="E1577" s="1716"/>
      <c r="F1577" s="1626"/>
      <c r="G1577" s="1646"/>
      <c r="H1577" s="1623"/>
      <c r="I1577" s="1816"/>
      <c r="J1577" s="1630"/>
      <c r="K1577" s="1631"/>
      <c r="L1577" s="1245"/>
      <c r="M1577" s="1320"/>
      <c r="N1577" s="1632" t="s">
        <v>12</v>
      </c>
      <c r="O1577" s="1737" t="s">
        <v>11</v>
      </c>
      <c r="P1577" s="1634">
        <v>1</v>
      </c>
      <c r="Q1577" s="1632"/>
      <c r="R1577" s="1646"/>
      <c r="S1577" s="1625"/>
      <c r="T1577" s="1634"/>
      <c r="U1577" s="1635">
        <v>2</v>
      </c>
      <c r="V1577" s="1636" t="s">
        <v>83</v>
      </c>
      <c r="W1577" s="1714">
        <v>31</v>
      </c>
      <c r="X1577" s="1650"/>
      <c r="Y1577" s="1623"/>
      <c r="Z1577" s="1651">
        <f>SUM(W1577:Y1577)</f>
        <v>31</v>
      </c>
      <c r="AA1577" s="1625"/>
      <c r="AB1577" s="1667"/>
      <c r="AC1577" s="1640"/>
      <c r="AD1577" s="1635"/>
      <c r="AE1577" s="1764"/>
      <c r="AF1577" s="1085"/>
      <c r="AG1577" s="1086"/>
      <c r="AH1577" s="1087">
        <v>2500000</v>
      </c>
      <c r="AI1577" s="1089">
        <f>AH1577*P1577*0.75</f>
        <v>1875000</v>
      </c>
      <c r="AJ1577" s="1768"/>
      <c r="AK1577" s="1089">
        <v>3000</v>
      </c>
      <c r="AL1577" s="1090">
        <f t="shared" si="126"/>
        <v>93000</v>
      </c>
      <c r="AM1577" s="1086"/>
      <c r="AN1577" s="1086"/>
      <c r="AO1577" s="1087"/>
      <c r="AP1577" s="1764"/>
      <c r="AQ1577" s="1087"/>
      <c r="AR1577" s="1764"/>
      <c r="AS1577" s="1764"/>
      <c r="AT1577" s="1086"/>
      <c r="AU1577" s="1768"/>
      <c r="AV1577" s="1814"/>
    </row>
    <row r="1578" spans="1:48" ht="16.5" customHeight="1">
      <c r="A1578" s="1658"/>
      <c r="B1578" s="1646" t="s">
        <v>8</v>
      </c>
      <c r="C1578" s="1716" t="s">
        <v>1140</v>
      </c>
      <c r="D1578" s="1646"/>
      <c r="E1578" s="1716"/>
      <c r="F1578" s="1626"/>
      <c r="G1578" s="1646"/>
      <c r="H1578" s="1623"/>
      <c r="I1578" s="1816"/>
      <c r="J1578" s="1630"/>
      <c r="K1578" s="1631"/>
      <c r="L1578" s="1245"/>
      <c r="M1578" s="1320"/>
      <c r="N1578" s="1632" t="s">
        <v>8</v>
      </c>
      <c r="O1578" s="1737" t="s">
        <v>447</v>
      </c>
      <c r="P1578" s="1634"/>
      <c r="Q1578" s="1632">
        <v>91.8</v>
      </c>
      <c r="R1578" s="1646"/>
      <c r="S1578" s="1625"/>
      <c r="T1578" s="1634"/>
      <c r="U1578" s="1635">
        <v>3</v>
      </c>
      <c r="V1578" s="1636" t="s">
        <v>898</v>
      </c>
      <c r="W1578" s="1714"/>
      <c r="X1578" s="1650"/>
      <c r="Y1578" s="1623"/>
      <c r="Z1578" s="1651" t="s">
        <v>1139</v>
      </c>
      <c r="AA1578" s="1625"/>
      <c r="AB1578" s="1667"/>
      <c r="AC1578" s="1640"/>
      <c r="AD1578" s="1635"/>
      <c r="AE1578" s="1764"/>
      <c r="AF1578" s="1085"/>
      <c r="AG1578" s="1086"/>
      <c r="AH1578" s="1087">
        <v>300000</v>
      </c>
      <c r="AI1578" s="1087">
        <f>AH1578*Q1578*0.75</f>
        <v>20655000</v>
      </c>
      <c r="AJ1578" s="1768"/>
      <c r="AK1578" s="1089">
        <v>530</v>
      </c>
      <c r="AL1578" s="1090">
        <f t="shared" si="126"/>
        <v>0</v>
      </c>
      <c r="AM1578" s="1086"/>
      <c r="AN1578" s="1086"/>
      <c r="AO1578" s="1087"/>
      <c r="AP1578" s="1764"/>
      <c r="AQ1578" s="1087"/>
      <c r="AR1578" s="1764"/>
      <c r="AS1578" s="1764"/>
      <c r="AT1578" s="1086"/>
      <c r="AU1578" s="1768"/>
      <c r="AV1578" s="1814"/>
    </row>
    <row r="1579" spans="1:48" ht="16.5" customHeight="1">
      <c r="A1579" s="1658"/>
      <c r="B1579" s="1646"/>
      <c r="C1579" s="1716"/>
      <c r="D1579" s="1646"/>
      <c r="E1579" s="1716"/>
      <c r="F1579" s="1626"/>
      <c r="G1579" s="1646"/>
      <c r="H1579" s="1623"/>
      <c r="I1579" s="1816"/>
      <c r="J1579" s="1630"/>
      <c r="K1579" s="1631"/>
      <c r="L1579" s="1245"/>
      <c r="M1579" s="1320"/>
      <c r="N1579" s="1632" t="s">
        <v>54</v>
      </c>
      <c r="O1579" s="1748" t="s">
        <v>1137</v>
      </c>
      <c r="P1579" s="1634"/>
      <c r="Q1579" s="1632">
        <v>6.3</v>
      </c>
      <c r="R1579" s="1646"/>
      <c r="S1579" s="1625"/>
      <c r="T1579" s="1634"/>
      <c r="U1579" s="1635">
        <v>4</v>
      </c>
      <c r="V1579" s="1636" t="s">
        <v>48</v>
      </c>
      <c r="W1579" s="1714"/>
      <c r="X1579" s="1650"/>
      <c r="Y1579" s="1623">
        <v>5</v>
      </c>
      <c r="Z1579" s="1651">
        <f t="shared" ref="Z1579:Z1586" si="128">SUM(W1579:Y1579)</f>
        <v>5</v>
      </c>
      <c r="AA1579" s="1625"/>
      <c r="AB1579" s="1667"/>
      <c r="AC1579" s="1640"/>
      <c r="AD1579" s="1635"/>
      <c r="AE1579" s="1764"/>
      <c r="AF1579" s="1085"/>
      <c r="AG1579" s="1086"/>
      <c r="AH1579" s="1087">
        <v>125000</v>
      </c>
      <c r="AI1579" s="1089">
        <f>AH1579*Q1579*0.5</f>
        <v>393750</v>
      </c>
      <c r="AJ1579" s="1768"/>
      <c r="AK1579" s="1089">
        <v>5000</v>
      </c>
      <c r="AL1579" s="1090">
        <f>AK1579*Y1579</f>
        <v>25000</v>
      </c>
      <c r="AM1579" s="1086"/>
      <c r="AN1579" s="1086"/>
      <c r="AO1579" s="1087"/>
      <c r="AP1579" s="1764"/>
      <c r="AQ1579" s="1087"/>
      <c r="AR1579" s="1764"/>
      <c r="AS1579" s="1764"/>
      <c r="AT1579" s="1086"/>
      <c r="AU1579" s="1768"/>
      <c r="AV1579" s="1814"/>
    </row>
    <row r="1580" spans="1:48" ht="33" customHeight="1">
      <c r="A1580" s="1658"/>
      <c r="B1580" s="1646"/>
      <c r="C1580" s="1716"/>
      <c r="D1580" s="1646"/>
      <c r="E1580" s="1716"/>
      <c r="F1580" s="1626"/>
      <c r="G1580" s="1646"/>
      <c r="H1580" s="1623"/>
      <c r="I1580" s="1816"/>
      <c r="J1580" s="1630"/>
      <c r="K1580" s="1631"/>
      <c r="L1580" s="1245"/>
      <c r="M1580" s="1320"/>
      <c r="N1580" s="1632" t="s">
        <v>53</v>
      </c>
      <c r="O1580" s="1748" t="s">
        <v>1135</v>
      </c>
      <c r="P1580" s="1634"/>
      <c r="Q1580" s="1651">
        <v>32.049999999999997</v>
      </c>
      <c r="R1580" s="1646"/>
      <c r="S1580" s="1625"/>
      <c r="T1580" s="1634"/>
      <c r="U1580" s="1635">
        <v>5</v>
      </c>
      <c r="V1580" s="1636" t="s">
        <v>1138</v>
      </c>
      <c r="W1580" s="1714"/>
      <c r="X1580" s="1650">
        <v>30</v>
      </c>
      <c r="Y1580" s="1623"/>
      <c r="Z1580" s="1651">
        <f t="shared" si="128"/>
        <v>30</v>
      </c>
      <c r="AA1580" s="1625"/>
      <c r="AB1580" s="1667"/>
      <c r="AC1580" s="1640"/>
      <c r="AD1580" s="1635"/>
      <c r="AE1580" s="1764"/>
      <c r="AF1580" s="1085"/>
      <c r="AG1580" s="1086"/>
      <c r="AH1580" s="1087">
        <v>400000</v>
      </c>
      <c r="AI1580" s="1087">
        <f>AH1580*Q1580*0.6</f>
        <v>7691999.9999999981</v>
      </c>
      <c r="AJ1580" s="1768"/>
      <c r="AK1580" s="1089">
        <v>500</v>
      </c>
      <c r="AL1580" s="1090">
        <f>AK1580*X1580</f>
        <v>15000</v>
      </c>
      <c r="AM1580" s="1086"/>
      <c r="AN1580" s="1086"/>
      <c r="AO1580" s="1087"/>
      <c r="AP1580" s="1764"/>
      <c r="AQ1580" s="1087"/>
      <c r="AR1580" s="1764"/>
      <c r="AS1580" s="1764"/>
      <c r="AT1580" s="1086"/>
      <c r="AU1580" s="1768"/>
      <c r="AV1580" s="1814"/>
    </row>
    <row r="1581" spans="1:48" ht="33" customHeight="1">
      <c r="A1581" s="1658"/>
      <c r="B1581" s="1646"/>
      <c r="C1581" s="1716"/>
      <c r="D1581" s="1646"/>
      <c r="E1581" s="1716"/>
      <c r="F1581" s="1626"/>
      <c r="G1581" s="1646"/>
      <c r="H1581" s="1623"/>
      <c r="I1581" s="1816"/>
      <c r="J1581" s="1630"/>
      <c r="K1581" s="1631"/>
      <c r="L1581" s="1245"/>
      <c r="M1581" s="1320"/>
      <c r="N1581" s="1632"/>
      <c r="O1581" s="1647"/>
      <c r="P1581" s="1634"/>
      <c r="Q1581" s="1651"/>
      <c r="R1581" s="1646"/>
      <c r="S1581" s="1625"/>
      <c r="T1581" s="1634"/>
      <c r="U1581" s="1635">
        <v>6</v>
      </c>
      <c r="V1581" s="1636" t="s">
        <v>10</v>
      </c>
      <c r="W1581" s="1714"/>
      <c r="X1581" s="1650">
        <v>10</v>
      </c>
      <c r="Y1581" s="1623"/>
      <c r="Z1581" s="1651">
        <f t="shared" si="128"/>
        <v>10</v>
      </c>
      <c r="AA1581" s="1625"/>
      <c r="AB1581" s="1667"/>
      <c r="AC1581" s="1640"/>
      <c r="AD1581" s="1635"/>
      <c r="AE1581" s="1764"/>
      <c r="AF1581" s="1085"/>
      <c r="AG1581" s="1086"/>
      <c r="AH1581" s="1087"/>
      <c r="AI1581" s="1087"/>
      <c r="AJ1581" s="1768"/>
      <c r="AK1581" s="1089">
        <v>35000</v>
      </c>
      <c r="AL1581" s="1090">
        <f>AK1581*X1581</f>
        <v>350000</v>
      </c>
      <c r="AM1581" s="1086"/>
      <c r="AN1581" s="1086"/>
      <c r="AO1581" s="1087"/>
      <c r="AP1581" s="1764"/>
      <c r="AQ1581" s="1087"/>
      <c r="AR1581" s="1764"/>
      <c r="AS1581" s="1764"/>
      <c r="AT1581" s="1086"/>
      <c r="AU1581" s="1768"/>
      <c r="AV1581" s="1814"/>
    </row>
    <row r="1582" spans="1:48" ht="16.5" customHeight="1">
      <c r="A1582" s="1658"/>
      <c r="B1582" s="1646"/>
      <c r="C1582" s="1716"/>
      <c r="D1582" s="1646"/>
      <c r="E1582" s="1716"/>
      <c r="F1582" s="1626"/>
      <c r="G1582" s="1646"/>
      <c r="H1582" s="1623"/>
      <c r="I1582" s="1816"/>
      <c r="J1582" s="1630"/>
      <c r="K1582" s="1631"/>
      <c r="L1582" s="1245"/>
      <c r="M1582" s="1320"/>
      <c r="N1582" s="1632"/>
      <c r="O1582" s="1647"/>
      <c r="P1582" s="1634"/>
      <c r="Q1582" s="1632"/>
      <c r="R1582" s="1646"/>
      <c r="S1582" s="1625"/>
      <c r="T1582" s="1634"/>
      <c r="U1582" s="1635">
        <v>7</v>
      </c>
      <c r="V1582" s="1636" t="s">
        <v>137</v>
      </c>
      <c r="W1582" s="1714"/>
      <c r="X1582" s="1650"/>
      <c r="Y1582" s="1623">
        <v>1</v>
      </c>
      <c r="Z1582" s="1651">
        <f t="shared" si="128"/>
        <v>1</v>
      </c>
      <c r="AA1582" s="1625"/>
      <c r="AB1582" s="1667"/>
      <c r="AC1582" s="1640"/>
      <c r="AD1582" s="1635"/>
      <c r="AE1582" s="1764"/>
      <c r="AF1582" s="1085"/>
      <c r="AG1582" s="1086"/>
      <c r="AH1582" s="1087"/>
      <c r="AI1582" s="1087"/>
      <c r="AJ1582" s="1768"/>
      <c r="AK1582" s="1089">
        <v>41250</v>
      </c>
      <c r="AL1582" s="1090">
        <f>AK1582*Y1582</f>
        <v>41250</v>
      </c>
      <c r="AM1582" s="1086"/>
      <c r="AN1582" s="1086"/>
      <c r="AO1582" s="1087"/>
      <c r="AP1582" s="1764"/>
      <c r="AQ1582" s="1087"/>
      <c r="AR1582" s="1764"/>
      <c r="AS1582" s="1764"/>
      <c r="AT1582" s="1086"/>
      <c r="AU1582" s="1768"/>
      <c r="AV1582" s="1814"/>
    </row>
    <row r="1583" spans="1:48" ht="16.5" customHeight="1">
      <c r="A1583" s="1658"/>
      <c r="B1583" s="1646"/>
      <c r="C1583" s="1716"/>
      <c r="D1583" s="1646"/>
      <c r="E1583" s="1716"/>
      <c r="F1583" s="1626"/>
      <c r="G1583" s="1646"/>
      <c r="H1583" s="1623"/>
      <c r="I1583" s="1816"/>
      <c r="J1583" s="1630"/>
      <c r="K1583" s="1631"/>
      <c r="L1583" s="1245"/>
      <c r="M1583" s="1320"/>
      <c r="N1583" s="1632"/>
      <c r="O1583" s="1647"/>
      <c r="P1583" s="1634"/>
      <c r="Q1583" s="1632"/>
      <c r="R1583" s="1646"/>
      <c r="S1583" s="1625"/>
      <c r="T1583" s="1634"/>
      <c r="U1583" s="1635">
        <v>8</v>
      </c>
      <c r="V1583" s="1636" t="s">
        <v>1136</v>
      </c>
      <c r="W1583" s="1714">
        <v>3</v>
      </c>
      <c r="X1583" s="1650"/>
      <c r="Y1583" s="1623"/>
      <c r="Z1583" s="1651">
        <f t="shared" si="128"/>
        <v>3</v>
      </c>
      <c r="AA1583" s="1625"/>
      <c r="AB1583" s="1667"/>
      <c r="AC1583" s="1640"/>
      <c r="AD1583" s="1635"/>
      <c r="AE1583" s="1764"/>
      <c r="AF1583" s="1085"/>
      <c r="AG1583" s="1086"/>
      <c r="AH1583" s="1087"/>
      <c r="AI1583" s="1087"/>
      <c r="AJ1583" s="1768"/>
      <c r="AK1583" s="1089">
        <v>10000</v>
      </c>
      <c r="AL1583" s="1090">
        <f>AK1583*W1583</f>
        <v>30000</v>
      </c>
      <c r="AM1583" s="1086"/>
      <c r="AN1583" s="1086"/>
      <c r="AO1583" s="1087"/>
      <c r="AP1583" s="1764"/>
      <c r="AQ1583" s="1087"/>
      <c r="AR1583" s="1764"/>
      <c r="AS1583" s="1764"/>
      <c r="AT1583" s="1086"/>
      <c r="AU1583" s="1768"/>
      <c r="AV1583" s="1814"/>
    </row>
    <row r="1584" spans="1:48" ht="16.5" customHeight="1">
      <c r="A1584" s="1658"/>
      <c r="B1584" s="1646"/>
      <c r="C1584" s="1623"/>
      <c r="D1584" s="1646"/>
      <c r="E1584" s="1716"/>
      <c r="F1584" s="1626"/>
      <c r="G1584" s="1646"/>
      <c r="H1584" s="1623"/>
      <c r="I1584" s="1816"/>
      <c r="J1584" s="1630"/>
      <c r="K1584" s="1631"/>
      <c r="L1584" s="1245"/>
      <c r="M1584" s="1320"/>
      <c r="N1584" s="1632"/>
      <c r="O1584" s="1647"/>
      <c r="P1584" s="1634"/>
      <c r="Q1584" s="1651"/>
      <c r="R1584" s="1646"/>
      <c r="S1584" s="1625"/>
      <c r="T1584" s="1634"/>
      <c r="U1584" s="1635">
        <v>9</v>
      </c>
      <c r="V1584" s="1636" t="s">
        <v>217</v>
      </c>
      <c r="W1584" s="1714">
        <v>2</v>
      </c>
      <c r="X1584" s="1650"/>
      <c r="Y1584" s="1623"/>
      <c r="Z1584" s="1651">
        <f t="shared" si="128"/>
        <v>2</v>
      </c>
      <c r="AA1584" s="1625"/>
      <c r="AB1584" s="1667"/>
      <c r="AC1584" s="1640"/>
      <c r="AD1584" s="1635"/>
      <c r="AE1584" s="1764"/>
      <c r="AF1584" s="1085"/>
      <c r="AG1584" s="1086"/>
      <c r="AH1584" s="1087"/>
      <c r="AI1584" s="1087"/>
      <c r="AJ1584" s="1768"/>
      <c r="AK1584" s="1089">
        <v>900</v>
      </c>
      <c r="AL1584" s="1090">
        <f t="shared" si="126"/>
        <v>1800</v>
      </c>
      <c r="AM1584" s="1086"/>
      <c r="AN1584" s="1086"/>
      <c r="AO1584" s="1087"/>
      <c r="AP1584" s="1764"/>
      <c r="AQ1584" s="1087"/>
      <c r="AR1584" s="1764"/>
      <c r="AS1584" s="1764"/>
      <c r="AT1584" s="1086"/>
      <c r="AU1584" s="1768"/>
      <c r="AV1584" s="1814"/>
    </row>
    <row r="1585" spans="1:48" ht="16.5" customHeight="1">
      <c r="A1585" s="1658"/>
      <c r="B1585" s="1646"/>
      <c r="C1585" s="1623"/>
      <c r="D1585" s="1646"/>
      <c r="E1585" s="1716"/>
      <c r="F1585" s="1626"/>
      <c r="G1585" s="1646"/>
      <c r="H1585" s="1623"/>
      <c r="I1585" s="1816"/>
      <c r="J1585" s="1630"/>
      <c r="K1585" s="1631"/>
      <c r="L1585" s="1245"/>
      <c r="M1585" s="1320"/>
      <c r="N1585" s="1739"/>
      <c r="O1585" s="1740"/>
      <c r="P1585" s="1741"/>
      <c r="Q1585" s="1666"/>
      <c r="R1585" s="1646"/>
      <c r="S1585" s="1625"/>
      <c r="T1585" s="1634"/>
      <c r="U1585" s="1635">
        <v>10</v>
      </c>
      <c r="V1585" s="1636" t="s">
        <v>1134</v>
      </c>
      <c r="W1585" s="1714"/>
      <c r="X1585" s="1650"/>
      <c r="Y1585" s="1623">
        <v>210</v>
      </c>
      <c r="Z1585" s="1651">
        <f t="shared" si="128"/>
        <v>210</v>
      </c>
      <c r="AA1585" s="1625"/>
      <c r="AB1585" s="1667"/>
      <c r="AC1585" s="1640"/>
      <c r="AD1585" s="1635"/>
      <c r="AE1585" s="1764"/>
      <c r="AF1585" s="1085"/>
      <c r="AG1585" s="1086"/>
      <c r="AH1585" s="1087"/>
      <c r="AI1585" s="1087"/>
      <c r="AJ1585" s="1768"/>
      <c r="AK1585" s="1089">
        <v>8250</v>
      </c>
      <c r="AL1585" s="1090">
        <f>AK1585*Y1585</f>
        <v>1732500</v>
      </c>
      <c r="AM1585" s="1086"/>
      <c r="AN1585" s="1086"/>
      <c r="AO1585" s="1087"/>
      <c r="AP1585" s="1764"/>
      <c r="AQ1585" s="1087"/>
      <c r="AR1585" s="1764"/>
      <c r="AS1585" s="1764"/>
      <c r="AT1585" s="1086"/>
      <c r="AU1585" s="1768"/>
      <c r="AV1585" s="1814"/>
    </row>
    <row r="1586" spans="1:48" ht="16.5" customHeight="1">
      <c r="A1586" s="1658"/>
      <c r="B1586" s="1646"/>
      <c r="C1586" s="1623"/>
      <c r="D1586" s="1646"/>
      <c r="E1586" s="1716"/>
      <c r="F1586" s="1626"/>
      <c r="G1586" s="1646"/>
      <c r="H1586" s="1623"/>
      <c r="I1586" s="1816"/>
      <c r="J1586" s="1630"/>
      <c r="K1586" s="1631"/>
      <c r="L1586" s="1245"/>
      <c r="M1586" s="1320"/>
      <c r="N1586" s="1739"/>
      <c r="O1586" s="1740"/>
      <c r="P1586" s="1741"/>
      <c r="Q1586" s="1666"/>
      <c r="R1586" s="1646"/>
      <c r="S1586" s="1625"/>
      <c r="T1586" s="1634"/>
      <c r="U1586" s="1635">
        <v>11</v>
      </c>
      <c r="V1586" s="1636" t="s">
        <v>14</v>
      </c>
      <c r="W1586" s="1714"/>
      <c r="X1586" s="1650"/>
      <c r="Y1586" s="1623">
        <v>3</v>
      </c>
      <c r="Z1586" s="1651">
        <f t="shared" si="128"/>
        <v>3</v>
      </c>
      <c r="AA1586" s="1625"/>
      <c r="AB1586" s="1667"/>
      <c r="AC1586" s="1640"/>
      <c r="AD1586" s="1635"/>
      <c r="AE1586" s="1764"/>
      <c r="AF1586" s="1085"/>
      <c r="AG1586" s="1086"/>
      <c r="AH1586" s="1087"/>
      <c r="AI1586" s="1087"/>
      <c r="AJ1586" s="1768"/>
      <c r="AK1586" s="1089">
        <v>115500</v>
      </c>
      <c r="AL1586" s="1087">
        <f>AK1586*Y1586</f>
        <v>346500</v>
      </c>
      <c r="AM1586" s="1086"/>
      <c r="AN1586" s="1086"/>
      <c r="AO1586" s="1087"/>
      <c r="AP1586" s="1764"/>
      <c r="AQ1586" s="1087"/>
      <c r="AR1586" s="1764"/>
      <c r="AS1586" s="1764"/>
      <c r="AT1586" s="1086"/>
      <c r="AU1586" s="1768"/>
      <c r="AV1586" s="1814"/>
    </row>
    <row r="1587" spans="1:48" ht="16.5" customHeight="1">
      <c r="A1587" s="1658"/>
      <c r="B1587" s="1646"/>
      <c r="C1587" s="1623"/>
      <c r="D1587" s="1646"/>
      <c r="E1587" s="1716"/>
      <c r="F1587" s="1626"/>
      <c r="G1587" s="1646"/>
      <c r="H1587" s="1623"/>
      <c r="I1587" s="1816"/>
      <c r="J1587" s="1630"/>
      <c r="K1587" s="1631"/>
      <c r="L1587" s="1245"/>
      <c r="M1587" s="1320"/>
      <c r="N1587" s="1739"/>
      <c r="O1587" s="1740"/>
      <c r="P1587" s="1741"/>
      <c r="Q1587" s="1666"/>
      <c r="R1587" s="1646"/>
      <c r="S1587" s="1625"/>
      <c r="T1587" s="1634"/>
      <c r="U1587" s="1635">
        <v>12</v>
      </c>
      <c r="V1587" s="1636" t="s">
        <v>1133</v>
      </c>
      <c r="W1587" s="1714"/>
      <c r="X1587" s="1650"/>
      <c r="Y1587" s="1623"/>
      <c r="Z1587" s="1651" t="s">
        <v>215</v>
      </c>
      <c r="AA1587" s="1625"/>
      <c r="AB1587" s="1667"/>
      <c r="AC1587" s="1640"/>
      <c r="AD1587" s="1635"/>
      <c r="AE1587" s="1764"/>
      <c r="AF1587" s="1085"/>
      <c r="AG1587" s="1086"/>
      <c r="AH1587" s="1087"/>
      <c r="AI1587" s="1087"/>
      <c r="AJ1587" s="1768"/>
      <c r="AK1587" s="1089">
        <v>20000</v>
      </c>
      <c r="AL1587" s="1090">
        <f t="shared" si="126"/>
        <v>0</v>
      </c>
      <c r="AM1587" s="1086"/>
      <c r="AN1587" s="1086"/>
      <c r="AO1587" s="1087"/>
      <c r="AP1587" s="1764"/>
      <c r="AQ1587" s="1087"/>
      <c r="AR1587" s="1764"/>
      <c r="AS1587" s="1764"/>
      <c r="AT1587" s="1086"/>
      <c r="AU1587" s="1768"/>
      <c r="AV1587" s="1814"/>
    </row>
    <row r="1588" spans="1:48" ht="16.5" customHeight="1">
      <c r="A1588" s="1658"/>
      <c r="B1588" s="1665"/>
      <c r="C1588" s="1739"/>
      <c r="D1588" s="1646"/>
      <c r="E1588" s="1716"/>
      <c r="F1588" s="1626"/>
      <c r="G1588" s="1646"/>
      <c r="H1588" s="1807"/>
      <c r="I1588" s="1816"/>
      <c r="J1588" s="1630"/>
      <c r="K1588" s="1631"/>
      <c r="L1588" s="1245"/>
      <c r="M1588" s="1320"/>
      <c r="N1588" s="1739"/>
      <c r="O1588" s="1740"/>
      <c r="P1588" s="1741"/>
      <c r="Q1588" s="1666"/>
      <c r="R1588" s="1646"/>
      <c r="S1588" s="1625"/>
      <c r="T1588" s="1634"/>
      <c r="U1588" s="1635">
        <v>13</v>
      </c>
      <c r="V1588" s="1636" t="s">
        <v>831</v>
      </c>
      <c r="W1588" s="1714"/>
      <c r="X1588" s="1650">
        <v>50</v>
      </c>
      <c r="Y1588" s="1623"/>
      <c r="Z1588" s="1651">
        <f>SUM(W1588:Y1588)</f>
        <v>50</v>
      </c>
      <c r="AA1588" s="1625"/>
      <c r="AB1588" s="1667"/>
      <c r="AC1588" s="1640"/>
      <c r="AD1588" s="1635"/>
      <c r="AE1588" s="1764"/>
      <c r="AF1588" s="1085"/>
      <c r="AG1588" s="1086"/>
      <c r="AH1588" s="1087"/>
      <c r="AI1588" s="1087"/>
      <c r="AJ1588" s="1768"/>
      <c r="AK1588" s="1089">
        <v>15000</v>
      </c>
      <c r="AL1588" s="1090">
        <f>AK1588*X1588</f>
        <v>750000</v>
      </c>
      <c r="AM1588" s="1086"/>
      <c r="AN1588" s="1086"/>
      <c r="AO1588" s="1087"/>
      <c r="AP1588" s="1764"/>
      <c r="AQ1588" s="1087"/>
      <c r="AR1588" s="1764"/>
      <c r="AS1588" s="1764"/>
      <c r="AT1588" s="1086"/>
      <c r="AU1588" s="1768"/>
      <c r="AV1588" s="1814"/>
    </row>
    <row r="1589" spans="1:48" ht="16.5" customHeight="1">
      <c r="A1589" s="1658"/>
      <c r="B1589" s="1665"/>
      <c r="C1589" s="1739"/>
      <c r="D1589" s="1646"/>
      <c r="E1589" s="1716"/>
      <c r="F1589" s="1626"/>
      <c r="G1589" s="1646"/>
      <c r="H1589" s="1807"/>
      <c r="I1589" s="1816"/>
      <c r="J1589" s="1630"/>
      <c r="K1589" s="1631"/>
      <c r="L1589" s="1245"/>
      <c r="M1589" s="1320"/>
      <c r="N1589" s="1739"/>
      <c r="O1589" s="1740"/>
      <c r="P1589" s="1741"/>
      <c r="Q1589" s="1666"/>
      <c r="R1589" s="1646"/>
      <c r="S1589" s="1625"/>
      <c r="T1589" s="1634"/>
      <c r="U1589" s="1635">
        <v>14</v>
      </c>
      <c r="V1589" s="1636" t="s">
        <v>4</v>
      </c>
      <c r="W1589" s="1714"/>
      <c r="X1589" s="1650"/>
      <c r="Y1589" s="1623"/>
      <c r="Z1589" s="1651" t="s">
        <v>215</v>
      </c>
      <c r="AA1589" s="1625"/>
      <c r="AB1589" s="1667"/>
      <c r="AC1589" s="1640"/>
      <c r="AD1589" s="1635"/>
      <c r="AE1589" s="1764"/>
      <c r="AF1589" s="1085"/>
      <c r="AG1589" s="1086"/>
      <c r="AH1589" s="1087"/>
      <c r="AI1589" s="1087"/>
      <c r="AJ1589" s="1768"/>
      <c r="AK1589" s="1089"/>
      <c r="AL1589" s="1090"/>
      <c r="AM1589" s="1086"/>
      <c r="AN1589" s="1086"/>
      <c r="AO1589" s="1087"/>
      <c r="AP1589" s="1764"/>
      <c r="AQ1589" s="1087"/>
      <c r="AR1589" s="1764"/>
      <c r="AS1589" s="1764"/>
      <c r="AT1589" s="1086"/>
      <c r="AU1589" s="1768"/>
      <c r="AV1589" s="1814"/>
    </row>
    <row r="1590" spans="1:48" ht="16.5" customHeight="1">
      <c r="A1590" s="1818"/>
      <c r="B1590" s="1674"/>
      <c r="C1590" s="1734"/>
      <c r="D1590" s="1686"/>
      <c r="E1590" s="1819"/>
      <c r="F1590" s="2029"/>
      <c r="G1590" s="1686"/>
      <c r="H1590" s="1927"/>
      <c r="I1590" s="2030"/>
      <c r="J1590" s="1681"/>
      <c r="K1590" s="1682"/>
      <c r="L1590" s="1270"/>
      <c r="M1590" s="1549"/>
      <c r="N1590" s="1734"/>
      <c r="O1590" s="1735"/>
      <c r="P1590" s="1736"/>
      <c r="Q1590" s="1675"/>
      <c r="R1590" s="1686"/>
      <c r="S1590" s="1676"/>
      <c r="T1590" s="1685"/>
      <c r="U1590" s="1773"/>
      <c r="V1590" s="1718"/>
      <c r="W1590" s="1719"/>
      <c r="X1590" s="1720"/>
      <c r="Y1590" s="1721"/>
      <c r="Z1590" s="1787"/>
      <c r="AA1590" s="1676"/>
      <c r="AB1590" s="1679"/>
      <c r="AC1590" s="1673"/>
      <c r="AD1590" s="1773"/>
      <c r="AE1590" s="1774"/>
      <c r="AF1590" s="1115"/>
      <c r="AG1590" s="1116"/>
      <c r="AH1590" s="1117"/>
      <c r="AI1590" s="1117"/>
      <c r="AJ1590" s="1775"/>
      <c r="AK1590" s="1119"/>
      <c r="AL1590" s="1120"/>
      <c r="AM1590" s="1116"/>
      <c r="AN1590" s="1116"/>
      <c r="AO1590" s="1117"/>
      <c r="AP1590" s="1774"/>
      <c r="AQ1590" s="1117"/>
      <c r="AR1590" s="1774"/>
      <c r="AS1590" s="1774"/>
      <c r="AT1590" s="1116"/>
      <c r="AU1590" s="1775"/>
      <c r="AV1590" s="1820"/>
    </row>
    <row r="1591" spans="1:48" ht="33" customHeight="1">
      <c r="A1591" s="1925">
        <v>123</v>
      </c>
      <c r="B1591" s="1699" t="s">
        <v>25</v>
      </c>
      <c r="C1591" s="1700" t="s">
        <v>1132</v>
      </c>
      <c r="D1591" s="1699"/>
      <c r="E1591" s="1700"/>
      <c r="F1591" s="1730" t="s">
        <v>1131</v>
      </c>
      <c r="G1591" s="1926" t="s">
        <v>25</v>
      </c>
      <c r="H1591" s="1792" t="s">
        <v>42</v>
      </c>
      <c r="I1591" s="1929">
        <v>140</v>
      </c>
      <c r="J1591" s="1930" t="s">
        <v>41</v>
      </c>
      <c r="K1591" s="1722" t="s">
        <v>1130</v>
      </c>
      <c r="L1591" s="1245"/>
      <c r="M1591" s="1320"/>
      <c r="N1591" s="1707" t="s">
        <v>25</v>
      </c>
      <c r="O1591" s="1777" t="s">
        <v>62</v>
      </c>
      <c r="P1591" s="1709">
        <v>1</v>
      </c>
      <c r="Q1591" s="1707">
        <v>45</v>
      </c>
      <c r="R1591" s="1699" t="s">
        <v>25</v>
      </c>
      <c r="S1591" s="1702" t="s">
        <v>24</v>
      </c>
      <c r="T1591" s="1709">
        <v>1</v>
      </c>
      <c r="U1591" s="1710">
        <v>1</v>
      </c>
      <c r="V1591" s="1711" t="s">
        <v>56</v>
      </c>
      <c r="W1591" s="1712"/>
      <c r="X1591" s="1713"/>
      <c r="Y1591" s="1700">
        <v>2</v>
      </c>
      <c r="Z1591" s="1761">
        <f>SUM(W1591:Y1591)</f>
        <v>2</v>
      </c>
      <c r="AA1591" s="1702"/>
      <c r="AB1591" s="1809"/>
      <c r="AC1591" s="1641"/>
      <c r="AD1591" s="1710"/>
      <c r="AE1591" s="1766"/>
      <c r="AF1591" s="1056">
        <f>Resum!F1</f>
        <v>356000</v>
      </c>
      <c r="AG1591" s="1086">
        <f>AF1591*I1591</f>
        <v>49840000</v>
      </c>
      <c r="AH1591" s="1058">
        <v>1800000</v>
      </c>
      <c r="AI1591" s="1089">
        <f>AH1591*Q1591*0.7</f>
        <v>56700000</v>
      </c>
      <c r="AJ1591" s="1811">
        <f>SUM(AI1591:AI1595)</f>
        <v>60782750</v>
      </c>
      <c r="AK1591" s="1060">
        <v>10000</v>
      </c>
      <c r="AL1591" s="1090">
        <f>AK1591*Y1591</f>
        <v>20000</v>
      </c>
      <c r="AM1591" s="1057">
        <f>SUM(AL1591:AL1597)</f>
        <v>204550</v>
      </c>
      <c r="AN1591" s="1086">
        <f>AM1591+AJ1591+AG1591</f>
        <v>110827300</v>
      </c>
      <c r="AO1591" s="1058">
        <f>400000*30*2</f>
        <v>24000000</v>
      </c>
      <c r="AP1591" s="1136">
        <f>(AG1591+AI1591)*15%</f>
        <v>15981000</v>
      </c>
      <c r="AQ1591" s="1087">
        <f>(AG1591+AI1591)*1%</f>
        <v>1065400</v>
      </c>
      <c r="AR1591" s="1136">
        <f>(AG1591+AI1591)*5%</f>
        <v>5327000</v>
      </c>
      <c r="AS1591" s="1087">
        <f>0.5%*(AG1591+AI1591)*(3)</f>
        <v>1598100</v>
      </c>
      <c r="AT1591" s="1086">
        <f>+AS1591+AR1591+AQ1591+AP1591+AO1591</f>
        <v>47971500</v>
      </c>
      <c r="AU1591" s="1137">
        <f>ROUND(AT1591+AN1591,-3)</f>
        <v>158799000</v>
      </c>
      <c r="AV1591" s="1812"/>
    </row>
    <row r="1592" spans="1:48" ht="16.5" customHeight="1">
      <c r="A1592" s="1658"/>
      <c r="B1592" s="1646" t="s">
        <v>16</v>
      </c>
      <c r="C1592" s="1647" t="s">
        <v>1129</v>
      </c>
      <c r="D1592" s="1646"/>
      <c r="E1592" s="1647"/>
      <c r="F1592" s="1648"/>
      <c r="G1592" s="1646" t="s">
        <v>16</v>
      </c>
      <c r="H1592" s="1623" t="s">
        <v>22</v>
      </c>
      <c r="I1592" s="1931"/>
      <c r="J1592" s="1930"/>
      <c r="K1592" s="1631"/>
      <c r="L1592" s="1245"/>
      <c r="M1592" s="1320"/>
      <c r="N1592" s="1632" t="s">
        <v>16</v>
      </c>
      <c r="O1592" s="1737" t="s">
        <v>21</v>
      </c>
      <c r="P1592" s="1634">
        <v>1</v>
      </c>
      <c r="Q1592" s="1632">
        <v>9</v>
      </c>
      <c r="R1592" s="1646"/>
      <c r="S1592" s="1625"/>
      <c r="T1592" s="1634"/>
      <c r="U1592" s="1635"/>
      <c r="V1592" s="1636"/>
      <c r="W1592" s="1714"/>
      <c r="X1592" s="1650"/>
      <c r="Y1592" s="1623"/>
      <c r="Z1592" s="1651"/>
      <c r="AA1592" s="1625"/>
      <c r="AB1592" s="1667"/>
      <c r="AC1592" s="1640"/>
      <c r="AD1592" s="1635"/>
      <c r="AE1592" s="1764"/>
      <c r="AF1592" s="1085"/>
      <c r="AG1592" s="1086"/>
      <c r="AH1592" s="1087">
        <v>250000</v>
      </c>
      <c r="AI1592" s="1089">
        <f>AH1592*Q1592*0.6</f>
        <v>1350000</v>
      </c>
      <c r="AJ1592" s="1768"/>
      <c r="AK1592" s="1089"/>
      <c r="AL1592" s="1090"/>
      <c r="AM1592" s="1086"/>
      <c r="AN1592" s="1086"/>
      <c r="AO1592" s="1087"/>
      <c r="AP1592" s="1764"/>
      <c r="AQ1592" s="1087"/>
      <c r="AR1592" s="1764"/>
      <c r="AS1592" s="1764"/>
      <c r="AT1592" s="1086"/>
      <c r="AU1592" s="1768"/>
      <c r="AV1592" s="1814"/>
    </row>
    <row r="1593" spans="1:48" ht="16.5" customHeight="1">
      <c r="A1593" s="1658"/>
      <c r="B1593" s="1646" t="s">
        <v>18</v>
      </c>
      <c r="C1593" s="1623" t="s">
        <v>124</v>
      </c>
      <c r="D1593" s="1646"/>
      <c r="E1593" s="1623"/>
      <c r="F1593" s="1648"/>
      <c r="G1593" s="1646" t="s">
        <v>18</v>
      </c>
      <c r="H1593" s="1623" t="s">
        <v>19</v>
      </c>
      <c r="I1593" s="1931"/>
      <c r="J1593" s="1930"/>
      <c r="K1593" s="1631"/>
      <c r="L1593" s="1245"/>
      <c r="M1593" s="1320"/>
      <c r="N1593" s="1632" t="s">
        <v>18</v>
      </c>
      <c r="O1593" s="1737" t="s">
        <v>11</v>
      </c>
      <c r="P1593" s="1634">
        <v>1</v>
      </c>
      <c r="Q1593" s="1632"/>
      <c r="R1593" s="1646" t="s">
        <v>16</v>
      </c>
      <c r="S1593" s="1625" t="s">
        <v>15</v>
      </c>
      <c r="T1593" s="1634">
        <v>4</v>
      </c>
      <c r="U1593" s="1635">
        <v>1</v>
      </c>
      <c r="V1593" s="1636" t="s">
        <v>14</v>
      </c>
      <c r="W1593" s="1714"/>
      <c r="X1593" s="1650"/>
      <c r="Y1593" s="1623">
        <v>1</v>
      </c>
      <c r="Z1593" s="1651">
        <f>SUM(W1593:Y1593)</f>
        <v>1</v>
      </c>
      <c r="AA1593" s="1625"/>
      <c r="AB1593" s="1667"/>
      <c r="AC1593" s="1640"/>
      <c r="AD1593" s="1635"/>
      <c r="AE1593" s="1764"/>
      <c r="AF1593" s="1085"/>
      <c r="AG1593" s="1086"/>
      <c r="AH1593" s="1087">
        <v>2500000</v>
      </c>
      <c r="AI1593" s="1089">
        <f>AH1593*P1593*0.5</f>
        <v>1250000</v>
      </c>
      <c r="AJ1593" s="1768"/>
      <c r="AK1593" s="1089">
        <v>115500</v>
      </c>
      <c r="AL1593" s="1087">
        <f>AK1593*Y1593</f>
        <v>115500</v>
      </c>
      <c r="AM1593" s="1086"/>
      <c r="AN1593" s="1086"/>
      <c r="AO1593" s="1087"/>
      <c r="AP1593" s="1764"/>
      <c r="AQ1593" s="1087"/>
      <c r="AR1593" s="1764"/>
      <c r="AS1593" s="1764"/>
      <c r="AT1593" s="1086"/>
      <c r="AU1593" s="1768"/>
      <c r="AV1593" s="1814"/>
    </row>
    <row r="1594" spans="1:48" ht="49.5" customHeight="1">
      <c r="A1594" s="1658"/>
      <c r="B1594" s="1658" t="s">
        <v>12</v>
      </c>
      <c r="C1594" s="1659" t="s">
        <v>1128</v>
      </c>
      <c r="D1594" s="1646"/>
      <c r="E1594" s="1623"/>
      <c r="F1594" s="1648"/>
      <c r="G1594" s="1646"/>
      <c r="H1594" s="1623"/>
      <c r="I1594" s="1931"/>
      <c r="J1594" s="1930"/>
      <c r="K1594" s="1631"/>
      <c r="L1594" s="1245"/>
      <c r="M1594" s="1320"/>
      <c r="N1594" s="1632" t="s">
        <v>12</v>
      </c>
      <c r="O1594" s="1737" t="s">
        <v>458</v>
      </c>
      <c r="P1594" s="1634">
        <v>1</v>
      </c>
      <c r="Q1594" s="1632">
        <v>8.94</v>
      </c>
      <c r="R1594" s="1646"/>
      <c r="S1594" s="1625"/>
      <c r="T1594" s="1634"/>
      <c r="U1594" s="1635">
        <v>2</v>
      </c>
      <c r="V1594" s="1636" t="s">
        <v>4</v>
      </c>
      <c r="W1594" s="1714">
        <v>5</v>
      </c>
      <c r="X1594" s="1650"/>
      <c r="Y1594" s="1623"/>
      <c r="Z1594" s="1651">
        <f>SUM(W1594:Y1594)</f>
        <v>5</v>
      </c>
      <c r="AA1594" s="1625"/>
      <c r="AB1594" s="1667"/>
      <c r="AC1594" s="1640"/>
      <c r="AD1594" s="1635"/>
      <c r="AE1594" s="1764"/>
      <c r="AF1594" s="1085"/>
      <c r="AG1594" s="1086"/>
      <c r="AH1594" s="1087">
        <v>125000</v>
      </c>
      <c r="AI1594" s="1089">
        <f>AH1594*Q1594*0.5</f>
        <v>558750</v>
      </c>
      <c r="AJ1594" s="1768"/>
      <c r="AK1594" s="1089">
        <v>250</v>
      </c>
      <c r="AL1594" s="1090">
        <f>AK1594*W1594</f>
        <v>1250</v>
      </c>
      <c r="AM1594" s="1086"/>
      <c r="AN1594" s="1086"/>
      <c r="AO1594" s="1087"/>
      <c r="AP1594" s="1764"/>
      <c r="AQ1594" s="1087"/>
      <c r="AR1594" s="1764"/>
      <c r="AS1594" s="1764"/>
      <c r="AT1594" s="1086"/>
      <c r="AU1594" s="1768"/>
      <c r="AV1594" s="1814"/>
    </row>
    <row r="1595" spans="1:48" ht="16.5" customHeight="1">
      <c r="A1595" s="1658"/>
      <c r="B1595" s="1646" t="s">
        <v>8</v>
      </c>
      <c r="C1595" s="1716" t="s">
        <v>1127</v>
      </c>
      <c r="D1595" s="1646"/>
      <c r="E1595" s="1623"/>
      <c r="F1595" s="1648"/>
      <c r="G1595" s="1646"/>
      <c r="H1595" s="1623"/>
      <c r="I1595" s="1931"/>
      <c r="J1595" s="1930"/>
      <c r="K1595" s="1631"/>
      <c r="L1595" s="1245"/>
      <c r="M1595" s="1320"/>
      <c r="N1595" s="1632" t="s">
        <v>8</v>
      </c>
      <c r="O1595" s="1737" t="s">
        <v>184</v>
      </c>
      <c r="P1595" s="1634">
        <v>1</v>
      </c>
      <c r="Q1595" s="1632">
        <v>18.48</v>
      </c>
      <c r="R1595" s="1646"/>
      <c r="S1595" s="1625"/>
      <c r="T1595" s="1634"/>
      <c r="U1595" s="1635">
        <v>3</v>
      </c>
      <c r="V1595" s="1636" t="s">
        <v>1126</v>
      </c>
      <c r="W1595" s="1714">
        <v>2</v>
      </c>
      <c r="X1595" s="1650"/>
      <c r="Y1595" s="1623"/>
      <c r="Z1595" s="1651">
        <f>SUM(W1595:Y1595)</f>
        <v>2</v>
      </c>
      <c r="AA1595" s="1625"/>
      <c r="AB1595" s="1667"/>
      <c r="AC1595" s="1640"/>
      <c r="AD1595" s="1635"/>
      <c r="AE1595" s="1764"/>
      <c r="AF1595" s="1085"/>
      <c r="AG1595" s="1086"/>
      <c r="AH1595" s="1087">
        <v>100000</v>
      </c>
      <c r="AI1595" s="1089">
        <f>AH1595*Q1595*0.5</f>
        <v>924000</v>
      </c>
      <c r="AJ1595" s="1768"/>
      <c r="AK1595" s="1089">
        <v>900</v>
      </c>
      <c r="AL1595" s="1090">
        <f>AK1595*W1595</f>
        <v>1800</v>
      </c>
      <c r="AM1595" s="1086"/>
      <c r="AN1595" s="1086"/>
      <c r="AO1595" s="1087"/>
      <c r="AP1595" s="1764"/>
      <c r="AQ1595" s="1087"/>
      <c r="AR1595" s="1764"/>
      <c r="AS1595" s="1764"/>
      <c r="AT1595" s="1086"/>
      <c r="AU1595" s="1768"/>
      <c r="AV1595" s="1814"/>
    </row>
    <row r="1596" spans="1:48" ht="16.5" customHeight="1">
      <c r="A1596" s="1658"/>
      <c r="B1596" s="1646"/>
      <c r="C1596" s="1716"/>
      <c r="D1596" s="1646"/>
      <c r="E1596" s="1623"/>
      <c r="F1596" s="1648"/>
      <c r="G1596" s="1646"/>
      <c r="H1596" s="1623"/>
      <c r="I1596" s="1931"/>
      <c r="J1596" s="1930"/>
      <c r="K1596" s="1631"/>
      <c r="L1596" s="1245"/>
      <c r="M1596" s="1320"/>
      <c r="N1596" s="1632"/>
      <c r="O1596" s="1647"/>
      <c r="P1596" s="1634"/>
      <c r="Q1596" s="1632"/>
      <c r="R1596" s="1646"/>
      <c r="S1596" s="1625"/>
      <c r="T1596" s="1634"/>
      <c r="U1596" s="1635">
        <v>4</v>
      </c>
      <c r="V1596" s="1636" t="s">
        <v>268</v>
      </c>
      <c r="W1596" s="1714"/>
      <c r="X1596" s="1650"/>
      <c r="Y1596" s="1623">
        <v>1</v>
      </c>
      <c r="Z1596" s="1651">
        <f>SUM(W1596:Y1596)</f>
        <v>1</v>
      </c>
      <c r="AA1596" s="1625"/>
      <c r="AB1596" s="1667"/>
      <c r="AC1596" s="1640"/>
      <c r="AD1596" s="1635"/>
      <c r="AE1596" s="1764"/>
      <c r="AF1596" s="1085"/>
      <c r="AG1596" s="1086"/>
      <c r="AH1596" s="1087"/>
      <c r="AI1596" s="1087"/>
      <c r="AJ1596" s="1768"/>
      <c r="AK1596" s="1089">
        <v>66000</v>
      </c>
      <c r="AL1596" s="1090">
        <f>AK1596*Y1596</f>
        <v>66000</v>
      </c>
      <c r="AM1596" s="1086"/>
      <c r="AN1596" s="1086"/>
      <c r="AO1596" s="1087"/>
      <c r="AP1596" s="1764"/>
      <c r="AQ1596" s="1087"/>
      <c r="AR1596" s="1764"/>
      <c r="AS1596" s="1764"/>
      <c r="AT1596" s="1086"/>
      <c r="AU1596" s="1768"/>
      <c r="AV1596" s="1814"/>
    </row>
    <row r="1597" spans="1:48" ht="16.5" customHeight="1">
      <c r="A1597" s="1658"/>
      <c r="B1597" s="1665"/>
      <c r="C1597" s="1666"/>
      <c r="D1597" s="1646"/>
      <c r="E1597" s="1659"/>
      <c r="F1597" s="1648"/>
      <c r="G1597" s="1646"/>
      <c r="H1597" s="1807"/>
      <c r="I1597" s="1931"/>
      <c r="J1597" s="1930"/>
      <c r="K1597" s="1631"/>
      <c r="L1597" s="1245"/>
      <c r="M1597" s="1320"/>
      <c r="N1597" s="1739"/>
      <c r="O1597" s="1740"/>
      <c r="P1597" s="1741"/>
      <c r="Q1597" s="1738"/>
      <c r="R1597" s="1646"/>
      <c r="S1597" s="1625"/>
      <c r="T1597" s="1634"/>
      <c r="U1597" s="1635"/>
      <c r="V1597" s="1636"/>
      <c r="W1597" s="1714"/>
      <c r="X1597" s="1650"/>
      <c r="Y1597" s="1623"/>
      <c r="Z1597" s="1651"/>
      <c r="AA1597" s="1625"/>
      <c r="AB1597" s="1667"/>
      <c r="AC1597" s="1640"/>
      <c r="AD1597" s="1635"/>
      <c r="AE1597" s="1764"/>
      <c r="AF1597" s="1085"/>
      <c r="AG1597" s="1086"/>
      <c r="AH1597" s="1087"/>
      <c r="AI1597" s="1087"/>
      <c r="AJ1597" s="1768"/>
      <c r="AK1597" s="1089"/>
      <c r="AL1597" s="1090"/>
      <c r="AM1597" s="1086"/>
      <c r="AN1597" s="1086"/>
      <c r="AO1597" s="1087"/>
      <c r="AP1597" s="1764"/>
      <c r="AQ1597" s="1087"/>
      <c r="AR1597" s="1764"/>
      <c r="AS1597" s="1764"/>
      <c r="AT1597" s="1086"/>
      <c r="AU1597" s="1768"/>
      <c r="AV1597" s="1814"/>
    </row>
    <row r="1598" spans="1:48" ht="16.5" customHeight="1">
      <c r="A1598" s="1818"/>
      <c r="B1598" s="1674"/>
      <c r="C1598" s="1675"/>
      <c r="D1598" s="1686"/>
      <c r="E1598" s="1819"/>
      <c r="F1598" s="1678"/>
      <c r="G1598" s="1686"/>
      <c r="H1598" s="1927"/>
      <c r="I1598" s="1932"/>
      <c r="J1598" s="1930"/>
      <c r="K1598" s="1682"/>
      <c r="L1598" s="1245"/>
      <c r="M1598" s="1320"/>
      <c r="N1598" s="1738"/>
      <c r="O1598" s="1735"/>
      <c r="P1598" s="1736"/>
      <c r="Q1598" s="1738"/>
      <c r="R1598" s="1646"/>
      <c r="S1598" s="1625"/>
      <c r="T1598" s="1634"/>
      <c r="U1598" s="1635"/>
      <c r="V1598" s="1636"/>
      <c r="W1598" s="1714"/>
      <c r="X1598" s="1650"/>
      <c r="Y1598" s="1721"/>
      <c r="Z1598" s="1787"/>
      <c r="AA1598" s="1676"/>
      <c r="AB1598" s="1679"/>
      <c r="AC1598" s="1673"/>
      <c r="AD1598" s="1773"/>
      <c r="AE1598" s="1774"/>
      <c r="AF1598" s="1115"/>
      <c r="AG1598" s="1116"/>
      <c r="AH1598" s="1117"/>
      <c r="AI1598" s="1117"/>
      <c r="AJ1598" s="1775"/>
      <c r="AK1598" s="1119"/>
      <c r="AL1598" s="1120"/>
      <c r="AM1598" s="1116"/>
      <c r="AN1598" s="1116"/>
      <c r="AO1598" s="1117"/>
      <c r="AP1598" s="1774"/>
      <c r="AQ1598" s="1117"/>
      <c r="AR1598" s="1774"/>
      <c r="AS1598" s="1774"/>
      <c r="AT1598" s="1116"/>
      <c r="AU1598" s="1775"/>
      <c r="AV1598" s="1820"/>
    </row>
    <row r="1599" spans="1:48" ht="16.5" customHeight="1">
      <c r="A1599" s="1925">
        <v>124</v>
      </c>
      <c r="B1599" s="1699" t="s">
        <v>25</v>
      </c>
      <c r="C1599" s="1700" t="s">
        <v>1125</v>
      </c>
      <c r="D1599" s="1699"/>
      <c r="E1599" s="1700"/>
      <c r="F1599" s="1730" t="s">
        <v>1124</v>
      </c>
      <c r="G1599" s="1926" t="s">
        <v>25</v>
      </c>
      <c r="H1599" s="1792" t="s">
        <v>42</v>
      </c>
      <c r="I1599" s="1933">
        <v>167</v>
      </c>
      <c r="J1599" s="1930" t="s">
        <v>41</v>
      </c>
      <c r="K1599" s="1722" t="s">
        <v>1123</v>
      </c>
      <c r="L1599" s="1373"/>
      <c r="M1599" s="1317"/>
      <c r="N1599" s="1707" t="s">
        <v>25</v>
      </c>
      <c r="O1599" s="1777" t="s">
        <v>26</v>
      </c>
      <c r="P1599" s="1709">
        <v>1</v>
      </c>
      <c r="Q1599" s="1707">
        <v>69.650000000000006</v>
      </c>
      <c r="R1599" s="1699" t="s">
        <v>25</v>
      </c>
      <c r="S1599" s="1702" t="s">
        <v>24</v>
      </c>
      <c r="T1599" s="1709"/>
      <c r="U1599" s="1710"/>
      <c r="V1599" s="1711"/>
      <c r="W1599" s="1712"/>
      <c r="X1599" s="1713"/>
      <c r="Y1599" s="1700"/>
      <c r="Z1599" s="1761"/>
      <c r="AA1599" s="1702"/>
      <c r="AB1599" s="1809"/>
      <c r="AC1599" s="1641"/>
      <c r="AD1599" s="1710"/>
      <c r="AE1599" s="1766"/>
      <c r="AF1599" s="1056">
        <f>Resum!F1</f>
        <v>356000</v>
      </c>
      <c r="AG1599" s="1086">
        <f>AF1599*I1599</f>
        <v>59452000</v>
      </c>
      <c r="AH1599" s="1058">
        <v>1800000</v>
      </c>
      <c r="AI1599" s="1089">
        <f>AH1599*Q1599*0.75</f>
        <v>94027500.000000015</v>
      </c>
      <c r="AJ1599" s="1811">
        <f>SUM(AI1599:AI1608)</f>
        <v>111632550.00000001</v>
      </c>
      <c r="AK1599" s="1060"/>
      <c r="AL1599" s="1090"/>
      <c r="AM1599" s="1057">
        <f>SUM(AL1600:AL1606)</f>
        <v>577000</v>
      </c>
      <c r="AN1599" s="1086">
        <f>AM1599+AJ1599+AG1599</f>
        <v>171661550</v>
      </c>
      <c r="AO1599" s="1058"/>
      <c r="AP1599" s="1136">
        <f>(AG1599+AI1599)*15%</f>
        <v>23021925</v>
      </c>
      <c r="AQ1599" s="1087">
        <f>(AG1599+AI1599)*1%</f>
        <v>1534795</v>
      </c>
      <c r="AR1599" s="1136">
        <f>(AG1599+AI1599)*5%</f>
        <v>7673975</v>
      </c>
      <c r="AS1599" s="1087">
        <f>0.5%*(AG1599+AI1599)*(3)</f>
        <v>2302192.5</v>
      </c>
      <c r="AT1599" s="1086">
        <f>+AS1599+AR1599+AQ1599+AP1599+AO1599</f>
        <v>34532887.5</v>
      </c>
      <c r="AU1599" s="1137">
        <f>ROUND(AT1599+AN1599,-3)</f>
        <v>206194000</v>
      </c>
      <c r="AV1599" s="1812"/>
    </row>
    <row r="1600" spans="1:48" ht="16.5" customHeight="1">
      <c r="A1600" s="1658"/>
      <c r="B1600" s="1646" t="s">
        <v>16</v>
      </c>
      <c r="C1600" s="1647" t="s">
        <v>1122</v>
      </c>
      <c r="D1600" s="1646"/>
      <c r="E1600" s="1647"/>
      <c r="F1600" s="1648"/>
      <c r="G1600" s="1646" t="s">
        <v>16</v>
      </c>
      <c r="H1600" s="1623" t="s">
        <v>22</v>
      </c>
      <c r="I1600" s="1931"/>
      <c r="J1600" s="1930"/>
      <c r="K1600" s="1631"/>
      <c r="L1600" s="1245"/>
      <c r="M1600" s="1320"/>
      <c r="N1600" s="1632" t="s">
        <v>16</v>
      </c>
      <c r="O1600" s="1737" t="s">
        <v>21</v>
      </c>
      <c r="P1600" s="1634">
        <v>1</v>
      </c>
      <c r="Q1600" s="1632">
        <v>12</v>
      </c>
      <c r="R1600" s="1646"/>
      <c r="S1600" s="1625"/>
      <c r="T1600" s="1634"/>
      <c r="U1600" s="1635"/>
      <c r="V1600" s="1636"/>
      <c r="W1600" s="1714"/>
      <c r="X1600" s="1650"/>
      <c r="Y1600" s="1623"/>
      <c r="Z1600" s="1651"/>
      <c r="AA1600" s="1625"/>
      <c r="AB1600" s="1667"/>
      <c r="AC1600" s="1640"/>
      <c r="AD1600" s="1635"/>
      <c r="AE1600" s="1764"/>
      <c r="AF1600" s="1085"/>
      <c r="AG1600" s="1086"/>
      <c r="AH1600" s="1087">
        <v>250000</v>
      </c>
      <c r="AI1600" s="1089">
        <f>AH1600*Q1600*0.65</f>
        <v>1950000</v>
      </c>
      <c r="AJ1600" s="1768"/>
      <c r="AK1600" s="1089"/>
      <c r="AL1600" s="1090"/>
      <c r="AM1600" s="1086"/>
      <c r="AN1600" s="1086"/>
      <c r="AO1600" s="1087"/>
      <c r="AP1600" s="1764"/>
      <c r="AQ1600" s="1087"/>
      <c r="AR1600" s="1764"/>
      <c r="AS1600" s="1764"/>
      <c r="AT1600" s="1086"/>
      <c r="AU1600" s="1768"/>
      <c r="AV1600" s="1814"/>
    </row>
    <row r="1601" spans="1:48" ht="16.5" customHeight="1">
      <c r="A1601" s="1658"/>
      <c r="B1601" s="1646" t="s">
        <v>18</v>
      </c>
      <c r="C1601" s="1623" t="s">
        <v>124</v>
      </c>
      <c r="D1601" s="1646"/>
      <c r="E1601" s="1623"/>
      <c r="F1601" s="1648"/>
      <c r="G1601" s="1646" t="s">
        <v>18</v>
      </c>
      <c r="H1601" s="1623" t="s">
        <v>19</v>
      </c>
      <c r="I1601" s="1931"/>
      <c r="J1601" s="1930"/>
      <c r="K1601" s="1631"/>
      <c r="L1601" s="1245"/>
      <c r="M1601" s="1320"/>
      <c r="N1601" s="1632" t="s">
        <v>18</v>
      </c>
      <c r="O1601" s="1737" t="s">
        <v>59</v>
      </c>
      <c r="P1601" s="1634">
        <v>1</v>
      </c>
      <c r="Q1601" s="1632">
        <v>34.57</v>
      </c>
      <c r="R1601" s="1646" t="s">
        <v>16</v>
      </c>
      <c r="S1601" s="1625" t="s">
        <v>15</v>
      </c>
      <c r="T1601" s="1634">
        <v>4</v>
      </c>
      <c r="U1601" s="1635">
        <v>1</v>
      </c>
      <c r="V1601" s="1636" t="s">
        <v>14</v>
      </c>
      <c r="W1601" s="1714">
        <v>1</v>
      </c>
      <c r="X1601" s="1650"/>
      <c r="Y1601" s="1623"/>
      <c r="Z1601" s="1651">
        <f>SUM(W1601:Y1601)</f>
        <v>1</v>
      </c>
      <c r="AA1601" s="1625"/>
      <c r="AB1601" s="1667"/>
      <c r="AC1601" s="1640"/>
      <c r="AD1601" s="1635"/>
      <c r="AE1601" s="1764"/>
      <c r="AF1601" s="1085"/>
      <c r="AG1601" s="1086"/>
      <c r="AH1601" s="1087">
        <v>180000</v>
      </c>
      <c r="AI1601" s="1089">
        <f>AH1601*Q1601*0.5</f>
        <v>3111300</v>
      </c>
      <c r="AJ1601" s="1768"/>
      <c r="AK1601" s="1089">
        <v>350000</v>
      </c>
      <c r="AL1601" s="1087">
        <f>AK1601*W1601</f>
        <v>350000</v>
      </c>
      <c r="AM1601" s="1086"/>
      <c r="AN1601" s="1086"/>
      <c r="AO1601" s="1087"/>
      <c r="AP1601" s="1764"/>
      <c r="AQ1601" s="1087"/>
      <c r="AR1601" s="1764"/>
      <c r="AS1601" s="1764"/>
      <c r="AT1601" s="1086"/>
      <c r="AU1601" s="1768"/>
      <c r="AV1601" s="1814"/>
    </row>
    <row r="1602" spans="1:48" ht="49.5" customHeight="1">
      <c r="A1602" s="1658"/>
      <c r="B1602" s="1658" t="s">
        <v>12</v>
      </c>
      <c r="C1602" s="1659" t="s">
        <v>1121</v>
      </c>
      <c r="D1602" s="1646"/>
      <c r="E1602" s="1623"/>
      <c r="F1602" s="1648"/>
      <c r="G1602" s="1646"/>
      <c r="H1602" s="1623"/>
      <c r="I1602" s="1931"/>
      <c r="J1602" s="1930"/>
      <c r="K1602" s="1631"/>
      <c r="L1602" s="1245"/>
      <c r="M1602" s="1320"/>
      <c r="N1602" s="1632" t="s">
        <v>12</v>
      </c>
      <c r="O1602" s="1737" t="s">
        <v>1793</v>
      </c>
      <c r="P1602" s="1634">
        <v>1</v>
      </c>
      <c r="Q1602" s="1632">
        <v>10.64</v>
      </c>
      <c r="R1602" s="1646"/>
      <c r="S1602" s="1625"/>
      <c r="T1602" s="1634"/>
      <c r="U1602" s="1635">
        <v>2</v>
      </c>
      <c r="V1602" s="1636" t="s">
        <v>1120</v>
      </c>
      <c r="W1602" s="1714"/>
      <c r="X1602" s="1650">
        <v>2</v>
      </c>
      <c r="Y1602" s="1623"/>
      <c r="Z1602" s="1651">
        <f>SUM(W1602:Y1602)</f>
        <v>2</v>
      </c>
      <c r="AA1602" s="1625"/>
      <c r="AB1602" s="1667"/>
      <c r="AC1602" s="1640"/>
      <c r="AD1602" s="1635"/>
      <c r="AE1602" s="1764"/>
      <c r="AF1602" s="1085"/>
      <c r="AG1602" s="1086"/>
      <c r="AH1602" s="1087">
        <v>125000</v>
      </c>
      <c r="AI1602" s="1089">
        <f>AH1602*Q1602*0.5</f>
        <v>665000</v>
      </c>
      <c r="AJ1602" s="1768"/>
      <c r="AK1602" s="1089"/>
      <c r="AL1602" s="1090">
        <f>AK1602*W156</f>
        <v>0</v>
      </c>
      <c r="AM1602" s="1086"/>
      <c r="AN1602" s="1086"/>
      <c r="AO1602" s="1087"/>
      <c r="AP1602" s="1764"/>
      <c r="AQ1602" s="1087"/>
      <c r="AR1602" s="1764"/>
      <c r="AS1602" s="1764"/>
      <c r="AT1602" s="1086"/>
      <c r="AU1602" s="1768"/>
      <c r="AV1602" s="1814"/>
    </row>
    <row r="1603" spans="1:48" ht="16.5" customHeight="1">
      <c r="A1603" s="1658"/>
      <c r="B1603" s="1646" t="s">
        <v>8</v>
      </c>
      <c r="C1603" s="1716" t="s">
        <v>1119</v>
      </c>
      <c r="D1603" s="1646"/>
      <c r="E1603" s="1623"/>
      <c r="F1603" s="1648"/>
      <c r="G1603" s="1646"/>
      <c r="H1603" s="1623"/>
      <c r="I1603" s="1931"/>
      <c r="J1603" s="1930"/>
      <c r="K1603" s="1631"/>
      <c r="L1603" s="1245"/>
      <c r="M1603" s="1320"/>
      <c r="N1603" s="1632" t="s">
        <v>8</v>
      </c>
      <c r="O1603" s="1737" t="s">
        <v>1544</v>
      </c>
      <c r="P1603" s="1634">
        <v>1</v>
      </c>
      <c r="Q1603" s="1632">
        <v>2.2999999999999998</v>
      </c>
      <c r="R1603" s="1646"/>
      <c r="S1603" s="1625"/>
      <c r="T1603" s="1634"/>
      <c r="U1603" s="1635">
        <v>3</v>
      </c>
      <c r="V1603" s="1636" t="s">
        <v>808</v>
      </c>
      <c r="W1603" s="1714"/>
      <c r="X1603" s="1650">
        <v>2</v>
      </c>
      <c r="Y1603" s="1623"/>
      <c r="Z1603" s="1651">
        <f>SUM(W1603:Y1603)</f>
        <v>2</v>
      </c>
      <c r="AA1603" s="1625"/>
      <c r="AB1603" s="1667"/>
      <c r="AC1603" s="1640"/>
      <c r="AD1603" s="1635"/>
      <c r="AE1603" s="1764"/>
      <c r="AF1603" s="1085"/>
      <c r="AG1603" s="1086"/>
      <c r="AH1603" s="1087">
        <v>125000</v>
      </c>
      <c r="AI1603" s="1089">
        <f>AH1603*Q1603*0.5</f>
        <v>143750</v>
      </c>
      <c r="AJ1603" s="1768"/>
      <c r="AK1603" s="1089">
        <v>82500</v>
      </c>
      <c r="AL1603" s="1090">
        <f>AK1603*X1603</f>
        <v>165000</v>
      </c>
      <c r="AM1603" s="1086"/>
      <c r="AN1603" s="1086"/>
      <c r="AO1603" s="1087"/>
      <c r="AP1603" s="1764"/>
      <c r="AQ1603" s="1087"/>
      <c r="AR1603" s="1764"/>
      <c r="AS1603" s="1764"/>
      <c r="AT1603" s="1086"/>
      <c r="AU1603" s="1768"/>
      <c r="AV1603" s="1814"/>
    </row>
    <row r="1604" spans="1:48" ht="16.5" customHeight="1">
      <c r="A1604" s="1658"/>
      <c r="B1604" s="1665"/>
      <c r="C1604" s="1666"/>
      <c r="D1604" s="1658"/>
      <c r="E1604" s="1659"/>
      <c r="F1604" s="1648"/>
      <c r="G1604" s="1646"/>
      <c r="H1604" s="1807"/>
      <c r="I1604" s="1931"/>
      <c r="J1604" s="1930"/>
      <c r="K1604" s="1631"/>
      <c r="L1604" s="1245"/>
      <c r="M1604" s="1320"/>
      <c r="N1604" s="1632" t="s">
        <v>54</v>
      </c>
      <c r="O1604" s="1737" t="s">
        <v>17</v>
      </c>
      <c r="P1604" s="1634">
        <v>1</v>
      </c>
      <c r="Q1604" s="1632"/>
      <c r="R1604" s="1646"/>
      <c r="S1604" s="1625"/>
      <c r="T1604" s="1634"/>
      <c r="U1604" s="1635">
        <v>4</v>
      </c>
      <c r="V1604" s="1636" t="s">
        <v>290</v>
      </c>
      <c r="W1604" s="1714"/>
      <c r="X1604" s="1650"/>
      <c r="Y1604" s="1623">
        <v>4</v>
      </c>
      <c r="Z1604" s="1651">
        <f>SUM(W1604:Y1604)</f>
        <v>4</v>
      </c>
      <c r="AA1604" s="1625"/>
      <c r="AB1604" s="1667"/>
      <c r="AC1604" s="1640"/>
      <c r="AD1604" s="1635"/>
      <c r="AE1604" s="1764"/>
      <c r="AF1604" s="1085"/>
      <c r="AG1604" s="1086"/>
      <c r="AH1604" s="1087">
        <v>2500000</v>
      </c>
      <c r="AI1604" s="1089">
        <f>AH1604*P1604*0.5</f>
        <v>1250000</v>
      </c>
      <c r="AJ1604" s="1768"/>
      <c r="AK1604" s="1089">
        <v>15500</v>
      </c>
      <c r="AL1604" s="1090">
        <f>AK1604*Y1604</f>
        <v>62000</v>
      </c>
      <c r="AM1604" s="1086"/>
      <c r="AN1604" s="1086"/>
      <c r="AO1604" s="1087"/>
      <c r="AP1604" s="1764"/>
      <c r="AQ1604" s="1087"/>
      <c r="AR1604" s="1764"/>
      <c r="AS1604" s="1764"/>
      <c r="AT1604" s="1086"/>
      <c r="AU1604" s="1768"/>
      <c r="AV1604" s="1814"/>
    </row>
    <row r="1605" spans="1:48" ht="16.5" customHeight="1">
      <c r="A1605" s="1658"/>
      <c r="B1605" s="1665"/>
      <c r="C1605" s="1666"/>
      <c r="D1605" s="1658"/>
      <c r="E1605" s="1659"/>
      <c r="F1605" s="1648"/>
      <c r="G1605" s="1646"/>
      <c r="H1605" s="1807"/>
      <c r="I1605" s="1931"/>
      <c r="J1605" s="1930"/>
      <c r="K1605" s="1631"/>
      <c r="L1605" s="1245"/>
      <c r="M1605" s="1320"/>
      <c r="N1605" s="1632" t="s">
        <v>53</v>
      </c>
      <c r="O1605" s="1737" t="s">
        <v>11</v>
      </c>
      <c r="P1605" s="1634">
        <v>1</v>
      </c>
      <c r="Q1605" s="1632"/>
      <c r="R1605" s="1646"/>
      <c r="S1605" s="1625"/>
      <c r="T1605" s="1634"/>
      <c r="U1605" s="1635"/>
      <c r="V1605" s="1636"/>
      <c r="W1605" s="1714"/>
      <c r="X1605" s="1650"/>
      <c r="Y1605" s="1623"/>
      <c r="Z1605" s="1651"/>
      <c r="AA1605" s="1625"/>
      <c r="AB1605" s="1667"/>
      <c r="AC1605" s="1640"/>
      <c r="AD1605" s="1635"/>
      <c r="AE1605" s="1764"/>
      <c r="AF1605" s="1085"/>
      <c r="AG1605" s="1086"/>
      <c r="AH1605" s="1087">
        <v>2500000</v>
      </c>
      <c r="AI1605" s="1089">
        <f>AH1605*P1605*0.75</f>
        <v>1875000</v>
      </c>
      <c r="AJ1605" s="1768"/>
      <c r="AK1605" s="1089"/>
      <c r="AL1605" s="1090"/>
      <c r="AM1605" s="1086"/>
      <c r="AN1605" s="1086"/>
      <c r="AO1605" s="1087"/>
      <c r="AP1605" s="1764"/>
      <c r="AQ1605" s="1087"/>
      <c r="AR1605" s="1764"/>
      <c r="AS1605" s="1764"/>
      <c r="AT1605" s="1086"/>
      <c r="AU1605" s="1768"/>
      <c r="AV1605" s="1814"/>
    </row>
    <row r="1606" spans="1:48" ht="16.5" customHeight="1">
      <c r="A1606" s="1658"/>
      <c r="B1606" s="1665"/>
      <c r="C1606" s="1666"/>
      <c r="D1606" s="1658"/>
      <c r="E1606" s="1659"/>
      <c r="F1606" s="1648"/>
      <c r="G1606" s="1646"/>
      <c r="H1606" s="1807"/>
      <c r="I1606" s="1931"/>
      <c r="J1606" s="1930"/>
      <c r="K1606" s="1631"/>
      <c r="L1606" s="1245"/>
      <c r="M1606" s="1320"/>
      <c r="N1606" s="1632" t="s">
        <v>51</v>
      </c>
      <c r="O1606" s="1748" t="s">
        <v>189</v>
      </c>
      <c r="P1606" s="1634">
        <v>1</v>
      </c>
      <c r="Q1606" s="1632">
        <v>33.299999999999997</v>
      </c>
      <c r="R1606" s="1646"/>
      <c r="S1606" s="1625"/>
      <c r="T1606" s="1634"/>
      <c r="U1606" s="1635"/>
      <c r="V1606" s="1636"/>
      <c r="W1606" s="1714"/>
      <c r="X1606" s="1650"/>
      <c r="Y1606" s="1623"/>
      <c r="Z1606" s="1651"/>
      <c r="AA1606" s="1625"/>
      <c r="AB1606" s="1667"/>
      <c r="AC1606" s="1640"/>
      <c r="AD1606" s="1635"/>
      <c r="AE1606" s="1764"/>
      <c r="AF1606" s="1085"/>
      <c r="AG1606" s="1086"/>
      <c r="AH1606" s="1087">
        <v>300000</v>
      </c>
      <c r="AI1606" s="1089">
        <f t="shared" ref="AI1606:AI1608" si="129">AH1606*Q1606*0.5</f>
        <v>4995000</v>
      </c>
      <c r="AJ1606" s="1768"/>
      <c r="AK1606" s="1089"/>
      <c r="AL1606" s="1090"/>
      <c r="AM1606" s="1086"/>
      <c r="AN1606" s="1086"/>
      <c r="AO1606" s="1087"/>
      <c r="AP1606" s="1764"/>
      <c r="AQ1606" s="1087"/>
      <c r="AR1606" s="1764"/>
      <c r="AS1606" s="1764"/>
      <c r="AT1606" s="1086"/>
      <c r="AU1606" s="1768"/>
      <c r="AV1606" s="1814"/>
    </row>
    <row r="1607" spans="1:48" ht="16.5" customHeight="1">
      <c r="A1607" s="1658"/>
      <c r="B1607" s="1665"/>
      <c r="C1607" s="1666"/>
      <c r="D1607" s="1658"/>
      <c r="E1607" s="1659"/>
      <c r="F1607" s="1648"/>
      <c r="G1607" s="1646"/>
      <c r="H1607" s="1807"/>
      <c r="I1607" s="1931"/>
      <c r="J1607" s="1930"/>
      <c r="K1607" s="1631"/>
      <c r="L1607" s="1245"/>
      <c r="M1607" s="1320"/>
      <c r="N1607" s="1632" t="s">
        <v>154</v>
      </c>
      <c r="O1607" s="1737" t="s">
        <v>121</v>
      </c>
      <c r="P1607" s="1634">
        <v>1</v>
      </c>
      <c r="Q1607" s="1632">
        <v>21.7</v>
      </c>
      <c r="R1607" s="1646"/>
      <c r="S1607" s="1625"/>
      <c r="T1607" s="1634"/>
      <c r="U1607" s="1635"/>
      <c r="V1607" s="1636"/>
      <c r="W1607" s="1714"/>
      <c r="X1607" s="1650"/>
      <c r="Y1607" s="1623"/>
      <c r="Z1607" s="1651"/>
      <c r="AA1607" s="1625"/>
      <c r="AB1607" s="1667"/>
      <c r="AC1607" s="1640"/>
      <c r="AD1607" s="1635"/>
      <c r="AE1607" s="1764"/>
      <c r="AF1607" s="1085"/>
      <c r="AG1607" s="1086"/>
      <c r="AH1607" s="1087">
        <v>300000</v>
      </c>
      <c r="AI1607" s="1089">
        <f>AH1607*Q1607*0.5</f>
        <v>3255000</v>
      </c>
      <c r="AJ1607" s="1768"/>
      <c r="AK1607" s="1089"/>
      <c r="AL1607" s="1090"/>
      <c r="AM1607" s="1086"/>
      <c r="AN1607" s="1086"/>
      <c r="AO1607" s="1087"/>
      <c r="AP1607" s="1764"/>
      <c r="AQ1607" s="1087"/>
      <c r="AR1607" s="1764"/>
      <c r="AS1607" s="1764"/>
      <c r="AT1607" s="1086"/>
      <c r="AU1607" s="1768"/>
      <c r="AV1607" s="1814"/>
    </row>
    <row r="1608" spans="1:48" ht="16.5" customHeight="1">
      <c r="A1608" s="1658"/>
      <c r="B1608" s="1665"/>
      <c r="C1608" s="1666"/>
      <c r="D1608" s="1658"/>
      <c r="E1608" s="1659"/>
      <c r="F1608" s="1648"/>
      <c r="G1608" s="1646"/>
      <c r="H1608" s="1807"/>
      <c r="I1608" s="1931"/>
      <c r="J1608" s="1930"/>
      <c r="K1608" s="1631"/>
      <c r="L1608" s="1245"/>
      <c r="M1608" s="1320"/>
      <c r="N1608" s="1632" t="s">
        <v>172</v>
      </c>
      <c r="O1608" s="1737" t="s">
        <v>184</v>
      </c>
      <c r="P1608" s="1634">
        <v>1</v>
      </c>
      <c r="Q1608" s="1632">
        <v>7.2</v>
      </c>
      <c r="R1608" s="1646"/>
      <c r="S1608" s="1625"/>
      <c r="T1608" s="1634"/>
      <c r="U1608" s="1635"/>
      <c r="V1608" s="1636"/>
      <c r="W1608" s="1714"/>
      <c r="X1608" s="1650"/>
      <c r="Y1608" s="1623"/>
      <c r="Z1608" s="1651"/>
      <c r="AA1608" s="1625"/>
      <c r="AB1608" s="1667"/>
      <c r="AC1608" s="1640"/>
      <c r="AD1608" s="1635"/>
      <c r="AE1608" s="1764"/>
      <c r="AF1608" s="1085"/>
      <c r="AG1608" s="1086"/>
      <c r="AH1608" s="1087">
        <v>100000</v>
      </c>
      <c r="AI1608" s="1089">
        <f t="shared" si="129"/>
        <v>360000</v>
      </c>
      <c r="AJ1608" s="1768"/>
      <c r="AK1608" s="1089"/>
      <c r="AL1608" s="1090"/>
      <c r="AM1608" s="1086"/>
      <c r="AN1608" s="1086"/>
      <c r="AO1608" s="1087"/>
      <c r="AP1608" s="1764"/>
      <c r="AQ1608" s="1087"/>
      <c r="AR1608" s="1764"/>
      <c r="AS1608" s="1764"/>
      <c r="AT1608" s="1086"/>
      <c r="AU1608" s="1768"/>
      <c r="AV1608" s="1814"/>
    </row>
    <row r="1609" spans="1:48" ht="16.5" customHeight="1">
      <c r="A1609" s="1658"/>
      <c r="B1609" s="1674"/>
      <c r="C1609" s="1675"/>
      <c r="D1609" s="1658"/>
      <c r="E1609" s="1659"/>
      <c r="F1609" s="1678"/>
      <c r="G1609" s="1646"/>
      <c r="H1609" s="1807"/>
      <c r="I1609" s="1931"/>
      <c r="J1609" s="1930"/>
      <c r="K1609" s="1682"/>
      <c r="L1609" s="1270"/>
      <c r="M1609" s="1549"/>
      <c r="N1609" s="1683"/>
      <c r="O1609" s="1781"/>
      <c r="P1609" s="1685"/>
      <c r="Q1609" s="1683"/>
      <c r="R1609" s="1686"/>
      <c r="S1609" s="1676"/>
      <c r="T1609" s="1685"/>
      <c r="U1609" s="1773"/>
      <c r="V1609" s="1718"/>
      <c r="W1609" s="1719"/>
      <c r="X1609" s="1720"/>
      <c r="Y1609" s="1721"/>
      <c r="Z1609" s="1787"/>
      <c r="AA1609" s="1676"/>
      <c r="AB1609" s="1679"/>
      <c r="AC1609" s="1673"/>
      <c r="AD1609" s="1773"/>
      <c r="AE1609" s="1774"/>
      <c r="AF1609" s="1115"/>
      <c r="AG1609" s="1116"/>
      <c r="AH1609" s="1117"/>
      <c r="AI1609" s="1117"/>
      <c r="AJ1609" s="1775"/>
      <c r="AK1609" s="1119"/>
      <c r="AL1609" s="1120"/>
      <c r="AM1609" s="1116"/>
      <c r="AN1609" s="1116"/>
      <c r="AO1609" s="1117"/>
      <c r="AP1609" s="1774"/>
      <c r="AQ1609" s="1117"/>
      <c r="AR1609" s="1774"/>
      <c r="AS1609" s="1774"/>
      <c r="AT1609" s="1116"/>
      <c r="AU1609" s="1775"/>
      <c r="AV1609" s="1820"/>
    </row>
    <row r="1610" spans="1:48" ht="16.5" customHeight="1">
      <c r="A1610" s="1925">
        <v>125</v>
      </c>
      <c r="B1610" s="1699" t="s">
        <v>25</v>
      </c>
      <c r="C1610" s="1700" t="s">
        <v>1118</v>
      </c>
      <c r="D1610" s="1791"/>
      <c r="E1610" s="1928"/>
      <c r="F1610" s="1730" t="s">
        <v>1117</v>
      </c>
      <c r="G1610" s="1926" t="s">
        <v>25</v>
      </c>
      <c r="H1610" s="1792" t="s">
        <v>42</v>
      </c>
      <c r="I1610" s="1929">
        <v>455</v>
      </c>
      <c r="J1610" s="1930"/>
      <c r="K1610" s="1722"/>
      <c r="L1610" s="1245"/>
      <c r="M1610" s="1320"/>
      <c r="N1610" s="1707"/>
      <c r="O1610" s="1920"/>
      <c r="P1610" s="1709"/>
      <c r="Q1610" s="1707"/>
      <c r="R1610" s="1699"/>
      <c r="S1610" s="1702"/>
      <c r="T1610" s="1709"/>
      <c r="U1610" s="1710"/>
      <c r="V1610" s="1711"/>
      <c r="W1610" s="1712"/>
      <c r="X1610" s="1713"/>
      <c r="Y1610" s="1700"/>
      <c r="Z1610" s="1761"/>
      <c r="AA1610" s="1702"/>
      <c r="AB1610" s="1809"/>
      <c r="AC1610" s="1641"/>
      <c r="AD1610" s="1710"/>
      <c r="AE1610" s="1766"/>
      <c r="AF1610" s="1056">
        <f>Resum!F1</f>
        <v>356000</v>
      </c>
      <c r="AG1610" s="1086">
        <f>AF1610*I1610</f>
        <v>161980000</v>
      </c>
      <c r="AH1610" s="1058"/>
      <c r="AI1610" s="1058"/>
      <c r="AJ1610" s="1767"/>
      <c r="AK1610" s="1060"/>
      <c r="AL1610" s="1090"/>
      <c r="AM1610" s="1057"/>
      <c r="AN1610" s="1086">
        <f>AM1610+AJ1610+AG1610</f>
        <v>161980000</v>
      </c>
      <c r="AO1610" s="1058"/>
      <c r="AP1610" s="1136">
        <f>AI1611*15%</f>
        <v>0</v>
      </c>
      <c r="AQ1610" s="1087">
        <v>0</v>
      </c>
      <c r="AR1610" s="1136">
        <f>(AG1610+AI1610)*5%</f>
        <v>8099000</v>
      </c>
      <c r="AS1610" s="1087">
        <f>0.5%*(AG1610+AI1610)*(3)</f>
        <v>2429700</v>
      </c>
      <c r="AT1610" s="1086">
        <f>+AS1610+AR1610+AQ1610+AP1610+AO1610</f>
        <v>10528700</v>
      </c>
      <c r="AU1610" s="1137">
        <f>ROUND(AT1610+AN1610,-3)</f>
        <v>172509000</v>
      </c>
      <c r="AV1610" s="1812"/>
    </row>
    <row r="1611" spans="1:48" ht="16.5" customHeight="1">
      <c r="A1611" s="1658"/>
      <c r="B1611" s="1646" t="s">
        <v>16</v>
      </c>
      <c r="C1611" s="1647"/>
      <c r="D1611" s="1646"/>
      <c r="E1611" s="1716"/>
      <c r="F1611" s="1648"/>
      <c r="G1611" s="1646" t="s">
        <v>16</v>
      </c>
      <c r="H1611" s="1623" t="s">
        <v>22</v>
      </c>
      <c r="I1611" s="1931"/>
      <c r="J1611" s="1930"/>
      <c r="K1611" s="1631"/>
      <c r="L1611" s="1245"/>
      <c r="M1611" s="1320"/>
      <c r="N1611" s="1632"/>
      <c r="O1611" s="1647"/>
      <c r="P1611" s="1634"/>
      <c r="Q1611" s="1632"/>
      <c r="R1611" s="1646"/>
      <c r="S1611" s="1625"/>
      <c r="T1611" s="1634"/>
      <c r="U1611" s="1635"/>
      <c r="V1611" s="1636"/>
      <c r="W1611" s="1714"/>
      <c r="X1611" s="1650"/>
      <c r="Y1611" s="1623"/>
      <c r="Z1611" s="1651"/>
      <c r="AA1611" s="1625"/>
      <c r="AB1611" s="1667"/>
      <c r="AC1611" s="1640"/>
      <c r="AD1611" s="1635"/>
      <c r="AE1611" s="1764"/>
      <c r="AF1611" s="1085"/>
      <c r="AG1611" s="1086"/>
      <c r="AH1611" s="1087"/>
      <c r="AI1611" s="1087"/>
      <c r="AJ1611" s="1768"/>
      <c r="AK1611" s="1089"/>
      <c r="AL1611" s="1090"/>
      <c r="AM1611" s="1086"/>
      <c r="AN1611" s="1086"/>
      <c r="AO1611" s="1087"/>
      <c r="AP1611" s="1764"/>
      <c r="AQ1611" s="1087"/>
      <c r="AR1611" s="1764"/>
      <c r="AS1611" s="1764"/>
      <c r="AT1611" s="1086"/>
      <c r="AU1611" s="1768"/>
      <c r="AV1611" s="1814"/>
    </row>
    <row r="1612" spans="1:48" ht="16.5" customHeight="1">
      <c r="A1612" s="1658"/>
      <c r="B1612" s="1646" t="s">
        <v>18</v>
      </c>
      <c r="C1612" s="1623"/>
      <c r="D1612" s="1646"/>
      <c r="E1612" s="1716"/>
      <c r="F1612" s="1648"/>
      <c r="G1612" s="1646" t="s">
        <v>18</v>
      </c>
      <c r="H1612" s="1623" t="s">
        <v>19</v>
      </c>
      <c r="I1612" s="1931"/>
      <c r="J1612" s="1930"/>
      <c r="K1612" s="1631"/>
      <c r="L1612" s="1245"/>
      <c r="M1612" s="1320"/>
      <c r="N1612" s="1632"/>
      <c r="O1612" s="1647"/>
      <c r="P1612" s="1634"/>
      <c r="Q1612" s="1632"/>
      <c r="R1612" s="1646"/>
      <c r="S1612" s="1625"/>
      <c r="T1612" s="1634"/>
      <c r="U1612" s="1635"/>
      <c r="V1612" s="1636"/>
      <c r="W1612" s="1714"/>
      <c r="X1612" s="1650"/>
      <c r="Y1612" s="1623"/>
      <c r="Z1612" s="1651"/>
      <c r="AA1612" s="1625"/>
      <c r="AB1612" s="1667"/>
      <c r="AC1612" s="1640"/>
      <c r="AD1612" s="1635"/>
      <c r="AE1612" s="1764"/>
      <c r="AF1612" s="1085"/>
      <c r="AG1612" s="1086"/>
      <c r="AH1612" s="1087"/>
      <c r="AI1612" s="1087"/>
      <c r="AJ1612" s="1768"/>
      <c r="AK1612" s="1089"/>
      <c r="AL1612" s="1090"/>
      <c r="AM1612" s="1086"/>
      <c r="AN1612" s="1086"/>
      <c r="AO1612" s="1087"/>
      <c r="AP1612" s="1764"/>
      <c r="AQ1612" s="1087"/>
      <c r="AR1612" s="1764"/>
      <c r="AS1612" s="1764"/>
      <c r="AT1612" s="1086"/>
      <c r="AU1612" s="1768"/>
      <c r="AV1612" s="1814"/>
    </row>
    <row r="1613" spans="1:48" ht="16.5" customHeight="1">
      <c r="A1613" s="1658"/>
      <c r="B1613" s="1658" t="s">
        <v>12</v>
      </c>
      <c r="C1613" s="1659"/>
      <c r="D1613" s="1646"/>
      <c r="E1613" s="1716"/>
      <c r="F1613" s="1648"/>
      <c r="G1613" s="1646"/>
      <c r="H1613" s="1807"/>
      <c r="I1613" s="1931"/>
      <c r="J1613" s="1930"/>
      <c r="K1613" s="1631"/>
      <c r="L1613" s="1245"/>
      <c r="M1613" s="1320"/>
      <c r="N1613" s="1632"/>
      <c r="O1613" s="1647"/>
      <c r="P1613" s="1634"/>
      <c r="Q1613" s="1632"/>
      <c r="R1613" s="1646"/>
      <c r="S1613" s="1625"/>
      <c r="T1613" s="1634"/>
      <c r="U1613" s="1635"/>
      <c r="V1613" s="1636"/>
      <c r="W1613" s="1714"/>
      <c r="X1613" s="1650"/>
      <c r="Y1613" s="1623"/>
      <c r="Z1613" s="1651"/>
      <c r="AA1613" s="1625"/>
      <c r="AB1613" s="1667"/>
      <c r="AC1613" s="1640"/>
      <c r="AD1613" s="1635"/>
      <c r="AE1613" s="1764"/>
      <c r="AF1613" s="1085"/>
      <c r="AG1613" s="1086"/>
      <c r="AH1613" s="1087"/>
      <c r="AI1613" s="1087"/>
      <c r="AJ1613" s="1768"/>
      <c r="AK1613" s="1089"/>
      <c r="AL1613" s="1090"/>
      <c r="AM1613" s="1086"/>
      <c r="AN1613" s="1086"/>
      <c r="AO1613" s="1087"/>
      <c r="AP1613" s="1764"/>
      <c r="AQ1613" s="1087"/>
      <c r="AR1613" s="1764"/>
      <c r="AS1613" s="1764"/>
      <c r="AT1613" s="1086"/>
      <c r="AU1613" s="1768"/>
      <c r="AV1613" s="1814"/>
    </row>
    <row r="1614" spans="1:48" ht="16.5" customHeight="1">
      <c r="A1614" s="1818"/>
      <c r="B1614" s="1686" t="s">
        <v>8</v>
      </c>
      <c r="C1614" s="1934"/>
      <c r="D1614" s="1686"/>
      <c r="E1614" s="1819"/>
      <c r="F1614" s="1678"/>
      <c r="G1614" s="1686"/>
      <c r="H1614" s="1927"/>
      <c r="I1614" s="1932"/>
      <c r="J1614" s="1930"/>
      <c r="K1614" s="1682"/>
      <c r="L1614" s="1245"/>
      <c r="M1614" s="1320"/>
      <c r="N1614" s="1683"/>
      <c r="O1614" s="1781"/>
      <c r="P1614" s="1685"/>
      <c r="Q1614" s="1683"/>
      <c r="R1614" s="1686"/>
      <c r="S1614" s="1676"/>
      <c r="T1614" s="1685"/>
      <c r="U1614" s="1773"/>
      <c r="V1614" s="1718"/>
      <c r="W1614" s="1719"/>
      <c r="X1614" s="1720"/>
      <c r="Y1614" s="1721"/>
      <c r="Z1614" s="1787"/>
      <c r="AA1614" s="1676"/>
      <c r="AB1614" s="1679"/>
      <c r="AC1614" s="1673"/>
      <c r="AD1614" s="1773"/>
      <c r="AE1614" s="1774"/>
      <c r="AF1614" s="1115"/>
      <c r="AG1614" s="1116"/>
      <c r="AH1614" s="1117"/>
      <c r="AI1614" s="1117"/>
      <c r="AJ1614" s="1775"/>
      <c r="AK1614" s="1119"/>
      <c r="AL1614" s="1120"/>
      <c r="AM1614" s="1116"/>
      <c r="AN1614" s="1116"/>
      <c r="AO1614" s="1117"/>
      <c r="AP1614" s="1774"/>
      <c r="AQ1614" s="1117"/>
      <c r="AR1614" s="1774"/>
      <c r="AS1614" s="1774"/>
      <c r="AT1614" s="1116"/>
      <c r="AU1614" s="1775"/>
      <c r="AV1614" s="1820"/>
    </row>
    <row r="1615" spans="1:48" ht="16.5" customHeight="1">
      <c r="A1615" s="1935">
        <v>126</v>
      </c>
      <c r="B1615" s="1622" t="s">
        <v>25</v>
      </c>
      <c r="C1615" s="1623" t="s">
        <v>208</v>
      </c>
      <c r="D1615" s="1622"/>
      <c r="E1615" s="1623"/>
      <c r="F1615" s="1730" t="s">
        <v>1116</v>
      </c>
      <c r="G1615" s="1797" t="s">
        <v>25</v>
      </c>
      <c r="H1615" s="1659" t="s">
        <v>42</v>
      </c>
      <c r="I1615" s="1929">
        <v>227</v>
      </c>
      <c r="J1615" s="1930" t="s">
        <v>41</v>
      </c>
      <c r="K1615" s="1722" t="s">
        <v>1115</v>
      </c>
      <c r="L1615" s="1373"/>
      <c r="M1615" s="1317"/>
      <c r="N1615" s="1707" t="s">
        <v>25</v>
      </c>
      <c r="O1615" s="1777" t="s">
        <v>26</v>
      </c>
      <c r="P1615" s="1709">
        <v>1</v>
      </c>
      <c r="Q1615" s="1707">
        <v>92.55</v>
      </c>
      <c r="R1615" s="1699" t="s">
        <v>25</v>
      </c>
      <c r="S1615" s="1702" t="s">
        <v>24</v>
      </c>
      <c r="T1615" s="1709"/>
      <c r="U1615" s="1710"/>
      <c r="V1615" s="1711"/>
      <c r="W1615" s="1712"/>
      <c r="X1615" s="1713"/>
      <c r="Y1615" s="1700"/>
      <c r="Z1615" s="1761"/>
      <c r="AA1615" s="1702"/>
      <c r="AB1615" s="1809"/>
      <c r="AC1615" s="1641"/>
      <c r="AD1615" s="1710"/>
      <c r="AE1615" s="1766"/>
      <c r="AF1615" s="1056">
        <f>Resum!F1</f>
        <v>356000</v>
      </c>
      <c r="AG1615" s="1086">
        <f>AF1615*I1615</f>
        <v>80812000</v>
      </c>
      <c r="AH1615" s="1058">
        <v>2530000</v>
      </c>
      <c r="AI1615" s="1089">
        <f>AH1615*Q1615*0.8</f>
        <v>187321200</v>
      </c>
      <c r="AJ1615" s="1811">
        <f>SUM(AI1615:AI1621)</f>
        <v>227444200</v>
      </c>
      <c r="AK1615" s="1060"/>
      <c r="AL1615" s="1090"/>
      <c r="AM1615" s="1057">
        <f>SUM(AL1618:AL1625)</f>
        <v>938345</v>
      </c>
      <c r="AN1615" s="1086">
        <f>AM1615+AJ1615+AG1615</f>
        <v>309194545</v>
      </c>
      <c r="AO1615" s="1058"/>
      <c r="AP1615" s="1136">
        <f>(AG1615+AI1615)*15%</f>
        <v>40219980</v>
      </c>
      <c r="AQ1615" s="1087">
        <f>(AG1615+AI1615)*1%</f>
        <v>2681332</v>
      </c>
      <c r="AR1615" s="1136">
        <f>(AG1615+AI1615)*5%</f>
        <v>13406660</v>
      </c>
      <c r="AS1615" s="1087">
        <f>0.5%*(AG1615+AI1615)*(3)</f>
        <v>4021998</v>
      </c>
      <c r="AT1615" s="1086">
        <f>+AS1615+AR1615+AQ1615+AP1615+AO1615</f>
        <v>60329970</v>
      </c>
      <c r="AU1615" s="1137">
        <f>ROUND(AT1615+AN1615,-3)</f>
        <v>369525000</v>
      </c>
      <c r="AV1615" s="1812"/>
    </row>
    <row r="1616" spans="1:48" ht="16.5" customHeight="1">
      <c r="A1616" s="1658"/>
      <c r="B1616" s="1646" t="s">
        <v>16</v>
      </c>
      <c r="C1616" s="1647" t="s">
        <v>204</v>
      </c>
      <c r="D1616" s="1646"/>
      <c r="E1616" s="1647"/>
      <c r="F1616" s="1648"/>
      <c r="G1616" s="1646" t="s">
        <v>16</v>
      </c>
      <c r="H1616" s="1623" t="s">
        <v>22</v>
      </c>
      <c r="I1616" s="1931"/>
      <c r="J1616" s="1930"/>
      <c r="K1616" s="1631"/>
      <c r="L1616" s="1245"/>
      <c r="M1616" s="1320"/>
      <c r="N1616" s="1632" t="s">
        <v>16</v>
      </c>
      <c r="O1616" s="1737" t="s">
        <v>395</v>
      </c>
      <c r="P1616" s="1634">
        <v>1</v>
      </c>
      <c r="Q1616" s="1632">
        <v>12.8</v>
      </c>
      <c r="R1616" s="1646"/>
      <c r="S1616" s="1625"/>
      <c r="T1616" s="1634"/>
      <c r="U1616" s="1635"/>
      <c r="V1616" s="1636"/>
      <c r="W1616" s="1714"/>
      <c r="X1616" s="1650"/>
      <c r="Y1616" s="1623"/>
      <c r="Z1616" s="1651"/>
      <c r="AA1616" s="1625"/>
      <c r="AB1616" s="1667"/>
      <c r="AC1616" s="1640"/>
      <c r="AD1616" s="1635"/>
      <c r="AE1616" s="1764"/>
      <c r="AF1616" s="1085"/>
      <c r="AG1616" s="1086"/>
      <c r="AH1616" s="1087">
        <v>350000</v>
      </c>
      <c r="AI1616" s="1089">
        <f>AH1616*Q1616*0.6</f>
        <v>2688000</v>
      </c>
      <c r="AJ1616" s="1768"/>
      <c r="AK1616" s="1089"/>
      <c r="AL1616" s="1090"/>
      <c r="AM1616" s="1086"/>
      <c r="AN1616" s="1086"/>
      <c r="AO1616" s="1087"/>
      <c r="AP1616" s="1764"/>
      <c r="AQ1616" s="1087"/>
      <c r="AR1616" s="1764"/>
      <c r="AS1616" s="1764"/>
      <c r="AT1616" s="1086"/>
      <c r="AU1616" s="1768"/>
      <c r="AV1616" s="1814"/>
    </row>
    <row r="1617" spans="1:48" ht="33" customHeight="1">
      <c r="A1617" s="1658"/>
      <c r="B1617" s="1646" t="s">
        <v>18</v>
      </c>
      <c r="C1617" s="1623" t="s">
        <v>124</v>
      </c>
      <c r="D1617" s="1646"/>
      <c r="E1617" s="1623"/>
      <c r="F1617" s="1648"/>
      <c r="G1617" s="1646" t="s">
        <v>18</v>
      </c>
      <c r="H1617" s="1623" t="s">
        <v>19</v>
      </c>
      <c r="I1617" s="1931"/>
      <c r="J1617" s="1930"/>
      <c r="K1617" s="1631"/>
      <c r="L1617" s="1245"/>
      <c r="M1617" s="1320"/>
      <c r="N1617" s="1632" t="s">
        <v>18</v>
      </c>
      <c r="O1617" s="1748" t="s">
        <v>62</v>
      </c>
      <c r="P1617" s="1634">
        <v>1</v>
      </c>
      <c r="Q1617" s="1632">
        <v>32</v>
      </c>
      <c r="R1617" s="1646" t="s">
        <v>16</v>
      </c>
      <c r="S1617" s="1625" t="s">
        <v>15</v>
      </c>
      <c r="T1617" s="1634">
        <v>9</v>
      </c>
      <c r="U1617" s="1635">
        <v>1</v>
      </c>
      <c r="V1617" s="1636" t="s">
        <v>926</v>
      </c>
      <c r="W1617" s="1714"/>
      <c r="X1617" s="1650"/>
      <c r="Y1617" s="1623">
        <v>880</v>
      </c>
      <c r="Z1617" s="1651">
        <f t="shared" ref="Z1617:Z1623" si="130">SUM(W1617:Y1617)</f>
        <v>880</v>
      </c>
      <c r="AA1617" s="1625"/>
      <c r="AB1617" s="1667"/>
      <c r="AC1617" s="1640"/>
      <c r="AD1617" s="1635"/>
      <c r="AE1617" s="1764"/>
      <c r="AF1617" s="1085"/>
      <c r="AG1617" s="1086"/>
      <c r="AH1617" s="1087">
        <v>1800000</v>
      </c>
      <c r="AI1617" s="1089">
        <f>AH1617*Q1617*0.5</f>
        <v>28800000</v>
      </c>
      <c r="AJ1617" s="1768"/>
      <c r="AK1617" s="1089"/>
      <c r="AL1617" s="1090"/>
      <c r="AM1617" s="1086"/>
      <c r="AN1617" s="1086"/>
      <c r="AO1617" s="1087"/>
      <c r="AP1617" s="1764"/>
      <c r="AQ1617" s="1087"/>
      <c r="AR1617" s="1764"/>
      <c r="AS1617" s="1764"/>
      <c r="AT1617" s="1086"/>
      <c r="AU1617" s="1768"/>
      <c r="AV1617" s="1814"/>
    </row>
    <row r="1618" spans="1:48" ht="49.5" customHeight="1">
      <c r="A1618" s="1658"/>
      <c r="B1618" s="1658" t="s">
        <v>12</v>
      </c>
      <c r="C1618" s="1659" t="s">
        <v>1114</v>
      </c>
      <c r="D1618" s="1646"/>
      <c r="E1618" s="1623"/>
      <c r="F1618" s="1648"/>
      <c r="G1618" s="1646"/>
      <c r="H1618" s="1623"/>
      <c r="I1618" s="1931"/>
      <c r="J1618" s="1930"/>
      <c r="K1618" s="1631"/>
      <c r="L1618" s="1245"/>
      <c r="M1618" s="1320"/>
      <c r="N1618" s="1632" t="s">
        <v>12</v>
      </c>
      <c r="O1618" s="1748" t="s">
        <v>1044</v>
      </c>
      <c r="P1618" s="1634">
        <v>1</v>
      </c>
      <c r="Q1618" s="1632">
        <v>3.2</v>
      </c>
      <c r="R1618" s="1646"/>
      <c r="S1618" s="1625"/>
      <c r="T1618" s="1634"/>
      <c r="U1618" s="1635">
        <v>2</v>
      </c>
      <c r="V1618" s="1636" t="s">
        <v>808</v>
      </c>
      <c r="W1618" s="1714">
        <v>2</v>
      </c>
      <c r="X1618" s="1650"/>
      <c r="Y1618" s="1623"/>
      <c r="Z1618" s="1651">
        <f t="shared" si="130"/>
        <v>2</v>
      </c>
      <c r="AA1618" s="1625"/>
      <c r="AB1618" s="1667"/>
      <c r="AC1618" s="1640"/>
      <c r="AD1618" s="1635"/>
      <c r="AE1618" s="1764"/>
      <c r="AF1618" s="1085"/>
      <c r="AG1618" s="1086"/>
      <c r="AH1618" s="1087">
        <v>100000</v>
      </c>
      <c r="AI1618" s="1089">
        <f>AH1618*Q1618*0.5</f>
        <v>160000</v>
      </c>
      <c r="AJ1618" s="1768"/>
      <c r="AK1618" s="1300">
        <v>125000</v>
      </c>
      <c r="AL1618" s="1090">
        <f t="shared" si="126"/>
        <v>250000</v>
      </c>
      <c r="AM1618" s="1086"/>
      <c r="AN1618" s="1086"/>
      <c r="AO1618" s="1087"/>
      <c r="AP1618" s="1764"/>
      <c r="AQ1618" s="1087"/>
      <c r="AR1618" s="1764"/>
      <c r="AS1618" s="1764"/>
      <c r="AT1618" s="1086"/>
      <c r="AU1618" s="1768"/>
      <c r="AV1618" s="1814"/>
    </row>
    <row r="1619" spans="1:48" ht="16.5" customHeight="1">
      <c r="A1619" s="1658"/>
      <c r="B1619" s="1646" t="s">
        <v>8</v>
      </c>
      <c r="C1619" s="1716" t="s">
        <v>1113</v>
      </c>
      <c r="D1619" s="1646"/>
      <c r="E1619" s="1623"/>
      <c r="F1619" s="1648"/>
      <c r="G1619" s="1646"/>
      <c r="H1619" s="1623"/>
      <c r="I1619" s="1931"/>
      <c r="J1619" s="1930"/>
      <c r="K1619" s="1631"/>
      <c r="L1619" s="1245"/>
      <c r="M1619" s="1320"/>
      <c r="N1619" s="1632" t="s">
        <v>8</v>
      </c>
      <c r="O1619" s="1748" t="s">
        <v>189</v>
      </c>
      <c r="P1619" s="1634">
        <v>1</v>
      </c>
      <c r="Q1619" s="1632">
        <v>23.2</v>
      </c>
      <c r="R1619" s="1646"/>
      <c r="S1619" s="1625"/>
      <c r="T1619" s="1634"/>
      <c r="U1619" s="1635">
        <v>3</v>
      </c>
      <c r="V1619" s="1636" t="s">
        <v>268</v>
      </c>
      <c r="W1619" s="1714"/>
      <c r="X1619" s="1650">
        <v>3</v>
      </c>
      <c r="Y1619" s="1623"/>
      <c r="Z1619" s="1651">
        <f t="shared" si="130"/>
        <v>3</v>
      </c>
      <c r="AA1619" s="1625"/>
      <c r="AB1619" s="1667"/>
      <c r="AC1619" s="1640"/>
      <c r="AD1619" s="1635"/>
      <c r="AE1619" s="1764"/>
      <c r="AF1619" s="1085"/>
      <c r="AG1619" s="1086"/>
      <c r="AH1619" s="1087">
        <v>300000</v>
      </c>
      <c r="AI1619" s="1089">
        <f>AH1619*Q1619*0.5</f>
        <v>3480000</v>
      </c>
      <c r="AJ1619" s="1768"/>
      <c r="AK1619" s="1089">
        <v>132000</v>
      </c>
      <c r="AL1619" s="1090">
        <f>AK1619*X1619</f>
        <v>396000</v>
      </c>
      <c r="AM1619" s="1086"/>
      <c r="AN1619" s="1086"/>
      <c r="AO1619" s="1087"/>
      <c r="AP1619" s="1764"/>
      <c r="AQ1619" s="1087"/>
      <c r="AR1619" s="1764"/>
      <c r="AS1619" s="1764"/>
      <c r="AT1619" s="1086"/>
      <c r="AU1619" s="1768"/>
      <c r="AV1619" s="1814"/>
    </row>
    <row r="1620" spans="1:48" ht="16.5" customHeight="1">
      <c r="A1620" s="1658"/>
      <c r="B1620" s="1646"/>
      <c r="C1620" s="1716"/>
      <c r="D1620" s="1646"/>
      <c r="E1620" s="1623"/>
      <c r="F1620" s="1648"/>
      <c r="G1620" s="1646"/>
      <c r="H1620" s="1623"/>
      <c r="I1620" s="1931"/>
      <c r="J1620" s="1930"/>
      <c r="K1620" s="1631"/>
      <c r="L1620" s="1245"/>
      <c r="M1620" s="1320"/>
      <c r="N1620" s="1632" t="s">
        <v>54</v>
      </c>
      <c r="O1620" s="1737" t="s">
        <v>121</v>
      </c>
      <c r="P1620" s="1634">
        <v>1</v>
      </c>
      <c r="Q1620" s="1632">
        <v>18</v>
      </c>
      <c r="R1620" s="1646"/>
      <c r="S1620" s="1625"/>
      <c r="T1620" s="1634"/>
      <c r="U1620" s="1635">
        <v>4</v>
      </c>
      <c r="V1620" s="1636" t="s">
        <v>36</v>
      </c>
      <c r="W1620" s="1714">
        <v>1</v>
      </c>
      <c r="X1620" s="1650"/>
      <c r="Y1620" s="1623"/>
      <c r="Z1620" s="1651">
        <f t="shared" si="130"/>
        <v>1</v>
      </c>
      <c r="AA1620" s="1625"/>
      <c r="AB1620" s="1667"/>
      <c r="AC1620" s="1640"/>
      <c r="AD1620" s="1635"/>
      <c r="AE1620" s="1764"/>
      <c r="AF1620" s="1085"/>
      <c r="AG1620" s="1086"/>
      <c r="AH1620" s="1087">
        <v>300000</v>
      </c>
      <c r="AI1620" s="1089">
        <f>AH1620*Q1620*0.5</f>
        <v>2700000</v>
      </c>
      <c r="AJ1620" s="1768"/>
      <c r="AK1620" s="1089">
        <v>150000</v>
      </c>
      <c r="AL1620" s="1090">
        <f t="shared" si="126"/>
        <v>150000</v>
      </c>
      <c r="AM1620" s="1086"/>
      <c r="AN1620" s="1086"/>
      <c r="AO1620" s="1087"/>
      <c r="AP1620" s="1764"/>
      <c r="AQ1620" s="1087"/>
      <c r="AR1620" s="1764"/>
      <c r="AS1620" s="1764"/>
      <c r="AT1620" s="1086"/>
      <c r="AU1620" s="1768"/>
      <c r="AV1620" s="1814"/>
    </row>
    <row r="1621" spans="1:48" ht="16.5" customHeight="1">
      <c r="A1621" s="1658"/>
      <c r="B1621" s="1646"/>
      <c r="C1621" s="1716"/>
      <c r="D1621" s="1646"/>
      <c r="E1621" s="1623"/>
      <c r="F1621" s="1648"/>
      <c r="G1621" s="1646"/>
      <c r="H1621" s="1623"/>
      <c r="I1621" s="1931"/>
      <c r="J1621" s="1930"/>
      <c r="K1621" s="1631"/>
      <c r="L1621" s="1245"/>
      <c r="M1621" s="1320"/>
      <c r="N1621" s="1632" t="s">
        <v>53</v>
      </c>
      <c r="O1621" s="1748" t="s">
        <v>1112</v>
      </c>
      <c r="P1621" s="1634">
        <v>1</v>
      </c>
      <c r="Q1621" s="1632">
        <v>15.3</v>
      </c>
      <c r="R1621" s="1646"/>
      <c r="S1621" s="1625"/>
      <c r="T1621" s="1634"/>
      <c r="U1621" s="1635">
        <v>5</v>
      </c>
      <c r="V1621" s="1636" t="s">
        <v>265</v>
      </c>
      <c r="W1621" s="1714"/>
      <c r="X1621" s="1650"/>
      <c r="Y1621" s="1623">
        <v>2</v>
      </c>
      <c r="Z1621" s="1651">
        <f t="shared" si="130"/>
        <v>2</v>
      </c>
      <c r="AA1621" s="1625"/>
      <c r="AB1621" s="1667"/>
      <c r="AC1621" s="1640"/>
      <c r="AD1621" s="1635"/>
      <c r="AE1621" s="1764"/>
      <c r="AF1621" s="1085"/>
      <c r="AG1621" s="1086"/>
      <c r="AH1621" s="1087">
        <v>300000</v>
      </c>
      <c r="AI1621" s="1089">
        <f>AH1621*Q1621*0.5</f>
        <v>2295000</v>
      </c>
      <c r="AJ1621" s="1768"/>
      <c r="AK1621" s="1089">
        <v>33000</v>
      </c>
      <c r="AL1621" s="1090">
        <f>AK1621*Y1621</f>
        <v>66000</v>
      </c>
      <c r="AM1621" s="1086"/>
      <c r="AN1621" s="1086"/>
      <c r="AO1621" s="1087"/>
      <c r="AP1621" s="1764"/>
      <c r="AQ1621" s="1087"/>
      <c r="AR1621" s="1764"/>
      <c r="AS1621" s="1764"/>
      <c r="AT1621" s="1086"/>
      <c r="AU1621" s="1768"/>
      <c r="AV1621" s="1814"/>
    </row>
    <row r="1622" spans="1:48" ht="16.5" customHeight="1">
      <c r="A1622" s="1658"/>
      <c r="B1622" s="1665"/>
      <c r="C1622" s="1666"/>
      <c r="D1622" s="1646"/>
      <c r="E1622" s="1659"/>
      <c r="F1622" s="1648"/>
      <c r="G1622" s="1646"/>
      <c r="H1622" s="1807"/>
      <c r="I1622" s="1931"/>
      <c r="J1622" s="1930"/>
      <c r="K1622" s="1631"/>
      <c r="L1622" s="1245"/>
      <c r="M1622" s="1320"/>
      <c r="N1622" s="1738"/>
      <c r="O1622" s="1740"/>
      <c r="P1622" s="1741"/>
      <c r="Q1622" s="1738"/>
      <c r="R1622" s="1646"/>
      <c r="S1622" s="1625"/>
      <c r="T1622" s="1634"/>
      <c r="U1622" s="1635">
        <v>6</v>
      </c>
      <c r="V1622" s="1636" t="s">
        <v>139</v>
      </c>
      <c r="W1622" s="1714"/>
      <c r="X1622" s="1650"/>
      <c r="Y1622" s="1623">
        <v>1</v>
      </c>
      <c r="Z1622" s="1651">
        <f t="shared" si="130"/>
        <v>1</v>
      </c>
      <c r="AA1622" s="1625"/>
      <c r="AB1622" s="1667"/>
      <c r="AC1622" s="1640"/>
      <c r="AD1622" s="1635"/>
      <c r="AE1622" s="1764"/>
      <c r="AF1622" s="1085"/>
      <c r="AG1622" s="1086"/>
      <c r="AH1622" s="1087"/>
      <c r="AI1622" s="1087"/>
      <c r="AJ1622" s="1768"/>
      <c r="AK1622" s="1089">
        <v>24750</v>
      </c>
      <c r="AL1622" s="1090">
        <f>AK1622*Y1622</f>
        <v>24750</v>
      </c>
      <c r="AM1622" s="1086"/>
      <c r="AN1622" s="1086"/>
      <c r="AO1622" s="1087"/>
      <c r="AP1622" s="1764"/>
      <c r="AQ1622" s="1087"/>
      <c r="AR1622" s="1764"/>
      <c r="AS1622" s="1764"/>
      <c r="AT1622" s="1086"/>
      <c r="AU1622" s="1768"/>
      <c r="AV1622" s="1814"/>
    </row>
    <row r="1623" spans="1:48" ht="16.5" customHeight="1">
      <c r="A1623" s="1658"/>
      <c r="B1623" s="1665"/>
      <c r="C1623" s="1666"/>
      <c r="D1623" s="1646"/>
      <c r="E1623" s="1659"/>
      <c r="F1623" s="1648"/>
      <c r="G1623" s="1646"/>
      <c r="H1623" s="1807"/>
      <c r="I1623" s="1931"/>
      <c r="J1623" s="1930"/>
      <c r="K1623" s="1631"/>
      <c r="L1623" s="1245"/>
      <c r="M1623" s="1320"/>
      <c r="N1623" s="1632"/>
      <c r="O1623" s="1647"/>
      <c r="P1623" s="1634"/>
      <c r="Q1623" s="1632"/>
      <c r="R1623" s="1646"/>
      <c r="S1623" s="1625"/>
      <c r="T1623" s="1634"/>
      <c r="U1623" s="1635">
        <v>7</v>
      </c>
      <c r="V1623" s="1636" t="s">
        <v>826</v>
      </c>
      <c r="W1623" s="1714"/>
      <c r="X1623" s="1650"/>
      <c r="Y1623" s="1623">
        <v>3</v>
      </c>
      <c r="Z1623" s="1651">
        <f t="shared" si="130"/>
        <v>3</v>
      </c>
      <c r="AA1623" s="1625"/>
      <c r="AB1623" s="1667"/>
      <c r="AC1623" s="1640"/>
      <c r="AD1623" s="1635"/>
      <c r="AE1623" s="1764"/>
      <c r="AF1623" s="1085"/>
      <c r="AG1623" s="1086"/>
      <c r="AH1623" s="1087"/>
      <c r="AI1623" s="1087"/>
      <c r="AJ1623" s="1768"/>
      <c r="AK1623" s="1089">
        <v>865</v>
      </c>
      <c r="AL1623" s="1090">
        <f>AK1623*Y1623</f>
        <v>2595</v>
      </c>
      <c r="AM1623" s="1086"/>
      <c r="AN1623" s="1086"/>
      <c r="AO1623" s="1087"/>
      <c r="AP1623" s="1764"/>
      <c r="AQ1623" s="1087"/>
      <c r="AR1623" s="1764"/>
      <c r="AS1623" s="1764"/>
      <c r="AT1623" s="1086"/>
      <c r="AU1623" s="1768"/>
      <c r="AV1623" s="1814"/>
    </row>
    <row r="1624" spans="1:48" ht="16.5" customHeight="1">
      <c r="A1624" s="1658"/>
      <c r="B1624" s="1665"/>
      <c r="C1624" s="1666"/>
      <c r="D1624" s="1646"/>
      <c r="E1624" s="1659"/>
      <c r="F1624" s="1648"/>
      <c r="G1624" s="1646"/>
      <c r="H1624" s="1807"/>
      <c r="I1624" s="1931"/>
      <c r="J1624" s="1930"/>
      <c r="K1624" s="1631"/>
      <c r="L1624" s="1245"/>
      <c r="M1624" s="1320"/>
      <c r="N1624" s="1632"/>
      <c r="O1624" s="1647"/>
      <c r="P1624" s="1634"/>
      <c r="Q1624" s="1632"/>
      <c r="R1624" s="1646"/>
      <c r="S1624" s="1625"/>
      <c r="T1624" s="1634"/>
      <c r="U1624" s="1635">
        <v>8</v>
      </c>
      <c r="V1624" s="1636" t="s">
        <v>4</v>
      </c>
      <c r="W1624" s="1714"/>
      <c r="X1624" s="1650">
        <v>300</v>
      </c>
      <c r="Y1624" s="1623"/>
      <c r="Z1624" s="1651" t="s">
        <v>1111</v>
      </c>
      <c r="AA1624" s="1625"/>
      <c r="AB1624" s="1667"/>
      <c r="AC1624" s="1640"/>
      <c r="AD1624" s="1635"/>
      <c r="AE1624" s="1764"/>
      <c r="AF1624" s="1085"/>
      <c r="AG1624" s="1086"/>
      <c r="AH1624" s="1087"/>
      <c r="AI1624" s="1087"/>
      <c r="AJ1624" s="1768"/>
      <c r="AK1624" s="1089">
        <v>150</v>
      </c>
      <c r="AL1624" s="1090">
        <f>AK1624*X1624</f>
        <v>45000</v>
      </c>
      <c r="AM1624" s="1086"/>
      <c r="AN1624" s="1086"/>
      <c r="AO1624" s="1087"/>
      <c r="AP1624" s="1764"/>
      <c r="AQ1624" s="1087"/>
      <c r="AR1624" s="1764"/>
      <c r="AS1624" s="1764"/>
      <c r="AT1624" s="1086"/>
      <c r="AU1624" s="1768"/>
      <c r="AV1624" s="1814"/>
    </row>
    <row r="1625" spans="1:48" ht="16.5" customHeight="1">
      <c r="A1625" s="1658"/>
      <c r="B1625" s="1665"/>
      <c r="C1625" s="1666"/>
      <c r="D1625" s="1646"/>
      <c r="E1625" s="1659"/>
      <c r="F1625" s="1648"/>
      <c r="G1625" s="1646"/>
      <c r="H1625" s="1807"/>
      <c r="I1625" s="1931"/>
      <c r="J1625" s="1930"/>
      <c r="K1625" s="1631"/>
      <c r="L1625" s="1245"/>
      <c r="M1625" s="1320"/>
      <c r="N1625" s="1632"/>
      <c r="O1625" s="1647"/>
      <c r="P1625" s="1634"/>
      <c r="Q1625" s="1632"/>
      <c r="R1625" s="1646"/>
      <c r="S1625" s="1625"/>
      <c r="T1625" s="1634"/>
      <c r="U1625" s="1635">
        <v>9</v>
      </c>
      <c r="V1625" s="1636" t="s">
        <v>81</v>
      </c>
      <c r="W1625" s="1714"/>
      <c r="X1625" s="1650">
        <v>8</v>
      </c>
      <c r="Y1625" s="1623"/>
      <c r="Z1625" s="1651">
        <f>SUM(W1625:Y1625)</f>
        <v>8</v>
      </c>
      <c r="AA1625" s="1625"/>
      <c r="AB1625" s="1667"/>
      <c r="AC1625" s="1640"/>
      <c r="AD1625" s="1635"/>
      <c r="AE1625" s="1764"/>
      <c r="AF1625" s="1085"/>
      <c r="AG1625" s="1086"/>
      <c r="AH1625" s="1087"/>
      <c r="AI1625" s="1087"/>
      <c r="AJ1625" s="1768"/>
      <c r="AK1625" s="1089">
        <v>500</v>
      </c>
      <c r="AL1625" s="1090">
        <f>AK1625*X1625</f>
        <v>4000</v>
      </c>
      <c r="AM1625" s="1086"/>
      <c r="AN1625" s="1086"/>
      <c r="AO1625" s="1087"/>
      <c r="AP1625" s="1764"/>
      <c r="AQ1625" s="1087"/>
      <c r="AR1625" s="1764"/>
      <c r="AS1625" s="1764"/>
      <c r="AT1625" s="1086"/>
      <c r="AU1625" s="1768"/>
      <c r="AV1625" s="1814"/>
    </row>
    <row r="1626" spans="1:48" ht="16.5" customHeight="1">
      <c r="A1626" s="1658"/>
      <c r="B1626" s="1674"/>
      <c r="C1626" s="1675"/>
      <c r="D1626" s="1646"/>
      <c r="E1626" s="1716"/>
      <c r="F1626" s="1678"/>
      <c r="G1626" s="1646"/>
      <c r="H1626" s="1807"/>
      <c r="I1626" s="1932"/>
      <c r="J1626" s="1930"/>
      <c r="K1626" s="1631"/>
      <c r="L1626" s="1270"/>
      <c r="M1626" s="1549"/>
      <c r="N1626" s="1738"/>
      <c r="O1626" s="1735"/>
      <c r="P1626" s="1736"/>
      <c r="Q1626" s="1738"/>
      <c r="R1626" s="1646"/>
      <c r="S1626" s="1625"/>
      <c r="T1626" s="1634"/>
      <c r="U1626" s="1635"/>
      <c r="V1626" s="1636"/>
      <c r="W1626" s="1714"/>
      <c r="X1626" s="1650"/>
      <c r="Y1626" s="1721"/>
      <c r="Z1626" s="1787"/>
      <c r="AA1626" s="1676"/>
      <c r="AB1626" s="1679"/>
      <c r="AC1626" s="1673"/>
      <c r="AD1626" s="1773"/>
      <c r="AE1626" s="1774"/>
      <c r="AF1626" s="1115"/>
      <c r="AG1626" s="1116"/>
      <c r="AH1626" s="1117"/>
      <c r="AI1626" s="1117"/>
      <c r="AJ1626" s="1775"/>
      <c r="AK1626" s="1119"/>
      <c r="AL1626" s="1120"/>
      <c r="AM1626" s="1116"/>
      <c r="AN1626" s="1116"/>
      <c r="AO1626" s="1117"/>
      <c r="AP1626" s="1774"/>
      <c r="AQ1626" s="1117"/>
      <c r="AR1626" s="1774"/>
      <c r="AS1626" s="1774"/>
      <c r="AT1626" s="1116"/>
      <c r="AU1626" s="1775"/>
      <c r="AV1626" s="1820"/>
    </row>
    <row r="1627" spans="1:48" ht="33" customHeight="1">
      <c r="A1627" s="1925">
        <v>127</v>
      </c>
      <c r="B1627" s="1699" t="s">
        <v>25</v>
      </c>
      <c r="C1627" s="1920" t="s">
        <v>1110</v>
      </c>
      <c r="D1627" s="1699"/>
      <c r="E1627" s="1700"/>
      <c r="F1627" s="1730" t="s">
        <v>1109</v>
      </c>
      <c r="G1627" s="1926" t="s">
        <v>25</v>
      </c>
      <c r="H1627" s="1792" t="s">
        <v>1108</v>
      </c>
      <c r="I1627" s="1929">
        <v>1780</v>
      </c>
      <c r="J1627" s="1746" t="s">
        <v>28</v>
      </c>
      <c r="K1627" s="1722" t="s">
        <v>1107</v>
      </c>
      <c r="L1627" s="1245"/>
      <c r="M1627" s="1320"/>
      <c r="N1627" s="1707" t="s">
        <v>25</v>
      </c>
      <c r="O1627" s="1921" t="s">
        <v>1794</v>
      </c>
      <c r="P1627" s="1709">
        <v>1</v>
      </c>
      <c r="Q1627" s="1707">
        <v>162</v>
      </c>
      <c r="R1627" s="1699"/>
      <c r="S1627" s="1702"/>
      <c r="T1627" s="1709"/>
      <c r="U1627" s="1710"/>
      <c r="V1627" s="1711"/>
      <c r="W1627" s="1712"/>
      <c r="X1627" s="1713"/>
      <c r="Y1627" s="1700"/>
      <c r="Z1627" s="1761"/>
      <c r="AA1627" s="1702"/>
      <c r="AB1627" s="1809"/>
      <c r="AC1627" s="1641"/>
      <c r="AD1627" s="1710"/>
      <c r="AE1627" s="1766"/>
      <c r="AF1627" s="1056">
        <f>Resum!F1</f>
        <v>356000</v>
      </c>
      <c r="AG1627" s="1086">
        <f>AF1627*I1627</f>
        <v>633680000</v>
      </c>
      <c r="AH1627" s="1058">
        <v>150000</v>
      </c>
      <c r="AI1627" s="1089">
        <f>AH1627*Q1627*0.5</f>
        <v>12150000</v>
      </c>
      <c r="AJ1627" s="1811">
        <f>SUM(AI1627:AI1628)</f>
        <v>12582000</v>
      </c>
      <c r="AK1627" s="1060"/>
      <c r="AL1627" s="1090"/>
      <c r="AM1627" s="1057"/>
      <c r="AN1627" s="1086">
        <f>AM1627+AJ1627+AG1627</f>
        <v>646262000</v>
      </c>
      <c r="AO1627" s="1058"/>
      <c r="AP1627" s="1136">
        <v>0</v>
      </c>
      <c r="AQ1627" s="1087">
        <v>0</v>
      </c>
      <c r="AR1627" s="1136">
        <f>AG1627*5%</f>
        <v>31684000</v>
      </c>
      <c r="AS1627" s="1087">
        <f>0.5%*(AG1627)*(3)</f>
        <v>9505200</v>
      </c>
      <c r="AT1627" s="1086">
        <f>+AS1627+AR1627+AQ1627+AP1627+AO1627</f>
        <v>41189200</v>
      </c>
      <c r="AU1627" s="1137">
        <f>ROUND(AT1627+AN1627,-3)</f>
        <v>687451000</v>
      </c>
      <c r="AV1627" s="1812"/>
    </row>
    <row r="1628" spans="1:48" ht="16.5" customHeight="1">
      <c r="A1628" s="1658"/>
      <c r="B1628" s="1646" t="s">
        <v>16</v>
      </c>
      <c r="C1628" s="1647" t="s">
        <v>1106</v>
      </c>
      <c r="D1628" s="1646"/>
      <c r="E1628" s="1647"/>
      <c r="F1628" s="1648"/>
      <c r="G1628" s="1646" t="s">
        <v>16</v>
      </c>
      <c r="H1628" s="1623" t="s">
        <v>22</v>
      </c>
      <c r="I1628" s="1931"/>
      <c r="J1628" s="1747"/>
      <c r="K1628" s="1631"/>
      <c r="L1628" s="1245"/>
      <c r="M1628" s="1320"/>
      <c r="N1628" s="1632" t="s">
        <v>16</v>
      </c>
      <c r="O1628" s="1737" t="s">
        <v>1795</v>
      </c>
      <c r="P1628" s="1634">
        <v>1</v>
      </c>
      <c r="Q1628" s="1632">
        <v>4.8</v>
      </c>
      <c r="R1628" s="1646"/>
      <c r="S1628" s="1625"/>
      <c r="T1628" s="1634"/>
      <c r="U1628" s="1635"/>
      <c r="V1628" s="1636"/>
      <c r="W1628" s="1714"/>
      <c r="X1628" s="1650"/>
      <c r="Y1628" s="1623"/>
      <c r="Z1628" s="1651"/>
      <c r="AA1628" s="1625"/>
      <c r="AB1628" s="1667"/>
      <c r="AC1628" s="1640"/>
      <c r="AD1628" s="1635"/>
      <c r="AE1628" s="1764"/>
      <c r="AF1628" s="1085"/>
      <c r="AG1628" s="1086"/>
      <c r="AH1628" s="1087">
        <v>180000</v>
      </c>
      <c r="AI1628" s="1089">
        <f t="shared" ref="AI1628" si="131">AH1628*Q1628*0.5</f>
        <v>432000</v>
      </c>
      <c r="AJ1628" s="1768"/>
      <c r="AK1628" s="1089"/>
      <c r="AL1628" s="1090"/>
      <c r="AM1628" s="1086"/>
      <c r="AN1628" s="1086"/>
      <c r="AO1628" s="1087"/>
      <c r="AP1628" s="1764"/>
      <c r="AQ1628" s="1087"/>
      <c r="AR1628" s="1764"/>
      <c r="AS1628" s="1764"/>
      <c r="AT1628" s="1086"/>
      <c r="AU1628" s="1768"/>
      <c r="AV1628" s="1814"/>
    </row>
    <row r="1629" spans="1:48" ht="16.5" customHeight="1">
      <c r="A1629" s="1658"/>
      <c r="B1629" s="1646" t="s">
        <v>18</v>
      </c>
      <c r="C1629" s="1623" t="s">
        <v>612</v>
      </c>
      <c r="D1629" s="1646"/>
      <c r="E1629" s="1623"/>
      <c r="F1629" s="1648"/>
      <c r="G1629" s="1646" t="s">
        <v>18</v>
      </c>
      <c r="H1629" s="1623" t="s">
        <v>19</v>
      </c>
      <c r="I1629" s="1931"/>
      <c r="J1629" s="1747"/>
      <c r="K1629" s="1631"/>
      <c r="L1629" s="1245"/>
      <c r="M1629" s="1320"/>
      <c r="N1629" s="1632"/>
      <c r="O1629" s="1647"/>
      <c r="P1629" s="1634"/>
      <c r="Q1629" s="1632"/>
      <c r="R1629" s="1646"/>
      <c r="S1629" s="1625"/>
      <c r="T1629" s="1634"/>
      <c r="U1629" s="1635"/>
      <c r="V1629" s="1636"/>
      <c r="W1629" s="1714"/>
      <c r="X1629" s="1650"/>
      <c r="Y1629" s="1623"/>
      <c r="Z1629" s="1651"/>
      <c r="AA1629" s="1625"/>
      <c r="AB1629" s="1667"/>
      <c r="AC1629" s="1640"/>
      <c r="AD1629" s="1635"/>
      <c r="AE1629" s="1764"/>
      <c r="AF1629" s="1085"/>
      <c r="AG1629" s="1086"/>
      <c r="AH1629" s="1087"/>
      <c r="AI1629" s="1087"/>
      <c r="AJ1629" s="1768"/>
      <c r="AK1629" s="1089"/>
      <c r="AL1629" s="1090"/>
      <c r="AM1629" s="1086"/>
      <c r="AN1629" s="1086"/>
      <c r="AO1629" s="1087"/>
      <c r="AP1629" s="1764"/>
      <c r="AQ1629" s="1087"/>
      <c r="AR1629" s="1764"/>
      <c r="AS1629" s="1764"/>
      <c r="AT1629" s="1086"/>
      <c r="AU1629" s="1768"/>
      <c r="AV1629" s="1814"/>
    </row>
    <row r="1630" spans="1:48" ht="49.5" customHeight="1">
      <c r="A1630" s="1658"/>
      <c r="B1630" s="1658" t="s">
        <v>12</v>
      </c>
      <c r="C1630" s="1659" t="s">
        <v>1105</v>
      </c>
      <c r="D1630" s="1658"/>
      <c r="E1630" s="1659"/>
      <c r="F1630" s="1648"/>
      <c r="G1630" s="1646"/>
      <c r="H1630" s="1807"/>
      <c r="I1630" s="1931"/>
      <c r="J1630" s="1747"/>
      <c r="K1630" s="1631"/>
      <c r="L1630" s="1245"/>
      <c r="M1630" s="1320"/>
      <c r="N1630" s="1632"/>
      <c r="O1630" s="1647"/>
      <c r="P1630" s="1634"/>
      <c r="Q1630" s="1632"/>
      <c r="R1630" s="1646"/>
      <c r="S1630" s="1625"/>
      <c r="T1630" s="1634"/>
      <c r="U1630" s="1635"/>
      <c r="V1630" s="1636"/>
      <c r="W1630" s="1714"/>
      <c r="X1630" s="1650"/>
      <c r="Y1630" s="1623"/>
      <c r="Z1630" s="1651"/>
      <c r="AA1630" s="1625"/>
      <c r="AB1630" s="1667"/>
      <c r="AC1630" s="1640"/>
      <c r="AD1630" s="1635"/>
      <c r="AE1630" s="1764"/>
      <c r="AF1630" s="1085"/>
      <c r="AG1630" s="1086"/>
      <c r="AH1630" s="1087"/>
      <c r="AI1630" s="1087"/>
      <c r="AJ1630" s="1768"/>
      <c r="AK1630" s="1089"/>
      <c r="AL1630" s="1090"/>
      <c r="AM1630" s="1086"/>
      <c r="AN1630" s="1086"/>
      <c r="AO1630" s="1087"/>
      <c r="AP1630" s="1764"/>
      <c r="AQ1630" s="1087"/>
      <c r="AR1630" s="1764"/>
      <c r="AS1630" s="1764"/>
      <c r="AT1630" s="1086"/>
      <c r="AU1630" s="1768"/>
      <c r="AV1630" s="1814"/>
    </row>
    <row r="1631" spans="1:48" ht="16.5" customHeight="1">
      <c r="A1631" s="1818"/>
      <c r="B1631" s="1686" t="s">
        <v>8</v>
      </c>
      <c r="C1631" s="1819" t="s">
        <v>1104</v>
      </c>
      <c r="D1631" s="1686"/>
      <c r="E1631" s="1819"/>
      <c r="F1631" s="1678"/>
      <c r="G1631" s="1686"/>
      <c r="H1631" s="1927"/>
      <c r="I1631" s="1932"/>
      <c r="J1631" s="1754"/>
      <c r="K1631" s="1682"/>
      <c r="L1631" s="1245"/>
      <c r="M1631" s="1320"/>
      <c r="N1631" s="1683"/>
      <c r="O1631" s="1781"/>
      <c r="P1631" s="1685"/>
      <c r="Q1631" s="1683"/>
      <c r="R1631" s="1686"/>
      <c r="S1631" s="1676"/>
      <c r="T1631" s="1685"/>
      <c r="U1631" s="1773"/>
      <c r="V1631" s="1718"/>
      <c r="W1631" s="1719"/>
      <c r="X1631" s="1720"/>
      <c r="Y1631" s="1721"/>
      <c r="Z1631" s="1787"/>
      <c r="AA1631" s="1676"/>
      <c r="AB1631" s="1679"/>
      <c r="AC1631" s="1673"/>
      <c r="AD1631" s="1773"/>
      <c r="AE1631" s="1774"/>
      <c r="AF1631" s="1115"/>
      <c r="AG1631" s="1116"/>
      <c r="AH1631" s="1117"/>
      <c r="AI1631" s="1117"/>
      <c r="AJ1631" s="1775"/>
      <c r="AK1631" s="1119"/>
      <c r="AL1631" s="1120"/>
      <c r="AM1631" s="1116"/>
      <c r="AN1631" s="1116"/>
      <c r="AO1631" s="1117"/>
      <c r="AP1631" s="1774"/>
      <c r="AQ1631" s="1117"/>
      <c r="AR1631" s="1774"/>
      <c r="AS1631" s="1774"/>
      <c r="AT1631" s="1116"/>
      <c r="AU1631" s="1775"/>
      <c r="AV1631" s="1820"/>
    </row>
    <row r="1632" spans="1:48" ht="16.5" customHeight="1">
      <c r="A1632" s="1936">
        <v>128</v>
      </c>
      <c r="B1632" s="1646" t="s">
        <v>25</v>
      </c>
      <c r="C1632" s="1623" t="s">
        <v>1103</v>
      </c>
      <c r="D1632" s="1646"/>
      <c r="E1632" s="1716"/>
      <c r="F1632" s="1730" t="s">
        <v>1102</v>
      </c>
      <c r="G1632" s="1646" t="s">
        <v>25</v>
      </c>
      <c r="H1632" s="1807" t="s">
        <v>42</v>
      </c>
      <c r="I1632" s="1929">
        <v>625</v>
      </c>
      <c r="J1632" s="1930" t="s">
        <v>41</v>
      </c>
      <c r="K1632" s="1722" t="s">
        <v>1101</v>
      </c>
      <c r="L1632" s="1373"/>
      <c r="M1632" s="1317"/>
      <c r="N1632" s="1707" t="s">
        <v>25</v>
      </c>
      <c r="O1632" s="1777" t="s">
        <v>26</v>
      </c>
      <c r="P1632" s="1709">
        <v>1</v>
      </c>
      <c r="Q1632" s="1707">
        <v>73.5</v>
      </c>
      <c r="R1632" s="1699" t="s">
        <v>25</v>
      </c>
      <c r="S1632" s="1702" t="s">
        <v>24</v>
      </c>
      <c r="T1632" s="1709">
        <v>2</v>
      </c>
      <c r="U1632" s="1710">
        <v>1</v>
      </c>
      <c r="V1632" s="1711" t="s">
        <v>585</v>
      </c>
      <c r="W1632" s="1712"/>
      <c r="X1632" s="1713">
        <v>10</v>
      </c>
      <c r="Y1632" s="1700"/>
      <c r="Z1632" s="1761">
        <f>SUM(W1632:Y1632)</f>
        <v>10</v>
      </c>
      <c r="AA1632" s="1702"/>
      <c r="AB1632" s="1809"/>
      <c r="AC1632" s="1641"/>
      <c r="AD1632" s="1710"/>
      <c r="AE1632" s="1766"/>
      <c r="AF1632" s="1056">
        <f>Resum!F1</f>
        <v>356000</v>
      </c>
      <c r="AG1632" s="1086">
        <f>AF1632*I1632</f>
        <v>222500000</v>
      </c>
      <c r="AH1632" s="1058">
        <v>2200000</v>
      </c>
      <c r="AI1632" s="1089">
        <f>AH1632*Q1632*0.75</f>
        <v>121275000</v>
      </c>
      <c r="AJ1632" s="1811">
        <f>SUM(AI1632:AI1638)</f>
        <v>161570250</v>
      </c>
      <c r="AK1632" s="1060">
        <v>16500</v>
      </c>
      <c r="AL1632" s="1090">
        <f>AK1632*X1632</f>
        <v>165000</v>
      </c>
      <c r="AM1632" s="1057">
        <f>SUM(AL1632:AL1641)</f>
        <v>3891500</v>
      </c>
      <c r="AN1632" s="1086">
        <f>AM1632+AJ1632+AG1632</f>
        <v>387961750</v>
      </c>
      <c r="AO1632" s="1058"/>
      <c r="AP1632" s="1136">
        <f>(96120000+AI1632)*15%</f>
        <v>32609250</v>
      </c>
      <c r="AQ1632" s="1087">
        <f>(AG1632+AI1632)*1%</f>
        <v>3437750</v>
      </c>
      <c r="AR1632" s="1136">
        <f>(AG1632+AI1632)*5%</f>
        <v>17188750</v>
      </c>
      <c r="AS1632" s="1087">
        <f>0.5%*(AG1632+AI1632)*(3)</f>
        <v>5156625</v>
      </c>
      <c r="AT1632" s="1086">
        <f>+AS1632+AR1632+AQ1632+AP1632+AO1632</f>
        <v>58392375</v>
      </c>
      <c r="AU1632" s="1137">
        <f>ROUND(AT1632+AN1632,-3)</f>
        <v>446354000</v>
      </c>
      <c r="AV1632" s="1812"/>
    </row>
    <row r="1633" spans="1:48" ht="16.5" customHeight="1">
      <c r="A1633" s="1658"/>
      <c r="B1633" s="1646" t="s">
        <v>16</v>
      </c>
      <c r="C1633" s="1623" t="s">
        <v>1100</v>
      </c>
      <c r="D1633" s="1646"/>
      <c r="E1633" s="1716"/>
      <c r="F1633" s="1648"/>
      <c r="G1633" s="1646" t="s">
        <v>16</v>
      </c>
      <c r="H1633" s="1807" t="s">
        <v>22</v>
      </c>
      <c r="I1633" s="1931"/>
      <c r="J1633" s="1930"/>
      <c r="K1633" s="1631"/>
      <c r="L1633" s="1245"/>
      <c r="M1633" s="1320"/>
      <c r="N1633" s="1632" t="s">
        <v>16</v>
      </c>
      <c r="O1633" s="1737" t="s">
        <v>21</v>
      </c>
      <c r="P1633" s="1634">
        <v>1</v>
      </c>
      <c r="Q1633" s="1632">
        <v>16.5</v>
      </c>
      <c r="R1633" s="1646"/>
      <c r="S1633" s="1625"/>
      <c r="T1633" s="1634"/>
      <c r="U1633" s="1635">
        <v>2</v>
      </c>
      <c r="V1633" s="1636" t="s">
        <v>80</v>
      </c>
      <c r="W1633" s="1714"/>
      <c r="X1633" s="1650"/>
      <c r="Y1633" s="1623"/>
      <c r="Z1633" s="1651" t="s">
        <v>215</v>
      </c>
      <c r="AA1633" s="1625"/>
      <c r="AB1633" s="1667"/>
      <c r="AC1633" s="1640"/>
      <c r="AD1633" s="1635"/>
      <c r="AE1633" s="1764"/>
      <c r="AF1633" s="1085"/>
      <c r="AG1633" s="1086"/>
      <c r="AH1633" s="1087">
        <v>250000</v>
      </c>
      <c r="AI1633" s="1089">
        <f>AH1633*Q1633*0.5</f>
        <v>2062500</v>
      </c>
      <c r="AJ1633" s="1768"/>
      <c r="AK1633" s="1089"/>
      <c r="AL1633" s="1090">
        <f>AK1633*W1633</f>
        <v>0</v>
      </c>
      <c r="AM1633" s="1086"/>
      <c r="AN1633" s="1086"/>
      <c r="AO1633" s="1087"/>
      <c r="AP1633" s="1764"/>
      <c r="AQ1633" s="1087"/>
      <c r="AR1633" s="1764"/>
      <c r="AS1633" s="1764"/>
      <c r="AT1633" s="1086"/>
      <c r="AU1633" s="1768"/>
      <c r="AV1633" s="1814"/>
    </row>
    <row r="1634" spans="1:48" ht="33" customHeight="1">
      <c r="A1634" s="1658"/>
      <c r="B1634" s="1646" t="s">
        <v>18</v>
      </c>
      <c r="C1634" s="1623" t="s">
        <v>1099</v>
      </c>
      <c r="D1634" s="1646"/>
      <c r="E1634" s="1716"/>
      <c r="F1634" s="1648"/>
      <c r="G1634" s="1646" t="s">
        <v>18</v>
      </c>
      <c r="H1634" s="1807" t="s">
        <v>19</v>
      </c>
      <c r="I1634" s="1931"/>
      <c r="J1634" s="1930"/>
      <c r="K1634" s="1631"/>
      <c r="L1634" s="1245"/>
      <c r="M1634" s="1320"/>
      <c r="N1634" s="1632" t="s">
        <v>18</v>
      </c>
      <c r="O1634" s="1748" t="s">
        <v>62</v>
      </c>
      <c r="P1634" s="1634">
        <v>1</v>
      </c>
      <c r="Q1634" s="1632">
        <v>91.85</v>
      </c>
      <c r="R1634" s="1665"/>
      <c r="S1634" s="1738"/>
      <c r="T1634" s="1634"/>
      <c r="U1634" s="1635">
        <v>3</v>
      </c>
      <c r="V1634" s="1636" t="s">
        <v>807</v>
      </c>
      <c r="W1634" s="1714">
        <v>1</v>
      </c>
      <c r="X1634" s="1650"/>
      <c r="Y1634" s="1623"/>
      <c r="Z1634" s="1651">
        <f>SUM(W1634:Y1634)</f>
        <v>1</v>
      </c>
      <c r="AA1634" s="1625"/>
      <c r="AB1634" s="1667"/>
      <c r="AC1634" s="1640"/>
      <c r="AD1634" s="1635"/>
      <c r="AE1634" s="1764"/>
      <c r="AF1634" s="1085"/>
      <c r="AG1634" s="1086"/>
      <c r="AH1634" s="1087">
        <v>430000</v>
      </c>
      <c r="AI1634" s="1089">
        <f>AH1634*Q1634*0.5</f>
        <v>19747750</v>
      </c>
      <c r="AJ1634" s="1768"/>
      <c r="AK1634" s="1089">
        <v>80000</v>
      </c>
      <c r="AL1634" s="1090">
        <f t="shared" ref="AL1634:AL1687" si="132">AK1634*W1634</f>
        <v>80000</v>
      </c>
      <c r="AM1634" s="1086"/>
      <c r="AN1634" s="1086"/>
      <c r="AO1634" s="1087"/>
      <c r="AP1634" s="1764"/>
      <c r="AQ1634" s="1087"/>
      <c r="AR1634" s="1764"/>
      <c r="AS1634" s="1764"/>
      <c r="AT1634" s="1086"/>
      <c r="AU1634" s="1768"/>
      <c r="AV1634" s="1814"/>
    </row>
    <row r="1635" spans="1:48" ht="49.5" customHeight="1">
      <c r="A1635" s="1658"/>
      <c r="B1635" s="1646" t="s">
        <v>12</v>
      </c>
      <c r="C1635" s="1647" t="s">
        <v>1098</v>
      </c>
      <c r="D1635" s="1646"/>
      <c r="E1635" s="1716"/>
      <c r="F1635" s="1648"/>
      <c r="G1635" s="1646"/>
      <c r="H1635" s="1807"/>
      <c r="I1635" s="1931"/>
      <c r="J1635" s="1930"/>
      <c r="K1635" s="1631"/>
      <c r="L1635" s="1245"/>
      <c r="M1635" s="1320"/>
      <c r="N1635" s="1632" t="s">
        <v>12</v>
      </c>
      <c r="O1635" s="1737" t="s">
        <v>1097</v>
      </c>
      <c r="P1635" s="1634">
        <v>1</v>
      </c>
      <c r="Q1635" s="1634">
        <v>6.25</v>
      </c>
      <c r="R1635" s="1665"/>
      <c r="S1635" s="1666"/>
      <c r="T1635" s="1741"/>
      <c r="U1635" s="1764"/>
      <c r="V1635" s="1640"/>
      <c r="W1635" s="1650"/>
      <c r="X1635" s="1650"/>
      <c r="Y1635" s="1765"/>
      <c r="Z1635" s="1651"/>
      <c r="AA1635" s="1646"/>
      <c r="AB1635" s="1667"/>
      <c r="AC1635" s="1640"/>
      <c r="AD1635" s="1635"/>
      <c r="AE1635" s="1764"/>
      <c r="AF1635" s="1085"/>
      <c r="AG1635" s="1086"/>
      <c r="AH1635" s="1087">
        <v>120000</v>
      </c>
      <c r="AI1635" s="1089">
        <f>AH1635*Q1635*0.5</f>
        <v>375000</v>
      </c>
      <c r="AJ1635" s="1768"/>
      <c r="AK1635" s="1089"/>
      <c r="AL1635" s="1090"/>
      <c r="AM1635" s="1086"/>
      <c r="AN1635" s="1086"/>
      <c r="AO1635" s="1087"/>
      <c r="AP1635" s="1764"/>
      <c r="AQ1635" s="1087"/>
      <c r="AR1635" s="1764"/>
      <c r="AS1635" s="1764"/>
      <c r="AT1635" s="1086"/>
      <c r="AU1635" s="1768"/>
      <c r="AV1635" s="1814"/>
    </row>
    <row r="1636" spans="1:48" ht="16.5" customHeight="1">
      <c r="A1636" s="1658"/>
      <c r="B1636" s="1646" t="s">
        <v>8</v>
      </c>
      <c r="C1636" s="1716" t="s">
        <v>1096</v>
      </c>
      <c r="D1636" s="1646"/>
      <c r="E1636" s="1716"/>
      <c r="F1636" s="1648"/>
      <c r="G1636" s="1646"/>
      <c r="H1636" s="1807"/>
      <c r="I1636" s="1931"/>
      <c r="J1636" s="1930"/>
      <c r="K1636" s="1631"/>
      <c r="L1636" s="1245"/>
      <c r="M1636" s="1320"/>
      <c r="N1636" s="1632" t="s">
        <v>8</v>
      </c>
      <c r="O1636" s="1737" t="s">
        <v>17</v>
      </c>
      <c r="P1636" s="1634">
        <v>1</v>
      </c>
      <c r="Q1636" s="1632"/>
      <c r="R1636" s="1646" t="s">
        <v>16</v>
      </c>
      <c r="S1636" s="1625" t="s">
        <v>15</v>
      </c>
      <c r="T1636" s="1634">
        <v>6</v>
      </c>
      <c r="U1636" s="1635">
        <v>1</v>
      </c>
      <c r="V1636" s="1636" t="s">
        <v>14</v>
      </c>
      <c r="W1636" s="1714">
        <v>10</v>
      </c>
      <c r="X1636" s="1650"/>
      <c r="Y1636" s="1623"/>
      <c r="Z1636" s="1651">
        <f>SUM(W1636:Y1636)</f>
        <v>10</v>
      </c>
      <c r="AA1636" s="1625"/>
      <c r="AB1636" s="1667"/>
      <c r="AC1636" s="1640"/>
      <c r="AD1636" s="1635"/>
      <c r="AE1636" s="1764"/>
      <c r="AF1636" s="1085"/>
      <c r="AG1636" s="1086"/>
      <c r="AH1636" s="1087">
        <v>2500000</v>
      </c>
      <c r="AI1636" s="1089">
        <f>AH1636*P1636*0.5</f>
        <v>1250000</v>
      </c>
      <c r="AJ1636" s="1768"/>
      <c r="AK1636" s="1089">
        <v>350000</v>
      </c>
      <c r="AL1636" s="1087">
        <f t="shared" si="132"/>
        <v>3500000</v>
      </c>
      <c r="AM1636" s="1086"/>
      <c r="AN1636" s="1086"/>
      <c r="AO1636" s="1087"/>
      <c r="AP1636" s="1764"/>
      <c r="AQ1636" s="1087"/>
      <c r="AR1636" s="1764"/>
      <c r="AS1636" s="1764"/>
      <c r="AT1636" s="1086"/>
      <c r="AU1636" s="1768"/>
      <c r="AV1636" s="1814"/>
    </row>
    <row r="1637" spans="1:48" ht="16.5" customHeight="1">
      <c r="A1637" s="1658"/>
      <c r="B1637" s="1646"/>
      <c r="C1637" s="1716"/>
      <c r="D1637" s="1646"/>
      <c r="E1637" s="1716"/>
      <c r="F1637" s="1648"/>
      <c r="G1637" s="1646"/>
      <c r="H1637" s="1807"/>
      <c r="I1637" s="1931"/>
      <c r="J1637" s="1930"/>
      <c r="K1637" s="1631"/>
      <c r="L1637" s="1245"/>
      <c r="M1637" s="1320"/>
      <c r="N1637" s="1632" t="s">
        <v>54</v>
      </c>
      <c r="O1637" s="1737" t="s">
        <v>11</v>
      </c>
      <c r="P1637" s="1634">
        <v>1</v>
      </c>
      <c r="Q1637" s="1632"/>
      <c r="R1637" s="1646"/>
      <c r="S1637" s="1625"/>
      <c r="T1637" s="1634"/>
      <c r="U1637" s="1635">
        <v>2</v>
      </c>
      <c r="V1637" s="1636" t="s">
        <v>10</v>
      </c>
      <c r="W1637" s="1714"/>
      <c r="X1637" s="1650">
        <v>2</v>
      </c>
      <c r="Y1637" s="1623"/>
      <c r="Z1637" s="1651">
        <f>SUM(W1637:Y1637)</f>
        <v>2</v>
      </c>
      <c r="AA1637" s="1625"/>
      <c r="AB1637" s="1667"/>
      <c r="AC1637" s="1640"/>
      <c r="AD1637" s="1635"/>
      <c r="AE1637" s="1764"/>
      <c r="AF1637" s="1085"/>
      <c r="AG1637" s="1086"/>
      <c r="AH1637" s="1087">
        <v>2500000</v>
      </c>
      <c r="AI1637" s="1089">
        <f>AH1637*P1637*0.75</f>
        <v>1875000</v>
      </c>
      <c r="AJ1637" s="1768"/>
      <c r="AK1637" s="1089">
        <v>35000</v>
      </c>
      <c r="AL1637" s="1090">
        <f>AK1637*X1637</f>
        <v>70000</v>
      </c>
      <c r="AM1637" s="1086"/>
      <c r="AN1637" s="1086"/>
      <c r="AO1637" s="1087"/>
      <c r="AP1637" s="1764"/>
      <c r="AQ1637" s="1087"/>
      <c r="AR1637" s="1764"/>
      <c r="AS1637" s="1764"/>
      <c r="AT1637" s="1086"/>
      <c r="AU1637" s="1768"/>
      <c r="AV1637" s="1814"/>
    </row>
    <row r="1638" spans="1:48" ht="16.5" customHeight="1">
      <c r="A1638" s="1658"/>
      <c r="B1638" s="1646"/>
      <c r="C1638" s="1716"/>
      <c r="D1638" s="1646"/>
      <c r="E1638" s="1716"/>
      <c r="F1638" s="1648"/>
      <c r="G1638" s="1646"/>
      <c r="H1638" s="1807"/>
      <c r="I1638" s="1931"/>
      <c r="J1638" s="1930"/>
      <c r="K1638" s="1631"/>
      <c r="L1638" s="1245"/>
      <c r="M1638" s="1320"/>
      <c r="N1638" s="1632" t="s">
        <v>53</v>
      </c>
      <c r="O1638" s="1737" t="s">
        <v>175</v>
      </c>
      <c r="P1638" s="1634">
        <v>1</v>
      </c>
      <c r="Q1638" s="1651">
        <v>99.9</v>
      </c>
      <c r="R1638" s="1646"/>
      <c r="S1638" s="1625"/>
      <c r="T1638" s="1634"/>
      <c r="U1638" s="1635">
        <v>3</v>
      </c>
      <c r="V1638" s="1636" t="s">
        <v>144</v>
      </c>
      <c r="W1638" s="1714"/>
      <c r="X1638" s="1650">
        <v>2</v>
      </c>
      <c r="Y1638" s="1623"/>
      <c r="Z1638" s="1651">
        <f>SUM(W1638:Y1638)</f>
        <v>2</v>
      </c>
      <c r="AA1638" s="1646"/>
      <c r="AB1638" s="1807"/>
      <c r="AC1638" s="1640"/>
      <c r="AD1638" s="1635"/>
      <c r="AE1638" s="1764"/>
      <c r="AF1638" s="1085"/>
      <c r="AG1638" s="1086"/>
      <c r="AH1638" s="1087">
        <v>300000</v>
      </c>
      <c r="AI1638" s="1089">
        <f>AH1638*Q1638*0.5</f>
        <v>14985000</v>
      </c>
      <c r="AJ1638" s="1768"/>
      <c r="AK1638" s="1089">
        <v>13250</v>
      </c>
      <c r="AL1638" s="1090">
        <f>AK1638*X1638</f>
        <v>26500</v>
      </c>
      <c r="AM1638" s="1086"/>
      <c r="AN1638" s="1086"/>
      <c r="AO1638" s="1087"/>
      <c r="AP1638" s="1764"/>
      <c r="AQ1638" s="1087"/>
      <c r="AR1638" s="1764"/>
      <c r="AS1638" s="1764"/>
      <c r="AT1638" s="1086"/>
      <c r="AU1638" s="1768"/>
      <c r="AV1638" s="1814"/>
    </row>
    <row r="1639" spans="1:48" ht="16.5" customHeight="1">
      <c r="A1639" s="1658"/>
      <c r="B1639" s="1646"/>
      <c r="C1639" s="1716"/>
      <c r="D1639" s="1646"/>
      <c r="E1639" s="1716"/>
      <c r="F1639" s="1648"/>
      <c r="G1639" s="1646"/>
      <c r="H1639" s="1807"/>
      <c r="I1639" s="1931"/>
      <c r="J1639" s="1930"/>
      <c r="K1639" s="1631"/>
      <c r="L1639" s="1245"/>
      <c r="M1639" s="1320"/>
      <c r="N1639" s="1632"/>
      <c r="O1639" s="1647"/>
      <c r="P1639" s="1634"/>
      <c r="Q1639" s="1651"/>
      <c r="R1639" s="1646"/>
      <c r="S1639" s="1625"/>
      <c r="T1639" s="1634"/>
      <c r="U1639" s="1635">
        <v>4</v>
      </c>
      <c r="V1639" s="1636" t="s">
        <v>1095</v>
      </c>
      <c r="W1639" s="1714">
        <v>1</v>
      </c>
      <c r="X1639" s="1650"/>
      <c r="Y1639" s="1623"/>
      <c r="Z1639" s="1651">
        <f>SUM(W1639:Y1639)</f>
        <v>1</v>
      </c>
      <c r="AA1639" s="1625"/>
      <c r="AB1639" s="1667"/>
      <c r="AC1639" s="1640"/>
      <c r="AD1639" s="1635"/>
      <c r="AE1639" s="1764"/>
      <c r="AF1639" s="1085"/>
      <c r="AG1639" s="1086"/>
      <c r="AH1639" s="1087"/>
      <c r="AI1639" s="1087"/>
      <c r="AJ1639" s="1768"/>
      <c r="AK1639" s="1089"/>
      <c r="AL1639" s="1090">
        <f t="shared" si="132"/>
        <v>0</v>
      </c>
      <c r="AM1639" s="1086"/>
      <c r="AN1639" s="1086"/>
      <c r="AO1639" s="1087"/>
      <c r="AP1639" s="1764"/>
      <c r="AQ1639" s="1087"/>
      <c r="AR1639" s="1764"/>
      <c r="AS1639" s="1764"/>
      <c r="AT1639" s="1086"/>
      <c r="AU1639" s="1768"/>
      <c r="AV1639" s="1814"/>
    </row>
    <row r="1640" spans="1:48" ht="16.5" customHeight="1">
      <c r="A1640" s="1658"/>
      <c r="B1640" s="1665"/>
      <c r="C1640" s="1666"/>
      <c r="D1640" s="1646"/>
      <c r="E1640" s="1716"/>
      <c r="F1640" s="1648"/>
      <c r="G1640" s="1646"/>
      <c r="H1640" s="1807"/>
      <c r="I1640" s="1931"/>
      <c r="J1640" s="1930"/>
      <c r="K1640" s="1631"/>
      <c r="L1640" s="1245"/>
      <c r="M1640" s="1320"/>
      <c r="N1640" s="1739"/>
      <c r="O1640" s="1740"/>
      <c r="P1640" s="1741"/>
      <c r="Q1640" s="1738"/>
      <c r="R1640" s="1646"/>
      <c r="S1640" s="1625"/>
      <c r="T1640" s="1634"/>
      <c r="U1640" s="1635">
        <v>5</v>
      </c>
      <c r="V1640" s="1636" t="s">
        <v>87</v>
      </c>
      <c r="W1640" s="1714"/>
      <c r="X1640" s="1650">
        <v>2</v>
      </c>
      <c r="Y1640" s="1623"/>
      <c r="Z1640" s="1651">
        <f>SUM(W1640:Y1640)</f>
        <v>2</v>
      </c>
      <c r="AA1640" s="1625"/>
      <c r="AB1640" s="1667"/>
      <c r="AC1640" s="1640"/>
      <c r="AD1640" s="1635"/>
      <c r="AE1640" s="1764"/>
      <c r="AF1640" s="1085"/>
      <c r="AG1640" s="1086"/>
      <c r="AH1640" s="1087"/>
      <c r="AI1640" s="1087"/>
      <c r="AJ1640" s="1768"/>
      <c r="AK1640" s="1089">
        <v>25000</v>
      </c>
      <c r="AL1640" s="1090">
        <f>AK1640*X1640</f>
        <v>50000</v>
      </c>
      <c r="AM1640" s="1086"/>
      <c r="AN1640" s="1086"/>
      <c r="AO1640" s="1087"/>
      <c r="AP1640" s="1764"/>
      <c r="AQ1640" s="1087"/>
      <c r="AR1640" s="1764"/>
      <c r="AS1640" s="1764"/>
      <c r="AT1640" s="1086"/>
      <c r="AU1640" s="1768"/>
      <c r="AV1640" s="1814"/>
    </row>
    <row r="1641" spans="1:48" ht="16.5" customHeight="1">
      <c r="A1641" s="1658"/>
      <c r="B1641" s="1674"/>
      <c r="C1641" s="1675"/>
      <c r="D1641" s="1646"/>
      <c r="E1641" s="1716"/>
      <c r="F1641" s="1678"/>
      <c r="G1641" s="1646"/>
      <c r="H1641" s="1807"/>
      <c r="I1641" s="1932"/>
      <c r="J1641" s="1930"/>
      <c r="K1641" s="1631"/>
      <c r="L1641" s="1270"/>
      <c r="M1641" s="1549"/>
      <c r="N1641" s="1734"/>
      <c r="O1641" s="1735"/>
      <c r="P1641" s="1736"/>
      <c r="Q1641" s="1738"/>
      <c r="R1641" s="1686"/>
      <c r="S1641" s="1676"/>
      <c r="T1641" s="1685"/>
      <c r="U1641" s="1773"/>
      <c r="V1641" s="1718"/>
      <c r="W1641" s="1719"/>
      <c r="X1641" s="1720"/>
      <c r="Y1641" s="1721"/>
      <c r="Z1641" s="1787"/>
      <c r="AA1641" s="1676"/>
      <c r="AB1641" s="1679"/>
      <c r="AC1641" s="1673"/>
      <c r="AD1641" s="1773"/>
      <c r="AE1641" s="1774"/>
      <c r="AF1641" s="1115"/>
      <c r="AG1641" s="1116"/>
      <c r="AH1641" s="1117"/>
      <c r="AI1641" s="1117"/>
      <c r="AJ1641" s="1775"/>
      <c r="AK1641" s="1119"/>
      <c r="AL1641" s="1120"/>
      <c r="AM1641" s="1116"/>
      <c r="AN1641" s="1116"/>
      <c r="AO1641" s="1117"/>
      <c r="AP1641" s="1774"/>
      <c r="AQ1641" s="1117"/>
      <c r="AR1641" s="1774"/>
      <c r="AS1641" s="1774"/>
      <c r="AT1641" s="1116"/>
      <c r="AU1641" s="1775"/>
      <c r="AV1641" s="1820"/>
    </row>
    <row r="1642" spans="1:48" ht="16.5" customHeight="1">
      <c r="A1642" s="1925">
        <v>129</v>
      </c>
      <c r="B1642" s="1699" t="s">
        <v>25</v>
      </c>
      <c r="C1642" s="1700" t="s">
        <v>1094</v>
      </c>
      <c r="D1642" s="1791"/>
      <c r="E1642" s="1928"/>
      <c r="F1642" s="1730" t="s">
        <v>1093</v>
      </c>
      <c r="G1642" s="1926" t="s">
        <v>25</v>
      </c>
      <c r="H1642" s="1792"/>
      <c r="I1642" s="1933">
        <v>2302</v>
      </c>
      <c r="J1642" s="1930"/>
      <c r="K1642" s="1722"/>
      <c r="L1642" s="1373"/>
      <c r="M1642" s="1317"/>
      <c r="N1642" s="1707"/>
      <c r="O1642" s="1920"/>
      <c r="P1642" s="1709"/>
      <c r="Q1642" s="1707"/>
      <c r="R1642" s="1699" t="s">
        <v>25</v>
      </c>
      <c r="S1642" s="1702" t="s">
        <v>24</v>
      </c>
      <c r="T1642" s="1709">
        <v>2</v>
      </c>
      <c r="U1642" s="1710">
        <v>1</v>
      </c>
      <c r="V1642" s="1711" t="s">
        <v>109</v>
      </c>
      <c r="W1642" s="1712">
        <v>8</v>
      </c>
      <c r="X1642" s="1713"/>
      <c r="Y1642" s="1700"/>
      <c r="Z1642" s="1761">
        <f>SUM(W1642:Y1642)</f>
        <v>8</v>
      </c>
      <c r="AA1642" s="1702"/>
      <c r="AB1642" s="1809"/>
      <c r="AC1642" s="1641"/>
      <c r="AD1642" s="1710"/>
      <c r="AE1642" s="1766"/>
      <c r="AF1642" s="1056">
        <f>Resum!F5</f>
        <v>170000</v>
      </c>
      <c r="AG1642" s="1057">
        <f>AF1642*I1642</f>
        <v>391340000</v>
      </c>
      <c r="AH1642" s="1058"/>
      <c r="AI1642" s="1058"/>
      <c r="AJ1642" s="1767"/>
      <c r="AK1642" s="1336">
        <v>40000</v>
      </c>
      <c r="AL1642" s="1061">
        <f t="shared" si="132"/>
        <v>320000</v>
      </c>
      <c r="AM1642" s="1057">
        <f>SUM(AL1642:AL1646)</f>
        <v>12310000</v>
      </c>
      <c r="AN1642" s="1057">
        <f>AM1642+AJ1642+AG1642</f>
        <v>403650000</v>
      </c>
      <c r="AO1642" s="1058"/>
      <c r="AP1642" s="1548">
        <f>AI1643*15%</f>
        <v>0</v>
      </c>
      <c r="AQ1642" s="1058">
        <v>0</v>
      </c>
      <c r="AR1642" s="1548">
        <f>(AG1642+AI1642)*5%</f>
        <v>19567000</v>
      </c>
      <c r="AS1642" s="1058">
        <f>0.5%*(AG1642+AI1642)*(3)</f>
        <v>5870100</v>
      </c>
      <c r="AT1642" s="1057">
        <f>+AS1642+AR1642+AQ1642+AP1642+AO1642</f>
        <v>25437100</v>
      </c>
      <c r="AU1642" s="2015">
        <f>ROUND(AT1642+AN1642,-3)</f>
        <v>429087000</v>
      </c>
      <c r="AV1642" s="1812"/>
    </row>
    <row r="1643" spans="1:48" ht="16.5" customHeight="1">
      <c r="A1643" s="1935"/>
      <c r="B1643" s="1646" t="s">
        <v>16</v>
      </c>
      <c r="C1643" s="1623"/>
      <c r="D1643" s="1646"/>
      <c r="E1643" s="1716"/>
      <c r="F1643" s="1648"/>
      <c r="G1643" s="1797" t="s">
        <v>16</v>
      </c>
      <c r="H1643" s="1659"/>
      <c r="I1643" s="1931"/>
      <c r="J1643" s="1930"/>
      <c r="K1643" s="1631"/>
      <c r="L1643" s="1245"/>
      <c r="M1643" s="1320"/>
      <c r="N1643" s="1632"/>
      <c r="O1643" s="1647"/>
      <c r="P1643" s="1634"/>
      <c r="Q1643" s="1632"/>
      <c r="R1643" s="1622"/>
      <c r="S1643" s="1625"/>
      <c r="T1643" s="1634"/>
      <c r="U1643" s="1635">
        <v>2</v>
      </c>
      <c r="V1643" s="1636" t="s">
        <v>56</v>
      </c>
      <c r="W1643" s="1714">
        <v>11</v>
      </c>
      <c r="X1643" s="1650"/>
      <c r="Y1643" s="1623"/>
      <c r="Z1643" s="1651">
        <f>SUM(W1643:Y1643)</f>
        <v>11</v>
      </c>
      <c r="AA1643" s="1625"/>
      <c r="AB1643" s="1667"/>
      <c r="AC1643" s="1640"/>
      <c r="AD1643" s="1635"/>
      <c r="AE1643" s="1764"/>
      <c r="AF1643" s="1085"/>
      <c r="AG1643" s="1086"/>
      <c r="AH1643" s="1087"/>
      <c r="AI1643" s="1087"/>
      <c r="AJ1643" s="1768"/>
      <c r="AK1643" s="1089">
        <v>40000</v>
      </c>
      <c r="AL1643" s="1090">
        <f t="shared" si="132"/>
        <v>440000</v>
      </c>
      <c r="AM1643" s="1086"/>
      <c r="AN1643" s="1086"/>
      <c r="AO1643" s="1087"/>
      <c r="AP1643" s="1764"/>
      <c r="AQ1643" s="1087"/>
      <c r="AR1643" s="1764"/>
      <c r="AS1643" s="1764"/>
      <c r="AT1643" s="1086"/>
      <c r="AU1643" s="1768"/>
      <c r="AV1643" s="1814"/>
    </row>
    <row r="1644" spans="1:48" ht="16.5" customHeight="1">
      <c r="A1644" s="1935"/>
      <c r="B1644" s="1646" t="s">
        <v>18</v>
      </c>
      <c r="C1644" s="1623"/>
      <c r="D1644" s="1646"/>
      <c r="E1644" s="1716"/>
      <c r="F1644" s="1648"/>
      <c r="G1644" s="1797" t="s">
        <v>18</v>
      </c>
      <c r="H1644" s="1659"/>
      <c r="I1644" s="1931"/>
      <c r="J1644" s="1930"/>
      <c r="K1644" s="1631"/>
      <c r="L1644" s="1245"/>
      <c r="M1644" s="1320"/>
      <c r="N1644" s="1632"/>
      <c r="O1644" s="1647"/>
      <c r="P1644" s="1634"/>
      <c r="Q1644" s="1632"/>
      <c r="R1644" s="1665"/>
      <c r="S1644" s="1739"/>
      <c r="T1644" s="1634"/>
      <c r="U1644" s="1635"/>
      <c r="V1644" s="1636"/>
      <c r="W1644" s="1714"/>
      <c r="X1644" s="1650"/>
      <c r="Y1644" s="1623"/>
      <c r="Z1644" s="1651"/>
      <c r="AA1644" s="1625"/>
      <c r="AB1644" s="1667"/>
      <c r="AC1644" s="1640"/>
      <c r="AD1644" s="1635"/>
      <c r="AE1644" s="1764"/>
      <c r="AF1644" s="1085"/>
      <c r="AG1644" s="1086"/>
      <c r="AH1644" s="1087"/>
      <c r="AI1644" s="1087"/>
      <c r="AJ1644" s="1768"/>
      <c r="AK1644" s="1089"/>
      <c r="AL1644" s="1090">
        <f t="shared" si="132"/>
        <v>0</v>
      </c>
      <c r="AM1644" s="1086"/>
      <c r="AN1644" s="1086"/>
      <c r="AO1644" s="1087"/>
      <c r="AP1644" s="1764"/>
      <c r="AQ1644" s="1087"/>
      <c r="AR1644" s="1764"/>
      <c r="AS1644" s="1764"/>
      <c r="AT1644" s="1086"/>
      <c r="AU1644" s="1768"/>
      <c r="AV1644" s="1814"/>
    </row>
    <row r="1645" spans="1:48" ht="16.5" customHeight="1">
      <c r="A1645" s="1935"/>
      <c r="B1645" s="1658" t="s">
        <v>12</v>
      </c>
      <c r="C1645" s="1623"/>
      <c r="D1645" s="1646"/>
      <c r="E1645" s="1716"/>
      <c r="F1645" s="1648"/>
      <c r="G1645" s="1797"/>
      <c r="H1645" s="1659"/>
      <c r="I1645" s="1931"/>
      <c r="J1645" s="1930"/>
      <c r="K1645" s="1631"/>
      <c r="L1645" s="1245"/>
      <c r="M1645" s="1320"/>
      <c r="N1645" s="1632"/>
      <c r="O1645" s="1647"/>
      <c r="P1645" s="1634"/>
      <c r="Q1645" s="1632"/>
      <c r="R1645" s="1622" t="s">
        <v>16</v>
      </c>
      <c r="S1645" s="1625" t="s">
        <v>15</v>
      </c>
      <c r="T1645" s="1634">
        <v>1</v>
      </c>
      <c r="U1645" s="1635">
        <v>1</v>
      </c>
      <c r="V1645" s="1636" t="s">
        <v>14</v>
      </c>
      <c r="W1645" s="1714"/>
      <c r="X1645" s="1650">
        <v>50</v>
      </c>
      <c r="Y1645" s="1623"/>
      <c r="Z1645" s="1651">
        <f>SUM(W1645:Y1645)</f>
        <v>50</v>
      </c>
      <c r="AA1645" s="1625"/>
      <c r="AB1645" s="1667"/>
      <c r="AC1645" s="1640"/>
      <c r="AD1645" s="1635"/>
      <c r="AE1645" s="1764"/>
      <c r="AF1645" s="1085"/>
      <c r="AG1645" s="1086"/>
      <c r="AH1645" s="1087"/>
      <c r="AI1645" s="1087"/>
      <c r="AJ1645" s="1768"/>
      <c r="AK1645" s="1089">
        <v>231000</v>
      </c>
      <c r="AL1645" s="1087">
        <f>AK1645*X1645</f>
        <v>11550000</v>
      </c>
      <c r="AM1645" s="1086"/>
      <c r="AN1645" s="1086"/>
      <c r="AO1645" s="1087"/>
      <c r="AP1645" s="1764"/>
      <c r="AQ1645" s="1087"/>
      <c r="AR1645" s="1764"/>
      <c r="AS1645" s="1764"/>
      <c r="AT1645" s="1086"/>
      <c r="AU1645" s="1768"/>
      <c r="AV1645" s="1814"/>
    </row>
    <row r="1646" spans="1:48" ht="16.5" customHeight="1">
      <c r="A1646" s="1937"/>
      <c r="B1646" s="1686" t="s">
        <v>8</v>
      </c>
      <c r="C1646" s="1721"/>
      <c r="D1646" s="1686"/>
      <c r="E1646" s="1819"/>
      <c r="F1646" s="1678"/>
      <c r="G1646" s="1938"/>
      <c r="H1646" s="1803"/>
      <c r="I1646" s="1932"/>
      <c r="J1646" s="1930"/>
      <c r="K1646" s="1682"/>
      <c r="L1646" s="1270"/>
      <c r="M1646" s="1549"/>
      <c r="N1646" s="1683"/>
      <c r="O1646" s="1781"/>
      <c r="P1646" s="1736"/>
      <c r="Q1646" s="1683"/>
      <c r="R1646" s="1939"/>
      <c r="S1646" s="1676"/>
      <c r="T1646" s="1685"/>
      <c r="U1646" s="1773"/>
      <c r="V1646" s="1718"/>
      <c r="W1646" s="1719"/>
      <c r="X1646" s="1720"/>
      <c r="Y1646" s="1721"/>
      <c r="Z1646" s="1787"/>
      <c r="AA1646" s="1676"/>
      <c r="AB1646" s="1679"/>
      <c r="AC1646" s="1673"/>
      <c r="AD1646" s="1773"/>
      <c r="AE1646" s="1774"/>
      <c r="AF1646" s="1115"/>
      <c r="AG1646" s="1116"/>
      <c r="AH1646" s="1117"/>
      <c r="AI1646" s="1117"/>
      <c r="AJ1646" s="1775"/>
      <c r="AK1646" s="1119"/>
      <c r="AL1646" s="1120"/>
      <c r="AM1646" s="1116"/>
      <c r="AN1646" s="1116"/>
      <c r="AO1646" s="1117"/>
      <c r="AP1646" s="1774"/>
      <c r="AQ1646" s="1117"/>
      <c r="AR1646" s="1774"/>
      <c r="AS1646" s="1774"/>
      <c r="AT1646" s="1116"/>
      <c r="AU1646" s="1775"/>
      <c r="AV1646" s="1820"/>
    </row>
    <row r="1647" spans="1:48" ht="16.5" customHeight="1">
      <c r="A1647" s="1935">
        <v>130</v>
      </c>
      <c r="B1647" s="1622" t="s">
        <v>25</v>
      </c>
      <c r="C1647" s="1623" t="s">
        <v>1092</v>
      </c>
      <c r="D1647" s="1622"/>
      <c r="E1647" s="1623"/>
      <c r="F1647" s="1648" t="s">
        <v>1091</v>
      </c>
      <c r="G1647" s="1797" t="s">
        <v>25</v>
      </c>
      <c r="H1647" s="1659" t="s">
        <v>1033</v>
      </c>
      <c r="I1647" s="1940">
        <v>1344</v>
      </c>
      <c r="J1647" s="1754" t="s">
        <v>41</v>
      </c>
      <c r="K1647" s="1631" t="s">
        <v>1090</v>
      </c>
      <c r="L1647" s="1245"/>
      <c r="M1647" s="1320"/>
      <c r="N1647" s="1632"/>
      <c r="O1647" s="1647"/>
      <c r="P1647" s="1634"/>
      <c r="Q1647" s="1632"/>
      <c r="R1647" s="1622" t="s">
        <v>25</v>
      </c>
      <c r="S1647" s="1625" t="s">
        <v>24</v>
      </c>
      <c r="T1647" s="1634">
        <v>3</v>
      </c>
      <c r="U1647" s="1635">
        <v>1</v>
      </c>
      <c r="V1647" s="1636" t="s">
        <v>109</v>
      </c>
      <c r="W1647" s="1714">
        <v>10</v>
      </c>
      <c r="X1647" s="1650"/>
      <c r="Y1647" s="1623"/>
      <c r="Z1647" s="1651">
        <f>SUM(W1647:Y1647)</f>
        <v>10</v>
      </c>
      <c r="AA1647" s="1625"/>
      <c r="AB1647" s="1667"/>
      <c r="AC1647" s="1640"/>
      <c r="AD1647" s="1635"/>
      <c r="AE1647" s="1764"/>
      <c r="AF1647" s="1085">
        <f>Resum!F5</f>
        <v>170000</v>
      </c>
      <c r="AG1647" s="1086">
        <f>AF1647*I1647</f>
        <v>228480000</v>
      </c>
      <c r="AH1647" s="1087"/>
      <c r="AI1647" s="1087"/>
      <c r="AJ1647" s="1768"/>
      <c r="AK1647" s="1336">
        <v>40000</v>
      </c>
      <c r="AL1647" s="1090">
        <f t="shared" si="132"/>
        <v>400000</v>
      </c>
      <c r="AM1647" s="1086">
        <f>SUM(AL1647:AL1651)</f>
        <v>13125000</v>
      </c>
      <c r="AN1647" s="1086">
        <f>AM1647+AJ1647+AG1647</f>
        <v>241605000</v>
      </c>
      <c r="AO1647" s="1087"/>
      <c r="AP1647" s="1136">
        <f>AI1648*15%</f>
        <v>0</v>
      </c>
      <c r="AQ1647" s="1087">
        <v>0</v>
      </c>
      <c r="AR1647" s="1136">
        <f>(AG1647+AI1647)*5%</f>
        <v>11424000</v>
      </c>
      <c r="AS1647" s="1087">
        <f>0.5%*(AG1647+AI1647)*(3)</f>
        <v>3427200</v>
      </c>
      <c r="AT1647" s="1086">
        <f>+AS1647+AR1647+AQ1647+AP1647+AO1647</f>
        <v>14851200</v>
      </c>
      <c r="AU1647" s="1137">
        <f>ROUND(AT1647+AN1647,-3)</f>
        <v>256456000</v>
      </c>
      <c r="AV1647" s="1814"/>
    </row>
    <row r="1648" spans="1:48" ht="16.5" customHeight="1">
      <c r="A1648" s="1658"/>
      <c r="B1648" s="1646" t="s">
        <v>16</v>
      </c>
      <c r="C1648" s="1647" t="s">
        <v>1089</v>
      </c>
      <c r="D1648" s="1646"/>
      <c r="E1648" s="1647"/>
      <c r="F1648" s="1648"/>
      <c r="G1648" s="1646" t="s">
        <v>16</v>
      </c>
      <c r="H1648" s="1623" t="s">
        <v>22</v>
      </c>
      <c r="I1648" s="1931"/>
      <c r="J1648" s="1930"/>
      <c r="K1648" s="1631"/>
      <c r="L1648" s="1245"/>
      <c r="M1648" s="1320"/>
      <c r="N1648" s="1632"/>
      <c r="O1648" s="1647"/>
      <c r="P1648" s="1634"/>
      <c r="Q1648" s="1632"/>
      <c r="R1648" s="1646"/>
      <c r="S1648" s="1625"/>
      <c r="T1648" s="1634"/>
      <c r="U1648" s="1635">
        <v>2</v>
      </c>
      <c r="V1648" s="1636" t="s">
        <v>58</v>
      </c>
      <c r="W1648" s="1714">
        <v>5</v>
      </c>
      <c r="X1648" s="1650"/>
      <c r="Y1648" s="1623"/>
      <c r="Z1648" s="1651">
        <f>SUM(W1648:Y1648)</f>
        <v>5</v>
      </c>
      <c r="AA1648" s="1625"/>
      <c r="AB1648" s="1667"/>
      <c r="AC1648" s="1640"/>
      <c r="AD1648" s="1635"/>
      <c r="AE1648" s="1764"/>
      <c r="AF1648" s="1085"/>
      <c r="AG1648" s="1086"/>
      <c r="AH1648" s="1087"/>
      <c r="AI1648" s="1087"/>
      <c r="AJ1648" s="1768"/>
      <c r="AK1648" s="1300">
        <v>225000</v>
      </c>
      <c r="AL1648" s="1090">
        <f t="shared" si="132"/>
        <v>1125000</v>
      </c>
      <c r="AM1648" s="1086"/>
      <c r="AN1648" s="1086"/>
      <c r="AO1648" s="1087"/>
      <c r="AP1648" s="1764"/>
      <c r="AQ1648" s="1087"/>
      <c r="AR1648" s="1764"/>
      <c r="AS1648" s="1764"/>
      <c r="AT1648" s="1086"/>
      <c r="AU1648" s="1768"/>
      <c r="AV1648" s="1814"/>
    </row>
    <row r="1649" spans="1:48" ht="16.5" customHeight="1">
      <c r="A1649" s="1658"/>
      <c r="B1649" s="1646" t="s">
        <v>18</v>
      </c>
      <c r="C1649" s="1623" t="s">
        <v>1088</v>
      </c>
      <c r="D1649" s="1646"/>
      <c r="E1649" s="1623"/>
      <c r="F1649" s="1648"/>
      <c r="G1649" s="1646" t="s">
        <v>18</v>
      </c>
      <c r="H1649" s="1623" t="s">
        <v>19</v>
      </c>
      <c r="I1649" s="1931"/>
      <c r="J1649" s="1930"/>
      <c r="K1649" s="1631"/>
      <c r="L1649" s="1245"/>
      <c r="M1649" s="1320"/>
      <c r="N1649" s="1632"/>
      <c r="O1649" s="1647"/>
      <c r="P1649" s="1634"/>
      <c r="Q1649" s="1632"/>
      <c r="R1649" s="1665"/>
      <c r="S1649" s="1738"/>
      <c r="T1649" s="1634"/>
      <c r="U1649" s="1635">
        <v>3</v>
      </c>
      <c r="V1649" s="1636" t="s">
        <v>56</v>
      </c>
      <c r="W1649" s="1714"/>
      <c r="X1649" s="1650"/>
      <c r="Y1649" s="1623">
        <v>5</v>
      </c>
      <c r="Z1649" s="1651">
        <f>SUM(W1649:Y1649)</f>
        <v>5</v>
      </c>
      <c r="AA1649" s="1625"/>
      <c r="AB1649" s="1667"/>
      <c r="AC1649" s="1640"/>
      <c r="AD1649" s="1635"/>
      <c r="AE1649" s="1764"/>
      <c r="AF1649" s="1085"/>
      <c r="AG1649" s="1086"/>
      <c r="AH1649" s="1087"/>
      <c r="AI1649" s="1087"/>
      <c r="AJ1649" s="1768"/>
      <c r="AK1649" s="1089">
        <v>10000</v>
      </c>
      <c r="AL1649" s="1090">
        <f>AK1649*Y1649</f>
        <v>50000</v>
      </c>
      <c r="AM1649" s="1086"/>
      <c r="AN1649" s="1086"/>
      <c r="AO1649" s="1087"/>
      <c r="AP1649" s="1764"/>
      <c r="AQ1649" s="1087"/>
      <c r="AR1649" s="1764"/>
      <c r="AS1649" s="1764"/>
      <c r="AT1649" s="1086"/>
      <c r="AU1649" s="1768"/>
      <c r="AV1649" s="1814"/>
    </row>
    <row r="1650" spans="1:48" ht="49.5" customHeight="1">
      <c r="A1650" s="1658"/>
      <c r="B1650" s="1658" t="s">
        <v>12</v>
      </c>
      <c r="C1650" s="1659" t="s">
        <v>1087</v>
      </c>
      <c r="D1650" s="1658"/>
      <c r="E1650" s="1659"/>
      <c r="F1650" s="1648"/>
      <c r="G1650" s="1646"/>
      <c r="H1650" s="1807"/>
      <c r="I1650" s="1931"/>
      <c r="J1650" s="1930"/>
      <c r="K1650" s="1631"/>
      <c r="L1650" s="1245"/>
      <c r="M1650" s="1320"/>
      <c r="N1650" s="1632"/>
      <c r="O1650" s="1647"/>
      <c r="P1650" s="1634"/>
      <c r="Q1650" s="1632"/>
      <c r="R1650" s="1646"/>
      <c r="S1650" s="1625"/>
      <c r="T1650" s="1634"/>
      <c r="U1650" s="1635"/>
      <c r="V1650" s="1636"/>
      <c r="W1650" s="1714"/>
      <c r="X1650" s="1650"/>
      <c r="Y1650" s="1623"/>
      <c r="Z1650" s="1651"/>
      <c r="AA1650" s="1625"/>
      <c r="AB1650" s="1667"/>
      <c r="AC1650" s="1640"/>
      <c r="AD1650" s="1635"/>
      <c r="AE1650" s="1764"/>
      <c r="AF1650" s="1085"/>
      <c r="AG1650" s="1086"/>
      <c r="AH1650" s="1087"/>
      <c r="AI1650" s="1087"/>
      <c r="AJ1650" s="1768"/>
      <c r="AK1650" s="1089"/>
      <c r="AL1650" s="1090"/>
      <c r="AM1650" s="1086"/>
      <c r="AN1650" s="1086"/>
      <c r="AO1650" s="1087"/>
      <c r="AP1650" s="1764"/>
      <c r="AQ1650" s="1087"/>
      <c r="AR1650" s="1764"/>
      <c r="AS1650" s="1764"/>
      <c r="AT1650" s="1086"/>
      <c r="AU1650" s="1768"/>
      <c r="AV1650" s="1814"/>
    </row>
    <row r="1651" spans="1:48" ht="16.5" customHeight="1">
      <c r="A1651" s="1658"/>
      <c r="B1651" s="1658" t="s">
        <v>8</v>
      </c>
      <c r="C1651" s="1780" t="s">
        <v>1086</v>
      </c>
      <c r="D1651" s="1658"/>
      <c r="E1651" s="1659"/>
      <c r="F1651" s="1678"/>
      <c r="G1651" s="1646"/>
      <c r="H1651" s="1807"/>
      <c r="I1651" s="1931"/>
      <c r="J1651" s="1930"/>
      <c r="K1651" s="1682"/>
      <c r="L1651" s="1270"/>
      <c r="M1651" s="1549"/>
      <c r="N1651" s="1683"/>
      <c r="O1651" s="1781"/>
      <c r="P1651" s="1685"/>
      <c r="Q1651" s="1683"/>
      <c r="R1651" s="1646" t="s">
        <v>16</v>
      </c>
      <c r="S1651" s="1625" t="s">
        <v>15</v>
      </c>
      <c r="T1651" s="1685">
        <v>1</v>
      </c>
      <c r="U1651" s="1773">
        <v>1</v>
      </c>
      <c r="V1651" s="1718" t="s">
        <v>14</v>
      </c>
      <c r="W1651" s="1719"/>
      <c r="X1651" s="1720">
        <v>50</v>
      </c>
      <c r="Y1651" s="1721"/>
      <c r="Z1651" s="1787">
        <f>SUM(W1651:Y1651)</f>
        <v>50</v>
      </c>
      <c r="AA1651" s="1676"/>
      <c r="AB1651" s="1679"/>
      <c r="AC1651" s="1673"/>
      <c r="AD1651" s="1773"/>
      <c r="AE1651" s="1774"/>
      <c r="AF1651" s="1115"/>
      <c r="AG1651" s="1116"/>
      <c r="AH1651" s="1117"/>
      <c r="AI1651" s="1117"/>
      <c r="AJ1651" s="1775"/>
      <c r="AK1651" s="1089">
        <v>231000</v>
      </c>
      <c r="AL1651" s="1117">
        <f>AK1651*X1651</f>
        <v>11550000</v>
      </c>
      <c r="AM1651" s="1116"/>
      <c r="AN1651" s="1116"/>
      <c r="AO1651" s="1117"/>
      <c r="AP1651" s="1774"/>
      <c r="AQ1651" s="1117"/>
      <c r="AR1651" s="1774"/>
      <c r="AS1651" s="1774"/>
      <c r="AT1651" s="1116"/>
      <c r="AU1651" s="1775"/>
      <c r="AV1651" s="1820"/>
    </row>
    <row r="1652" spans="1:48" ht="16.5" customHeight="1">
      <c r="A1652" s="1925">
        <v>131</v>
      </c>
      <c r="B1652" s="1699" t="s">
        <v>25</v>
      </c>
      <c r="C1652" s="1700" t="s">
        <v>1041</v>
      </c>
      <c r="D1652" s="1791"/>
      <c r="E1652" s="1928"/>
      <c r="F1652" s="1730" t="s">
        <v>1085</v>
      </c>
      <c r="G1652" s="1926" t="s">
        <v>25</v>
      </c>
      <c r="H1652" s="1792" t="s">
        <v>1033</v>
      </c>
      <c r="I1652" s="1929">
        <v>2914</v>
      </c>
      <c r="J1652" s="1930" t="s">
        <v>41</v>
      </c>
      <c r="K1652" s="1722" t="s">
        <v>1084</v>
      </c>
      <c r="L1652" s="1245"/>
      <c r="M1652" s="1320"/>
      <c r="N1652" s="1707"/>
      <c r="O1652" s="1920"/>
      <c r="P1652" s="1709"/>
      <c r="Q1652" s="1707"/>
      <c r="R1652" s="1699" t="s">
        <v>25</v>
      </c>
      <c r="S1652" s="1702" t="s">
        <v>24</v>
      </c>
      <c r="T1652" s="1709">
        <v>1</v>
      </c>
      <c r="U1652" s="1710">
        <v>1</v>
      </c>
      <c r="V1652" s="1711" t="s">
        <v>56</v>
      </c>
      <c r="W1652" s="1712">
        <v>13</v>
      </c>
      <c r="X1652" s="1713"/>
      <c r="Y1652" s="1700"/>
      <c r="Z1652" s="1761">
        <f>SUM(W1652:Y1652)</f>
        <v>13</v>
      </c>
      <c r="AA1652" s="1702"/>
      <c r="AB1652" s="1809"/>
      <c r="AC1652" s="1641"/>
      <c r="AD1652" s="1710"/>
      <c r="AE1652" s="1766"/>
      <c r="AF1652" s="1056">
        <f>Resum!F5</f>
        <v>170000</v>
      </c>
      <c r="AG1652" s="1086">
        <f>AF1652*I1652</f>
        <v>495380000</v>
      </c>
      <c r="AH1652" s="1058"/>
      <c r="AI1652" s="1058"/>
      <c r="AJ1652" s="1767"/>
      <c r="AK1652" s="1060">
        <v>40000</v>
      </c>
      <c r="AL1652" s="1090">
        <f t="shared" si="132"/>
        <v>520000</v>
      </c>
      <c r="AM1652" s="1057">
        <f>SUM(AL1652:AL1655)</f>
        <v>14380000</v>
      </c>
      <c r="AN1652" s="1086">
        <f>AM1652+AJ1652+AG1652</f>
        <v>509760000</v>
      </c>
      <c r="AO1652" s="1058"/>
      <c r="AP1652" s="1136">
        <f>AI1653*15%</f>
        <v>0</v>
      </c>
      <c r="AQ1652" s="1087">
        <v>0</v>
      </c>
      <c r="AR1652" s="1136">
        <f>(AG1652+AI1652)*5%</f>
        <v>24769000</v>
      </c>
      <c r="AS1652" s="1087">
        <f>0.5%*(AG1652+AI1652)*(3)</f>
        <v>7430700</v>
      </c>
      <c r="AT1652" s="1086">
        <f>+AS1652+AR1652+AQ1652+AP1652+AO1652</f>
        <v>32199700</v>
      </c>
      <c r="AU1652" s="1137">
        <f>ROUND(AT1652+AN1652,-3)</f>
        <v>541960000</v>
      </c>
      <c r="AV1652" s="1812"/>
    </row>
    <row r="1653" spans="1:48" ht="16.5" customHeight="1">
      <c r="A1653" s="1658"/>
      <c r="B1653" s="1646" t="s">
        <v>16</v>
      </c>
      <c r="C1653" s="1647" t="s">
        <v>1039</v>
      </c>
      <c r="D1653" s="1646"/>
      <c r="E1653" s="1716"/>
      <c r="F1653" s="1648"/>
      <c r="G1653" s="1646" t="s">
        <v>16</v>
      </c>
      <c r="H1653" s="1623" t="s">
        <v>22</v>
      </c>
      <c r="I1653" s="1931"/>
      <c r="J1653" s="1930"/>
      <c r="K1653" s="1631"/>
      <c r="L1653" s="1245"/>
      <c r="M1653" s="1320"/>
      <c r="N1653" s="1632"/>
      <c r="O1653" s="1647"/>
      <c r="P1653" s="1634"/>
      <c r="Q1653" s="1632"/>
      <c r="R1653" s="1646"/>
      <c r="S1653" s="1625"/>
      <c r="T1653" s="1634"/>
      <c r="U1653" s="1635"/>
      <c r="V1653" s="1636"/>
      <c r="W1653" s="1714"/>
      <c r="X1653" s="1650"/>
      <c r="Y1653" s="1623"/>
      <c r="Z1653" s="1651"/>
      <c r="AA1653" s="1625"/>
      <c r="AB1653" s="1667"/>
      <c r="AC1653" s="1640"/>
      <c r="AD1653" s="1635"/>
      <c r="AE1653" s="1764"/>
      <c r="AF1653" s="1085"/>
      <c r="AG1653" s="1086"/>
      <c r="AH1653" s="1087"/>
      <c r="AI1653" s="1087"/>
      <c r="AJ1653" s="1768"/>
      <c r="AK1653" s="1089"/>
      <c r="AL1653" s="1090">
        <f t="shared" si="132"/>
        <v>0</v>
      </c>
      <c r="AM1653" s="1086"/>
      <c r="AN1653" s="1086"/>
      <c r="AO1653" s="1087"/>
      <c r="AP1653" s="1764"/>
      <c r="AQ1653" s="1087"/>
      <c r="AR1653" s="1764"/>
      <c r="AS1653" s="1764"/>
      <c r="AT1653" s="1086"/>
      <c r="AU1653" s="1768"/>
      <c r="AV1653" s="1814"/>
    </row>
    <row r="1654" spans="1:48" ht="16.5" customHeight="1">
      <c r="A1654" s="1658"/>
      <c r="B1654" s="1646" t="s">
        <v>18</v>
      </c>
      <c r="C1654" s="1623" t="s">
        <v>1038</v>
      </c>
      <c r="D1654" s="1646"/>
      <c r="E1654" s="1716"/>
      <c r="F1654" s="1648"/>
      <c r="G1654" s="1646" t="s">
        <v>18</v>
      </c>
      <c r="H1654" s="1623" t="s">
        <v>19</v>
      </c>
      <c r="I1654" s="1931"/>
      <c r="J1654" s="1930"/>
      <c r="K1654" s="1631"/>
      <c r="L1654" s="1245"/>
      <c r="M1654" s="1320"/>
      <c r="N1654" s="1632"/>
      <c r="O1654" s="1647"/>
      <c r="P1654" s="1634"/>
      <c r="Q1654" s="1632"/>
      <c r="R1654" s="1646" t="s">
        <v>16</v>
      </c>
      <c r="S1654" s="1625" t="s">
        <v>15</v>
      </c>
      <c r="T1654" s="1634">
        <v>1</v>
      </c>
      <c r="U1654" s="1635">
        <v>1</v>
      </c>
      <c r="V1654" s="1636" t="s">
        <v>14</v>
      </c>
      <c r="W1654" s="1714"/>
      <c r="X1654" s="1650"/>
      <c r="Y1654" s="1623">
        <v>120</v>
      </c>
      <c r="Z1654" s="1651">
        <f>SUM(W1654:Y1654)</f>
        <v>120</v>
      </c>
      <c r="AA1654" s="1625"/>
      <c r="AB1654" s="1667"/>
      <c r="AC1654" s="1640"/>
      <c r="AD1654" s="1635"/>
      <c r="AE1654" s="1764"/>
      <c r="AF1654" s="1085"/>
      <c r="AG1654" s="1086"/>
      <c r="AH1654" s="1087"/>
      <c r="AI1654" s="1087"/>
      <c r="AJ1654" s="1768"/>
      <c r="AK1654" s="1089">
        <v>115500</v>
      </c>
      <c r="AL1654" s="1087">
        <f>AK1654*Y1654</f>
        <v>13860000</v>
      </c>
      <c r="AM1654" s="1086"/>
      <c r="AN1654" s="1086"/>
      <c r="AO1654" s="1087"/>
      <c r="AP1654" s="1764"/>
      <c r="AQ1654" s="1087"/>
      <c r="AR1654" s="1764"/>
      <c r="AS1654" s="1764"/>
      <c r="AT1654" s="1086"/>
      <c r="AU1654" s="1768"/>
      <c r="AV1654" s="1814"/>
    </row>
    <row r="1655" spans="1:48" ht="66" customHeight="1">
      <c r="A1655" s="1658"/>
      <c r="B1655" s="1658" t="s">
        <v>12</v>
      </c>
      <c r="C1655" s="1659" t="s">
        <v>1037</v>
      </c>
      <c r="D1655" s="1646"/>
      <c r="E1655" s="1716"/>
      <c r="F1655" s="1648"/>
      <c r="G1655" s="1646"/>
      <c r="H1655" s="1807"/>
      <c r="I1655" s="1931"/>
      <c r="J1655" s="1930"/>
      <c r="K1655" s="1631"/>
      <c r="L1655" s="1245"/>
      <c r="M1655" s="1320"/>
      <c r="N1655" s="1632"/>
      <c r="O1655" s="1647"/>
      <c r="P1655" s="1634"/>
      <c r="Q1655" s="1632"/>
      <c r="R1655" s="1646"/>
      <c r="S1655" s="1625"/>
      <c r="T1655" s="1634"/>
      <c r="U1655" s="1635"/>
      <c r="V1655" s="1636"/>
      <c r="W1655" s="1714"/>
      <c r="X1655" s="1650"/>
      <c r="Y1655" s="1623"/>
      <c r="Z1655" s="1651"/>
      <c r="AA1655" s="1625"/>
      <c r="AB1655" s="1667"/>
      <c r="AC1655" s="1640"/>
      <c r="AD1655" s="1635"/>
      <c r="AE1655" s="1764"/>
      <c r="AF1655" s="1085"/>
      <c r="AG1655" s="1086"/>
      <c r="AH1655" s="1087"/>
      <c r="AI1655" s="1087"/>
      <c r="AJ1655" s="1768"/>
      <c r="AK1655" s="1089"/>
      <c r="AL1655" s="1090"/>
      <c r="AM1655" s="1086"/>
      <c r="AN1655" s="1086"/>
      <c r="AO1655" s="1087"/>
      <c r="AP1655" s="1764"/>
      <c r="AQ1655" s="1087"/>
      <c r="AR1655" s="1764"/>
      <c r="AS1655" s="1764"/>
      <c r="AT1655" s="1086"/>
      <c r="AU1655" s="1768"/>
      <c r="AV1655" s="1814"/>
    </row>
    <row r="1656" spans="1:48" ht="16.5" customHeight="1">
      <c r="A1656" s="1818"/>
      <c r="B1656" s="1686" t="s">
        <v>8</v>
      </c>
      <c r="C1656" s="1819" t="s">
        <v>1036</v>
      </c>
      <c r="D1656" s="1686"/>
      <c r="E1656" s="1819"/>
      <c r="F1656" s="1678"/>
      <c r="G1656" s="1686"/>
      <c r="H1656" s="1927"/>
      <c r="I1656" s="1932"/>
      <c r="J1656" s="1930"/>
      <c r="K1656" s="1682"/>
      <c r="L1656" s="1245"/>
      <c r="M1656" s="1320"/>
      <c r="N1656" s="1683"/>
      <c r="O1656" s="1781"/>
      <c r="P1656" s="1685"/>
      <c r="Q1656" s="1683"/>
      <c r="R1656" s="1686"/>
      <c r="S1656" s="1676"/>
      <c r="T1656" s="1685"/>
      <c r="U1656" s="1773"/>
      <c r="V1656" s="1718"/>
      <c r="W1656" s="1719"/>
      <c r="X1656" s="1720"/>
      <c r="Y1656" s="1721"/>
      <c r="Z1656" s="1787"/>
      <c r="AA1656" s="1676"/>
      <c r="AB1656" s="1679"/>
      <c r="AC1656" s="1673"/>
      <c r="AD1656" s="1773"/>
      <c r="AE1656" s="1774"/>
      <c r="AF1656" s="1115"/>
      <c r="AG1656" s="1116"/>
      <c r="AH1656" s="1117"/>
      <c r="AI1656" s="1117"/>
      <c r="AJ1656" s="1775"/>
      <c r="AK1656" s="1119"/>
      <c r="AL1656" s="1120"/>
      <c r="AM1656" s="1116"/>
      <c r="AN1656" s="1116"/>
      <c r="AO1656" s="1117"/>
      <c r="AP1656" s="1774"/>
      <c r="AQ1656" s="1117"/>
      <c r="AR1656" s="1774"/>
      <c r="AS1656" s="1774"/>
      <c r="AT1656" s="1116"/>
      <c r="AU1656" s="1775"/>
      <c r="AV1656" s="1820"/>
    </row>
    <row r="1657" spans="1:48" s="1498" customFormat="1" ht="33" customHeight="1">
      <c r="A1657" s="1941">
        <v>132</v>
      </c>
      <c r="B1657" s="1830" t="s">
        <v>25</v>
      </c>
      <c r="C1657" s="1831" t="s">
        <v>758</v>
      </c>
      <c r="D1657" s="1830"/>
      <c r="E1657" s="1831"/>
      <c r="F1657" s="1834" t="s">
        <v>1083</v>
      </c>
      <c r="G1657" s="1942" t="s">
        <v>25</v>
      </c>
      <c r="H1657" s="1943" t="s">
        <v>1065</v>
      </c>
      <c r="I1657" s="1944">
        <v>2892</v>
      </c>
      <c r="J1657" s="1945" t="s">
        <v>41</v>
      </c>
      <c r="K1657" s="1839" t="s">
        <v>1082</v>
      </c>
      <c r="L1657" s="1840"/>
      <c r="M1657" s="1841"/>
      <c r="N1657" s="1842" t="s">
        <v>25</v>
      </c>
      <c r="O1657" s="1870" t="s">
        <v>62</v>
      </c>
      <c r="P1657" s="1871">
        <v>1</v>
      </c>
      <c r="Q1657" s="1869">
        <v>50</v>
      </c>
      <c r="R1657" s="1830" t="s">
        <v>25</v>
      </c>
      <c r="S1657" s="1845" t="s">
        <v>24</v>
      </c>
      <c r="T1657" s="1844">
        <v>3</v>
      </c>
      <c r="U1657" s="1846">
        <v>1</v>
      </c>
      <c r="V1657" s="1847" t="s">
        <v>58</v>
      </c>
      <c r="W1657" s="1848">
        <v>5</v>
      </c>
      <c r="X1657" s="1849"/>
      <c r="Y1657" s="1831"/>
      <c r="Z1657" s="1850">
        <f>SUM(W1657:Y1657)</f>
        <v>5</v>
      </c>
      <c r="AA1657" s="1845"/>
      <c r="AB1657" s="1851"/>
      <c r="AC1657" s="1852"/>
      <c r="AD1657" s="1846"/>
      <c r="AE1657" s="1853"/>
      <c r="AF1657" s="1854">
        <v>1</v>
      </c>
      <c r="AG1657" s="1409">
        <v>0</v>
      </c>
      <c r="AH1657" s="1855"/>
      <c r="AI1657" s="1855"/>
      <c r="AJ1657" s="1856"/>
      <c r="AK1657" s="1946">
        <v>0</v>
      </c>
      <c r="AL1657" s="1413">
        <f t="shared" si="132"/>
        <v>0</v>
      </c>
      <c r="AM1657" s="1858">
        <f>SUM(AL1657:AL1661)</f>
        <v>0</v>
      </c>
      <c r="AN1657" s="1409">
        <f>AM1657+AJ1657+AG1657</f>
        <v>0</v>
      </c>
      <c r="AO1657" s="1855"/>
      <c r="AP1657" s="1415">
        <f>AI1658*15%</f>
        <v>0</v>
      </c>
      <c r="AQ1657" s="1416">
        <f>(AG1657+AI1657)*1%</f>
        <v>0</v>
      </c>
      <c r="AR1657" s="1415">
        <f>(AG1657+AI1657)*5%</f>
        <v>0</v>
      </c>
      <c r="AS1657" s="1416">
        <f>0.5%*(AG1657+AI1657)*(3)</f>
        <v>0</v>
      </c>
      <c r="AT1657" s="1409">
        <f>+AS1657+AR1657+AQ1657+AP1657+AO1657</f>
        <v>0</v>
      </c>
      <c r="AU1657" s="1417">
        <f>ROUND(AT1657+AN1657,-3)</f>
        <v>0</v>
      </c>
      <c r="AV1657" s="1859"/>
    </row>
    <row r="1658" spans="1:48" s="1498" customFormat="1" ht="16.5" customHeight="1">
      <c r="A1658" s="1884"/>
      <c r="B1658" s="1861" t="s">
        <v>16</v>
      </c>
      <c r="C1658" s="1862" t="s">
        <v>1081</v>
      </c>
      <c r="D1658" s="1861"/>
      <c r="E1658" s="1862"/>
      <c r="F1658" s="1864"/>
      <c r="G1658" s="1861" t="s">
        <v>16</v>
      </c>
      <c r="H1658" s="1876" t="s">
        <v>22</v>
      </c>
      <c r="I1658" s="1947"/>
      <c r="J1658" s="1945"/>
      <c r="K1658" s="1866"/>
      <c r="L1658" s="1867"/>
      <c r="M1658" s="1868"/>
      <c r="N1658" s="1869" t="s">
        <v>16</v>
      </c>
      <c r="O1658" s="1883" t="s">
        <v>21</v>
      </c>
      <c r="P1658" s="1871">
        <v>1</v>
      </c>
      <c r="Q1658" s="1869">
        <v>6</v>
      </c>
      <c r="R1658" s="1861"/>
      <c r="S1658" s="1833"/>
      <c r="T1658" s="1871"/>
      <c r="U1658" s="1872">
        <v>2</v>
      </c>
      <c r="V1658" s="1873" t="s">
        <v>109</v>
      </c>
      <c r="W1658" s="1874">
        <v>5</v>
      </c>
      <c r="X1658" s="1875"/>
      <c r="Y1658" s="1876"/>
      <c r="Z1658" s="1877">
        <f>SUM(W1658:Y1658)</f>
        <v>5</v>
      </c>
      <c r="AA1658" s="1833"/>
      <c r="AB1658" s="1878"/>
      <c r="AC1658" s="1860"/>
      <c r="AD1658" s="1872"/>
      <c r="AE1658" s="1879"/>
      <c r="AF1658" s="1880"/>
      <c r="AG1658" s="1409"/>
      <c r="AH1658" s="1416"/>
      <c r="AI1658" s="1416"/>
      <c r="AJ1658" s="1881"/>
      <c r="AK1658" s="1451">
        <v>0</v>
      </c>
      <c r="AL1658" s="1413">
        <f t="shared" si="132"/>
        <v>0</v>
      </c>
      <c r="AM1658" s="1409"/>
      <c r="AN1658" s="1409"/>
      <c r="AO1658" s="1416"/>
      <c r="AP1658" s="1879"/>
      <c r="AQ1658" s="1416"/>
      <c r="AR1658" s="1879"/>
      <c r="AS1658" s="1879"/>
      <c r="AT1658" s="1409"/>
      <c r="AU1658" s="1881"/>
      <c r="AV1658" s="1882"/>
    </row>
    <row r="1659" spans="1:48" s="1498" customFormat="1" ht="33" customHeight="1">
      <c r="A1659" s="1884"/>
      <c r="B1659" s="1861" t="s">
        <v>18</v>
      </c>
      <c r="C1659" s="1876" t="s">
        <v>124</v>
      </c>
      <c r="D1659" s="1861"/>
      <c r="E1659" s="1876"/>
      <c r="F1659" s="1864"/>
      <c r="G1659" s="1861" t="s">
        <v>18</v>
      </c>
      <c r="H1659" s="1876" t="s">
        <v>19</v>
      </c>
      <c r="I1659" s="1947"/>
      <c r="J1659" s="1945"/>
      <c r="K1659" s="1866"/>
      <c r="L1659" s="1867"/>
      <c r="M1659" s="1868"/>
      <c r="N1659" s="1869" t="s">
        <v>18</v>
      </c>
      <c r="O1659" s="1883" t="s">
        <v>59</v>
      </c>
      <c r="P1659" s="1871">
        <v>1</v>
      </c>
      <c r="Q1659" s="1869">
        <v>12.5</v>
      </c>
      <c r="R1659" s="1887"/>
      <c r="S1659" s="1893"/>
      <c r="T1659" s="1871"/>
      <c r="U1659" s="1872">
        <v>2</v>
      </c>
      <c r="V1659" s="1873" t="s">
        <v>109</v>
      </c>
      <c r="W1659" s="1874"/>
      <c r="X1659" s="1875"/>
      <c r="Y1659" s="1876">
        <v>5</v>
      </c>
      <c r="Z1659" s="1877" t="s">
        <v>1080</v>
      </c>
      <c r="AA1659" s="1833"/>
      <c r="AB1659" s="1878"/>
      <c r="AC1659" s="1860"/>
      <c r="AD1659" s="1872"/>
      <c r="AE1659" s="1879"/>
      <c r="AF1659" s="1880"/>
      <c r="AG1659" s="1409"/>
      <c r="AH1659" s="1416">
        <v>0</v>
      </c>
      <c r="AI1659" s="1416"/>
      <c r="AJ1659" s="1881"/>
      <c r="AK1659" s="1446">
        <v>0</v>
      </c>
      <c r="AL1659" s="1413">
        <f>AK1659*Y1659</f>
        <v>0</v>
      </c>
      <c r="AM1659" s="1409"/>
      <c r="AN1659" s="1409"/>
      <c r="AO1659" s="1416"/>
      <c r="AP1659" s="1879"/>
      <c r="AQ1659" s="1416"/>
      <c r="AR1659" s="1879"/>
      <c r="AS1659" s="1879"/>
      <c r="AT1659" s="1409"/>
      <c r="AU1659" s="1881"/>
      <c r="AV1659" s="1882"/>
    </row>
    <row r="1660" spans="1:48" s="1498" customFormat="1" ht="49.5" customHeight="1">
      <c r="A1660" s="1884"/>
      <c r="B1660" s="1861" t="s">
        <v>12</v>
      </c>
      <c r="C1660" s="1885" t="s">
        <v>1079</v>
      </c>
      <c r="D1660" s="1861"/>
      <c r="E1660" s="1885"/>
      <c r="F1660" s="1864"/>
      <c r="G1660" s="1861"/>
      <c r="H1660" s="1948"/>
      <c r="I1660" s="1947"/>
      <c r="J1660" s="1945"/>
      <c r="K1660" s="1866"/>
      <c r="L1660" s="1867"/>
      <c r="M1660" s="1868"/>
      <c r="N1660" s="1869"/>
      <c r="O1660" s="1862"/>
      <c r="P1660" s="1871"/>
      <c r="Q1660" s="1869"/>
      <c r="R1660" s="1861"/>
      <c r="S1660" s="1833"/>
      <c r="T1660" s="1871"/>
      <c r="U1660" s="1872">
        <v>3</v>
      </c>
      <c r="V1660" s="1873" t="s">
        <v>80</v>
      </c>
      <c r="W1660" s="1874"/>
      <c r="X1660" s="1875"/>
      <c r="Y1660" s="1876"/>
      <c r="Z1660" s="1877"/>
      <c r="AA1660" s="1833"/>
      <c r="AB1660" s="1878"/>
      <c r="AC1660" s="1860"/>
      <c r="AD1660" s="1872"/>
      <c r="AE1660" s="1879"/>
      <c r="AF1660" s="1880"/>
      <c r="AG1660" s="1409"/>
      <c r="AH1660" s="1416"/>
      <c r="AI1660" s="1416"/>
      <c r="AJ1660" s="1881"/>
      <c r="AK1660" s="1446"/>
      <c r="AL1660" s="1413">
        <f t="shared" si="132"/>
        <v>0</v>
      </c>
      <c r="AM1660" s="1409"/>
      <c r="AN1660" s="1409"/>
      <c r="AO1660" s="1416"/>
      <c r="AP1660" s="1879"/>
      <c r="AQ1660" s="1416"/>
      <c r="AR1660" s="1879"/>
      <c r="AS1660" s="1879"/>
      <c r="AT1660" s="1409"/>
      <c r="AU1660" s="1881"/>
      <c r="AV1660" s="1882"/>
    </row>
    <row r="1661" spans="1:48" s="1498" customFormat="1" ht="33" customHeight="1">
      <c r="A1661" s="1884"/>
      <c r="B1661" s="1861" t="s">
        <v>8</v>
      </c>
      <c r="C1661" s="1886" t="s">
        <v>1078</v>
      </c>
      <c r="D1661" s="1861"/>
      <c r="E1661" s="1885"/>
      <c r="F1661" s="1864"/>
      <c r="G1661" s="1861"/>
      <c r="H1661" s="1948"/>
      <c r="I1661" s="1947"/>
      <c r="J1661" s="1945"/>
      <c r="K1661" s="1866"/>
      <c r="L1661" s="1867"/>
      <c r="M1661" s="1868"/>
      <c r="N1661" s="1869"/>
      <c r="O1661" s="1862"/>
      <c r="P1661" s="1871"/>
      <c r="Q1661" s="1869"/>
      <c r="R1661" s="1861" t="s">
        <v>16</v>
      </c>
      <c r="S1661" s="1833" t="s">
        <v>15</v>
      </c>
      <c r="T1661" s="1871">
        <v>1</v>
      </c>
      <c r="U1661" s="1872">
        <v>1</v>
      </c>
      <c r="V1661" s="1873" t="s">
        <v>14</v>
      </c>
      <c r="W1661" s="1874"/>
      <c r="X1661" s="1875"/>
      <c r="Y1661" s="1876">
        <v>70</v>
      </c>
      <c r="Z1661" s="1877">
        <f>SUM(W1661:Y1661)</f>
        <v>70</v>
      </c>
      <c r="AA1661" s="1833"/>
      <c r="AB1661" s="1878"/>
      <c r="AC1661" s="1860"/>
      <c r="AD1661" s="1872"/>
      <c r="AE1661" s="1879"/>
      <c r="AF1661" s="1880"/>
      <c r="AG1661" s="1409"/>
      <c r="AH1661" s="1416"/>
      <c r="AI1661" s="1416"/>
      <c r="AJ1661" s="1881"/>
      <c r="AK1661" s="1446">
        <v>0</v>
      </c>
      <c r="AL1661" s="1416">
        <f>AK1661*Y1661</f>
        <v>0</v>
      </c>
      <c r="AM1661" s="1409"/>
      <c r="AN1661" s="1409"/>
      <c r="AO1661" s="1416"/>
      <c r="AP1661" s="1879"/>
      <c r="AQ1661" s="1416"/>
      <c r="AR1661" s="1879"/>
      <c r="AS1661" s="1879"/>
      <c r="AT1661" s="1409"/>
      <c r="AU1661" s="1881"/>
      <c r="AV1661" s="1882"/>
    </row>
    <row r="1662" spans="1:48" s="1498" customFormat="1" ht="16.5" customHeight="1">
      <c r="A1662" s="1949"/>
      <c r="B1662" s="1950"/>
      <c r="C1662" s="1894"/>
      <c r="D1662" s="1908"/>
      <c r="E1662" s="1951"/>
      <c r="F1662" s="1897"/>
      <c r="G1662" s="1908"/>
      <c r="H1662" s="1952"/>
      <c r="I1662" s="1953"/>
      <c r="J1662" s="1945"/>
      <c r="K1662" s="1901"/>
      <c r="L1662" s="1902"/>
      <c r="M1662" s="1903"/>
      <c r="N1662" s="1869"/>
      <c r="O1662" s="1862"/>
      <c r="P1662" s="1871"/>
      <c r="Q1662" s="1869"/>
      <c r="R1662" s="1861"/>
      <c r="S1662" s="1833"/>
      <c r="T1662" s="1871"/>
      <c r="U1662" s="1872"/>
      <c r="V1662" s="1873"/>
      <c r="W1662" s="1874"/>
      <c r="X1662" s="1875"/>
      <c r="Y1662" s="1913"/>
      <c r="Z1662" s="1907"/>
      <c r="AA1662" s="1895"/>
      <c r="AB1662" s="1898"/>
      <c r="AC1662" s="1892"/>
      <c r="AD1662" s="1909"/>
      <c r="AE1662" s="1914"/>
      <c r="AF1662" s="1915"/>
      <c r="AG1662" s="1916"/>
      <c r="AH1662" s="1486"/>
      <c r="AI1662" s="1486"/>
      <c r="AJ1662" s="1917"/>
      <c r="AK1662" s="1918"/>
      <c r="AL1662" s="1586"/>
      <c r="AM1662" s="1916"/>
      <c r="AN1662" s="1916"/>
      <c r="AO1662" s="1486"/>
      <c r="AP1662" s="1914"/>
      <c r="AQ1662" s="1486"/>
      <c r="AR1662" s="1914"/>
      <c r="AS1662" s="1914"/>
      <c r="AT1662" s="1916"/>
      <c r="AU1662" s="1917"/>
      <c r="AV1662" s="1919"/>
    </row>
    <row r="1663" spans="1:48" ht="16.5" customHeight="1">
      <c r="A1663" s="1925">
        <v>133</v>
      </c>
      <c r="B1663" s="1699" t="s">
        <v>25</v>
      </c>
      <c r="C1663" s="1700" t="s">
        <v>1077</v>
      </c>
      <c r="D1663" s="1699"/>
      <c r="E1663" s="1700"/>
      <c r="F1663" s="1730" t="s">
        <v>1076</v>
      </c>
      <c r="G1663" s="1926"/>
      <c r="H1663" s="1792"/>
      <c r="I1663" s="1929">
        <v>8655</v>
      </c>
      <c r="J1663" s="1746"/>
      <c r="K1663" s="1722"/>
      <c r="L1663" s="1373"/>
      <c r="M1663" s="1317"/>
      <c r="N1663" s="1707" t="s">
        <v>25</v>
      </c>
      <c r="O1663" s="1921" t="s">
        <v>52</v>
      </c>
      <c r="P1663" s="1709">
        <v>2</v>
      </c>
      <c r="Q1663" s="1707">
        <v>8</v>
      </c>
      <c r="R1663" s="1699" t="s">
        <v>25</v>
      </c>
      <c r="S1663" s="1700" t="s">
        <v>24</v>
      </c>
      <c r="T1663" s="1709">
        <v>1</v>
      </c>
      <c r="U1663" s="1710">
        <v>1</v>
      </c>
      <c r="V1663" s="1711" t="s">
        <v>58</v>
      </c>
      <c r="W1663" s="1712"/>
      <c r="X1663" s="1713">
        <v>10</v>
      </c>
      <c r="Y1663" s="1700"/>
      <c r="Z1663" s="1761">
        <f>SUM(W1663:Y1663)</f>
        <v>10</v>
      </c>
      <c r="AA1663" s="1702"/>
      <c r="AB1663" s="1809"/>
      <c r="AC1663" s="1641"/>
      <c r="AD1663" s="1710"/>
      <c r="AE1663" s="1766"/>
      <c r="AF1663" s="1056">
        <f>Resum!F5</f>
        <v>170000</v>
      </c>
      <c r="AG1663" s="1086">
        <f>AF1663*I1663</f>
        <v>1471350000</v>
      </c>
      <c r="AH1663" s="1087">
        <v>210000</v>
      </c>
      <c r="AI1663" s="1089">
        <f>AH1663*Q1663*0.5</f>
        <v>840000</v>
      </c>
      <c r="AJ1663" s="1811">
        <f>SUM(AI1663:AI1664)</f>
        <v>8340000</v>
      </c>
      <c r="AK1663" s="1529">
        <v>150000</v>
      </c>
      <c r="AL1663" s="1090">
        <f>AK1663*X1663</f>
        <v>1500000</v>
      </c>
      <c r="AM1663" s="1057">
        <f>SUM(AL1663:AL1667)</f>
        <v>8430000</v>
      </c>
      <c r="AN1663" s="1086">
        <f>AM1663+AJ1663+AG1663</f>
        <v>1488120000</v>
      </c>
      <c r="AO1663" s="1058"/>
      <c r="AP1663" s="1136">
        <v>0</v>
      </c>
      <c r="AQ1663" s="1087">
        <v>0</v>
      </c>
      <c r="AR1663" s="1136">
        <f>AG1663*5%</f>
        <v>73567500</v>
      </c>
      <c r="AS1663" s="1087">
        <f>0.5%*(AG1663)*(3)</f>
        <v>22070250</v>
      </c>
      <c r="AT1663" s="1086">
        <f>+AS1663+AR1663+AQ1663+AP1663+AO1663</f>
        <v>95637750</v>
      </c>
      <c r="AU1663" s="1137">
        <f>AT1663+AN1663</f>
        <v>1583757750</v>
      </c>
      <c r="AV1663" s="1812"/>
    </row>
    <row r="1664" spans="1:48" ht="16.5" customHeight="1">
      <c r="A1664" s="1658"/>
      <c r="B1664" s="1646" t="s">
        <v>16</v>
      </c>
      <c r="C1664" s="1647"/>
      <c r="D1664" s="1646"/>
      <c r="E1664" s="1647"/>
      <c r="F1664" s="1648"/>
      <c r="G1664" s="1646"/>
      <c r="H1664" s="1623"/>
      <c r="I1664" s="1931"/>
      <c r="J1664" s="1747"/>
      <c r="K1664" s="1631"/>
      <c r="L1664" s="1245"/>
      <c r="M1664" s="1320"/>
      <c r="N1664" s="1632" t="s">
        <v>16</v>
      </c>
      <c r="O1664" s="1737" t="s">
        <v>17</v>
      </c>
      <c r="P1664" s="1634">
        <v>4</v>
      </c>
      <c r="Q1664" s="1632"/>
      <c r="R1664" s="1646"/>
      <c r="S1664" s="1625"/>
      <c r="T1664" s="1634"/>
      <c r="U1664" s="1635"/>
      <c r="V1664" s="1636"/>
      <c r="W1664" s="1714"/>
      <c r="X1664" s="1650"/>
      <c r="Y1664" s="1623"/>
      <c r="Z1664" s="1651"/>
      <c r="AA1664" s="1625"/>
      <c r="AB1664" s="1667"/>
      <c r="AC1664" s="1640"/>
      <c r="AD1664" s="1635"/>
      <c r="AE1664" s="1764"/>
      <c r="AF1664" s="1085"/>
      <c r="AG1664" s="1086"/>
      <c r="AH1664" s="1087">
        <v>2500000</v>
      </c>
      <c r="AI1664" s="1089">
        <f>AH1664*P1664*0.75</f>
        <v>7500000</v>
      </c>
      <c r="AJ1664" s="1768"/>
      <c r="AK1664" s="1089"/>
      <c r="AL1664" s="1090"/>
      <c r="AM1664" s="1086"/>
      <c r="AN1664" s="1086"/>
      <c r="AO1664" s="1087"/>
      <c r="AP1664" s="1764"/>
      <c r="AQ1664" s="1087"/>
      <c r="AR1664" s="1764"/>
      <c r="AS1664" s="1764"/>
      <c r="AT1664" s="1086"/>
      <c r="AU1664" s="1768"/>
      <c r="AV1664" s="1814"/>
    </row>
    <row r="1665" spans="1:48" ht="16.5" customHeight="1">
      <c r="A1665" s="1658"/>
      <c r="B1665" s="1646" t="s">
        <v>18</v>
      </c>
      <c r="C1665" s="1623"/>
      <c r="D1665" s="1646"/>
      <c r="E1665" s="1623"/>
      <c r="F1665" s="1648"/>
      <c r="G1665" s="1646"/>
      <c r="H1665" s="1623"/>
      <c r="I1665" s="1931"/>
      <c r="J1665" s="1747"/>
      <c r="K1665" s="1631"/>
      <c r="L1665" s="1245"/>
      <c r="M1665" s="1320"/>
      <c r="N1665" s="1632"/>
      <c r="O1665" s="1647"/>
      <c r="P1665" s="1634"/>
      <c r="Q1665" s="1632"/>
      <c r="R1665" s="1646" t="s">
        <v>16</v>
      </c>
      <c r="S1665" s="1625" t="s">
        <v>15</v>
      </c>
      <c r="T1665" s="1634">
        <v>2</v>
      </c>
      <c r="U1665" s="1635">
        <v>1</v>
      </c>
      <c r="V1665" s="1636" t="s">
        <v>14</v>
      </c>
      <c r="W1665" s="1714"/>
      <c r="X1665" s="1650"/>
      <c r="Y1665" s="1623">
        <v>60</v>
      </c>
      <c r="Z1665" s="1651">
        <f>SUM(W1665:Y1665)</f>
        <v>60</v>
      </c>
      <c r="AA1665" s="1625"/>
      <c r="AB1665" s="1667"/>
      <c r="AC1665" s="1640"/>
      <c r="AD1665" s="1635"/>
      <c r="AE1665" s="1764"/>
      <c r="AF1665" s="1085"/>
      <c r="AG1665" s="1086"/>
      <c r="AH1665" s="1087"/>
      <c r="AI1665" s="1087"/>
      <c r="AJ1665" s="1768"/>
      <c r="AK1665" s="1089">
        <v>115500</v>
      </c>
      <c r="AL1665" s="1087">
        <f>AK1665*Y1665</f>
        <v>6930000</v>
      </c>
      <c r="AM1665" s="1086"/>
      <c r="AN1665" s="1086"/>
      <c r="AO1665" s="1087"/>
      <c r="AP1665" s="1764"/>
      <c r="AQ1665" s="1087"/>
      <c r="AR1665" s="1764"/>
      <c r="AS1665" s="1764"/>
      <c r="AT1665" s="1086"/>
      <c r="AU1665" s="1768"/>
      <c r="AV1665" s="1814"/>
    </row>
    <row r="1666" spans="1:48" ht="16.5" customHeight="1">
      <c r="A1666" s="1658"/>
      <c r="B1666" s="1658" t="s">
        <v>12</v>
      </c>
      <c r="C1666" s="1659"/>
      <c r="D1666" s="1658"/>
      <c r="E1666" s="1659"/>
      <c r="F1666" s="1648"/>
      <c r="G1666" s="1646"/>
      <c r="H1666" s="1807"/>
      <c r="I1666" s="1931"/>
      <c r="J1666" s="1747"/>
      <c r="K1666" s="1631"/>
      <c r="L1666" s="1245"/>
      <c r="M1666" s="1320"/>
      <c r="N1666" s="1632"/>
      <c r="O1666" s="1647"/>
      <c r="P1666" s="1634"/>
      <c r="Q1666" s="1632"/>
      <c r="R1666" s="1646"/>
      <c r="S1666" s="1625"/>
      <c r="T1666" s="1634"/>
      <c r="U1666" s="1635">
        <v>2</v>
      </c>
      <c r="V1666" s="1636" t="s">
        <v>240</v>
      </c>
      <c r="W1666" s="1714"/>
      <c r="X1666" s="1650"/>
      <c r="Y1666" s="1623"/>
      <c r="Z1666" s="1651" t="s">
        <v>1075</v>
      </c>
      <c r="AA1666" s="1625"/>
      <c r="AB1666" s="1667"/>
      <c r="AC1666" s="1640"/>
      <c r="AD1666" s="1635"/>
      <c r="AE1666" s="1764"/>
      <c r="AF1666" s="1085"/>
      <c r="AG1666" s="1086"/>
      <c r="AH1666" s="1087"/>
      <c r="AI1666" s="1087"/>
      <c r="AJ1666" s="1768"/>
      <c r="AK1666" s="1089">
        <v>10000</v>
      </c>
      <c r="AL1666" s="1090">
        <f t="shared" si="132"/>
        <v>0</v>
      </c>
      <c r="AM1666" s="1086"/>
      <c r="AN1666" s="1086"/>
      <c r="AO1666" s="1087"/>
      <c r="AP1666" s="1764"/>
      <c r="AQ1666" s="1087"/>
      <c r="AR1666" s="1764"/>
      <c r="AS1666" s="1764"/>
      <c r="AT1666" s="1086"/>
      <c r="AU1666" s="1768"/>
      <c r="AV1666" s="1814"/>
    </row>
    <row r="1667" spans="1:48" ht="16.5" customHeight="1">
      <c r="A1667" s="1818"/>
      <c r="B1667" s="1686" t="s">
        <v>8</v>
      </c>
      <c r="C1667" s="1819"/>
      <c r="D1667" s="1686"/>
      <c r="E1667" s="1819"/>
      <c r="F1667" s="1678"/>
      <c r="G1667" s="1686"/>
      <c r="H1667" s="1927"/>
      <c r="I1667" s="1932"/>
      <c r="J1667" s="1754"/>
      <c r="K1667" s="1682"/>
      <c r="L1667" s="1270"/>
      <c r="M1667" s="1549"/>
      <c r="N1667" s="1683"/>
      <c r="O1667" s="1735"/>
      <c r="P1667" s="1685"/>
      <c r="Q1667" s="1683"/>
      <c r="R1667" s="1686"/>
      <c r="S1667" s="1676"/>
      <c r="T1667" s="1685"/>
      <c r="U1667" s="1773"/>
      <c r="V1667" s="1718"/>
      <c r="W1667" s="1719"/>
      <c r="X1667" s="1720"/>
      <c r="Y1667" s="1721"/>
      <c r="Z1667" s="1787"/>
      <c r="AA1667" s="1676"/>
      <c r="AB1667" s="1679"/>
      <c r="AC1667" s="1673"/>
      <c r="AD1667" s="1773"/>
      <c r="AE1667" s="1774"/>
      <c r="AF1667" s="1115"/>
      <c r="AG1667" s="1116"/>
      <c r="AH1667" s="1117"/>
      <c r="AI1667" s="1117"/>
      <c r="AJ1667" s="1775"/>
      <c r="AK1667" s="1119"/>
      <c r="AL1667" s="1120"/>
      <c r="AM1667" s="1116"/>
      <c r="AN1667" s="1116"/>
      <c r="AO1667" s="1117"/>
      <c r="AP1667" s="1774"/>
      <c r="AQ1667" s="1117"/>
      <c r="AR1667" s="1774"/>
      <c r="AS1667" s="1774"/>
      <c r="AT1667" s="1116"/>
      <c r="AU1667" s="1775"/>
      <c r="AV1667" s="1820"/>
    </row>
    <row r="1668" spans="1:48" ht="16.5" customHeight="1">
      <c r="A1668" s="1925">
        <v>134</v>
      </c>
      <c r="B1668" s="1699" t="s">
        <v>25</v>
      </c>
      <c r="C1668" s="1700" t="s">
        <v>1074</v>
      </c>
      <c r="D1668" s="1699"/>
      <c r="E1668" s="1700"/>
      <c r="F1668" s="1730" t="s">
        <v>1073</v>
      </c>
      <c r="G1668" s="1926"/>
      <c r="H1668" s="1792"/>
      <c r="I1668" s="1929">
        <v>11133</v>
      </c>
      <c r="J1668" s="1746"/>
      <c r="K1668" s="1722"/>
      <c r="L1668" s="1373"/>
      <c r="M1668" s="1317"/>
      <c r="N1668" s="1788" t="s">
        <v>25</v>
      </c>
      <c r="O1668" s="1737" t="s">
        <v>17</v>
      </c>
      <c r="P1668" s="1634">
        <v>4</v>
      </c>
      <c r="Q1668" s="1707"/>
      <c r="R1668" s="1699" t="s">
        <v>25</v>
      </c>
      <c r="S1668" s="1702" t="s">
        <v>24</v>
      </c>
      <c r="T1668" s="1709">
        <v>1</v>
      </c>
      <c r="U1668" s="1710">
        <v>1</v>
      </c>
      <c r="V1668" s="1711" t="s">
        <v>80</v>
      </c>
      <c r="W1668" s="1712"/>
      <c r="X1668" s="1713"/>
      <c r="Y1668" s="1700"/>
      <c r="Z1668" s="1761" t="s">
        <v>1072</v>
      </c>
      <c r="AA1668" s="1702"/>
      <c r="AB1668" s="1809"/>
      <c r="AC1668" s="1641"/>
      <c r="AD1668" s="1710"/>
      <c r="AE1668" s="1766"/>
      <c r="AF1668" s="1056">
        <f>Resum!F5</f>
        <v>170000</v>
      </c>
      <c r="AG1668" s="1086">
        <f>AF1668*I1668</f>
        <v>1892610000</v>
      </c>
      <c r="AH1668" s="1058">
        <v>2500000</v>
      </c>
      <c r="AI1668" s="1089">
        <f>AH1668*P1668*0.5</f>
        <v>5000000</v>
      </c>
      <c r="AJ1668" s="1811">
        <f>SUM(AI1668)</f>
        <v>5000000</v>
      </c>
      <c r="AK1668" s="1060"/>
      <c r="AL1668" s="1090"/>
      <c r="AM1668" s="1057">
        <f>SUM(AL1668:AL1674)</f>
        <v>14360000</v>
      </c>
      <c r="AN1668" s="1086">
        <f>AM1668+AJ1668+AG1668</f>
        <v>1911970000</v>
      </c>
      <c r="AO1668" s="1058"/>
      <c r="AP1668" s="1136">
        <f>AI1669*15%</f>
        <v>0</v>
      </c>
      <c r="AQ1668" s="1087">
        <v>0</v>
      </c>
      <c r="AR1668" s="1136">
        <f>AG1668*5%</f>
        <v>94630500</v>
      </c>
      <c r="AS1668" s="1087">
        <f>0.5%*(AG1668)*(3)</f>
        <v>28389150</v>
      </c>
      <c r="AT1668" s="1086">
        <f>+AS1668+AR1668+AQ1668+AP1668+AO1668</f>
        <v>123019650</v>
      </c>
      <c r="AU1668" s="1137">
        <f>ROUND(AT1668+AN1668,-3)</f>
        <v>2034990000</v>
      </c>
      <c r="AV1668" s="1812"/>
    </row>
    <row r="1669" spans="1:48" ht="16.5" customHeight="1">
      <c r="A1669" s="1658"/>
      <c r="B1669" s="1646" t="s">
        <v>16</v>
      </c>
      <c r="C1669" s="1647"/>
      <c r="D1669" s="1646"/>
      <c r="E1669" s="1647"/>
      <c r="F1669" s="1648"/>
      <c r="G1669" s="1646"/>
      <c r="H1669" s="1623"/>
      <c r="I1669" s="1931"/>
      <c r="J1669" s="1747"/>
      <c r="K1669" s="1631"/>
      <c r="L1669" s="1245"/>
      <c r="M1669" s="1320"/>
      <c r="N1669" s="1632"/>
      <c r="O1669" s="1647"/>
      <c r="P1669" s="1634"/>
      <c r="Q1669" s="1632"/>
      <c r="R1669" s="1646"/>
      <c r="S1669" s="1625"/>
      <c r="T1669" s="1634"/>
      <c r="U1669" s="1635"/>
      <c r="V1669" s="1636"/>
      <c r="W1669" s="1714"/>
      <c r="X1669" s="1650"/>
      <c r="Y1669" s="1623"/>
      <c r="Z1669" s="1651"/>
      <c r="AA1669" s="1625"/>
      <c r="AB1669" s="1667"/>
      <c r="AC1669" s="1640"/>
      <c r="AD1669" s="1635"/>
      <c r="AE1669" s="1764"/>
      <c r="AF1669" s="1085"/>
      <c r="AG1669" s="1086"/>
      <c r="AH1669" s="1087"/>
      <c r="AI1669" s="1087"/>
      <c r="AJ1669" s="1768"/>
      <c r="AK1669" s="1089"/>
      <c r="AL1669" s="1090"/>
      <c r="AM1669" s="1086"/>
      <c r="AN1669" s="1086"/>
      <c r="AO1669" s="1087"/>
      <c r="AP1669" s="1764"/>
      <c r="AQ1669" s="1087"/>
      <c r="AR1669" s="1764"/>
      <c r="AS1669" s="1764"/>
      <c r="AT1669" s="1086"/>
      <c r="AU1669" s="1768"/>
      <c r="AV1669" s="1814"/>
    </row>
    <row r="1670" spans="1:48" ht="16.5" customHeight="1">
      <c r="A1670" s="1658"/>
      <c r="B1670" s="1646"/>
      <c r="C1670" s="1647"/>
      <c r="D1670" s="1646"/>
      <c r="E1670" s="1647"/>
      <c r="F1670" s="1648"/>
      <c r="G1670" s="1646"/>
      <c r="H1670" s="1623"/>
      <c r="I1670" s="1931"/>
      <c r="J1670" s="1747"/>
      <c r="K1670" s="1631"/>
      <c r="L1670" s="1245"/>
      <c r="M1670" s="1320"/>
      <c r="N1670" s="1632"/>
      <c r="O1670" s="1647"/>
      <c r="P1670" s="1634"/>
      <c r="Q1670" s="1632"/>
      <c r="R1670" s="1646" t="s">
        <v>16</v>
      </c>
      <c r="S1670" s="1625" t="s">
        <v>15</v>
      </c>
      <c r="T1670" s="1634">
        <v>5</v>
      </c>
      <c r="U1670" s="1635">
        <v>1</v>
      </c>
      <c r="V1670" s="1636" t="s">
        <v>14</v>
      </c>
      <c r="W1670" s="1714"/>
      <c r="X1670" s="1650">
        <v>60</v>
      </c>
      <c r="Y1670" s="1623"/>
      <c r="Z1670" s="1651">
        <f>SUM(X1670:Y1670)</f>
        <v>60</v>
      </c>
      <c r="AA1670" s="1625"/>
      <c r="AB1670" s="1667"/>
      <c r="AC1670" s="1640"/>
      <c r="AD1670" s="1635"/>
      <c r="AE1670" s="1764"/>
      <c r="AF1670" s="1085"/>
      <c r="AG1670" s="1086"/>
      <c r="AH1670" s="1087"/>
      <c r="AI1670" s="1087"/>
      <c r="AJ1670" s="1768"/>
      <c r="AK1670" s="1089">
        <v>231000</v>
      </c>
      <c r="AL1670" s="1087">
        <f>AK1670*X1670</f>
        <v>13860000</v>
      </c>
      <c r="AM1670" s="1086"/>
      <c r="AN1670" s="1086"/>
      <c r="AO1670" s="1087"/>
      <c r="AP1670" s="1764"/>
      <c r="AQ1670" s="1087"/>
      <c r="AR1670" s="1764"/>
      <c r="AS1670" s="1764"/>
      <c r="AT1670" s="1086"/>
      <c r="AU1670" s="1768"/>
      <c r="AV1670" s="1814"/>
    </row>
    <row r="1671" spans="1:48" ht="16.5" customHeight="1">
      <c r="A1671" s="1658"/>
      <c r="B1671" s="1646"/>
      <c r="C1671" s="1647"/>
      <c r="D1671" s="1646"/>
      <c r="E1671" s="1647"/>
      <c r="F1671" s="1648"/>
      <c r="G1671" s="1646"/>
      <c r="H1671" s="1623"/>
      <c r="I1671" s="1931"/>
      <c r="J1671" s="1747"/>
      <c r="K1671" s="1631"/>
      <c r="L1671" s="1245"/>
      <c r="M1671" s="1320"/>
      <c r="N1671" s="1632"/>
      <c r="O1671" s="1647"/>
      <c r="P1671" s="1634"/>
      <c r="Q1671" s="1632"/>
      <c r="R1671" s="1646"/>
      <c r="S1671" s="1625"/>
      <c r="T1671" s="1634"/>
      <c r="U1671" s="1635">
        <v>2</v>
      </c>
      <c r="V1671" s="1636" t="s">
        <v>48</v>
      </c>
      <c r="W1671" s="1714"/>
      <c r="X1671" s="1650">
        <v>50</v>
      </c>
      <c r="Y1671" s="1623"/>
      <c r="Z1671" s="1651">
        <f>SUM(X1671:Y1671)</f>
        <v>50</v>
      </c>
      <c r="AA1671" s="1625"/>
      <c r="AB1671" s="1667"/>
      <c r="AC1671" s="1640"/>
      <c r="AD1671" s="1635"/>
      <c r="AE1671" s="1764"/>
      <c r="AF1671" s="1085"/>
      <c r="AG1671" s="1086"/>
      <c r="AH1671" s="1087"/>
      <c r="AI1671" s="1087"/>
      <c r="AJ1671" s="1768"/>
      <c r="AK1671" s="1089">
        <v>10000</v>
      </c>
      <c r="AL1671" s="1090">
        <f>AK1671*X1671</f>
        <v>500000</v>
      </c>
      <c r="AM1671" s="1086"/>
      <c r="AN1671" s="1086"/>
      <c r="AO1671" s="1087"/>
      <c r="AP1671" s="1764"/>
      <c r="AQ1671" s="1087"/>
      <c r="AR1671" s="1764"/>
      <c r="AS1671" s="1764"/>
      <c r="AT1671" s="1086"/>
      <c r="AU1671" s="1768"/>
      <c r="AV1671" s="1814"/>
    </row>
    <row r="1672" spans="1:48" ht="16.5" customHeight="1">
      <c r="A1672" s="1658"/>
      <c r="B1672" s="1646"/>
      <c r="C1672" s="1647"/>
      <c r="D1672" s="1646"/>
      <c r="E1672" s="1647"/>
      <c r="F1672" s="1648"/>
      <c r="G1672" s="1646"/>
      <c r="H1672" s="1623"/>
      <c r="I1672" s="1931"/>
      <c r="J1672" s="1747"/>
      <c r="K1672" s="1631"/>
      <c r="L1672" s="1245"/>
      <c r="M1672" s="1320"/>
      <c r="N1672" s="1632"/>
      <c r="O1672" s="1647"/>
      <c r="P1672" s="1634"/>
      <c r="Q1672" s="1632"/>
      <c r="R1672" s="1646"/>
      <c r="S1672" s="1625"/>
      <c r="T1672" s="1634"/>
      <c r="U1672" s="1635">
        <v>3</v>
      </c>
      <c r="V1672" s="1636" t="s">
        <v>240</v>
      </c>
      <c r="W1672" s="1714"/>
      <c r="X1672" s="1650"/>
      <c r="Y1672" s="1623"/>
      <c r="Z1672" s="1651" t="s">
        <v>1071</v>
      </c>
      <c r="AA1672" s="1625"/>
      <c r="AB1672" s="1667"/>
      <c r="AC1672" s="1640"/>
      <c r="AD1672" s="1635"/>
      <c r="AE1672" s="1764"/>
      <c r="AF1672" s="1085"/>
      <c r="AG1672" s="1086"/>
      <c r="AH1672" s="1087"/>
      <c r="AI1672" s="1087"/>
      <c r="AJ1672" s="1768"/>
      <c r="AK1672" s="1089">
        <v>10000</v>
      </c>
      <c r="AL1672" s="1090">
        <f t="shared" si="132"/>
        <v>0</v>
      </c>
      <c r="AM1672" s="1086"/>
      <c r="AN1672" s="1086"/>
      <c r="AO1672" s="1087"/>
      <c r="AP1672" s="1764"/>
      <c r="AQ1672" s="1087"/>
      <c r="AR1672" s="1764"/>
      <c r="AS1672" s="1764"/>
      <c r="AT1672" s="1086"/>
      <c r="AU1672" s="1768"/>
      <c r="AV1672" s="1814"/>
    </row>
    <row r="1673" spans="1:48" ht="16.5" customHeight="1">
      <c r="A1673" s="1658"/>
      <c r="B1673" s="1646" t="s">
        <v>18</v>
      </c>
      <c r="C1673" s="1623"/>
      <c r="D1673" s="1646"/>
      <c r="E1673" s="1623"/>
      <c r="F1673" s="1648"/>
      <c r="G1673" s="1646"/>
      <c r="H1673" s="1623"/>
      <c r="I1673" s="1931"/>
      <c r="J1673" s="1747"/>
      <c r="K1673" s="1631"/>
      <c r="L1673" s="1245"/>
      <c r="M1673" s="1320"/>
      <c r="N1673" s="1632"/>
      <c r="O1673" s="1647"/>
      <c r="P1673" s="1634"/>
      <c r="Q1673" s="1632"/>
      <c r="R1673" s="1665"/>
      <c r="S1673" s="1739"/>
      <c r="T1673" s="1634"/>
      <c r="U1673" s="1635">
        <v>4</v>
      </c>
      <c r="V1673" s="1636" t="s">
        <v>1070</v>
      </c>
      <c r="W1673" s="1714"/>
      <c r="X1673" s="1650"/>
      <c r="Y1673" s="1623"/>
      <c r="Z1673" s="1651" t="s">
        <v>1069</v>
      </c>
      <c r="AA1673" s="1625"/>
      <c r="AB1673" s="1667"/>
      <c r="AC1673" s="1640"/>
      <c r="AD1673" s="1635"/>
      <c r="AE1673" s="1764"/>
      <c r="AF1673" s="1085"/>
      <c r="AG1673" s="1086"/>
      <c r="AH1673" s="1087"/>
      <c r="AI1673" s="1087"/>
      <c r="AJ1673" s="1768"/>
      <c r="AK1673" s="1089">
        <v>1000</v>
      </c>
      <c r="AL1673" s="1090">
        <f t="shared" si="132"/>
        <v>0</v>
      </c>
      <c r="AM1673" s="1086"/>
      <c r="AN1673" s="1086"/>
      <c r="AO1673" s="1087"/>
      <c r="AP1673" s="1764"/>
      <c r="AQ1673" s="1087"/>
      <c r="AR1673" s="1764"/>
      <c r="AS1673" s="1764"/>
      <c r="AT1673" s="1086"/>
      <c r="AU1673" s="1768"/>
      <c r="AV1673" s="1814"/>
    </row>
    <row r="1674" spans="1:48" ht="16.5" customHeight="1">
      <c r="A1674" s="1818"/>
      <c r="B1674" s="1818" t="s">
        <v>12</v>
      </c>
      <c r="C1674" s="1803"/>
      <c r="D1674" s="1686"/>
      <c r="E1674" s="1803"/>
      <c r="F1674" s="1678"/>
      <c r="G1674" s="1686"/>
      <c r="H1674" s="1927"/>
      <c r="I1674" s="1932"/>
      <c r="J1674" s="1754"/>
      <c r="K1674" s="1682"/>
      <c r="L1674" s="1270"/>
      <c r="M1674" s="1549"/>
      <c r="N1674" s="1683"/>
      <c r="O1674" s="1781"/>
      <c r="P1674" s="1685"/>
      <c r="Q1674" s="1683"/>
      <c r="R1674" s="1686"/>
      <c r="S1674" s="1676"/>
      <c r="T1674" s="1685"/>
      <c r="U1674" s="1773">
        <v>5</v>
      </c>
      <c r="V1674" s="1718" t="s">
        <v>898</v>
      </c>
      <c r="W1674" s="1719"/>
      <c r="X1674" s="1720"/>
      <c r="Y1674" s="1721"/>
      <c r="Z1674" s="1787" t="s">
        <v>1068</v>
      </c>
      <c r="AA1674" s="1676"/>
      <c r="AB1674" s="1679"/>
      <c r="AC1674" s="1673"/>
      <c r="AD1674" s="1773"/>
      <c r="AE1674" s="1774"/>
      <c r="AF1674" s="1115"/>
      <c r="AG1674" s="1116"/>
      <c r="AH1674" s="1117"/>
      <c r="AI1674" s="1117"/>
      <c r="AJ1674" s="1775"/>
      <c r="AK1674" s="1119">
        <v>530</v>
      </c>
      <c r="AL1674" s="1120">
        <f t="shared" si="132"/>
        <v>0</v>
      </c>
      <c r="AM1674" s="1116"/>
      <c r="AN1674" s="1116"/>
      <c r="AO1674" s="1117"/>
      <c r="AP1674" s="1774"/>
      <c r="AQ1674" s="1117"/>
      <c r="AR1674" s="1774"/>
      <c r="AS1674" s="1774"/>
      <c r="AT1674" s="1116"/>
      <c r="AU1674" s="1775"/>
      <c r="AV1674" s="1820"/>
    </row>
    <row r="1675" spans="1:48" ht="16.5" customHeight="1">
      <c r="A1675" s="1935">
        <v>135</v>
      </c>
      <c r="B1675" s="1622" t="s">
        <v>25</v>
      </c>
      <c r="C1675" s="1623" t="s">
        <v>1067</v>
      </c>
      <c r="D1675" s="1622"/>
      <c r="E1675" s="1623"/>
      <c r="F1675" s="1730" t="s">
        <v>1066</v>
      </c>
      <c r="G1675" s="1797" t="s">
        <v>25</v>
      </c>
      <c r="H1675" s="1659" t="s">
        <v>1065</v>
      </c>
      <c r="I1675" s="1940">
        <v>1483</v>
      </c>
      <c r="J1675" s="1754" t="s">
        <v>41</v>
      </c>
      <c r="K1675" s="1631" t="s">
        <v>1064</v>
      </c>
      <c r="L1675" s="1245"/>
      <c r="M1675" s="1320"/>
      <c r="N1675" s="1632"/>
      <c r="O1675" s="1647"/>
      <c r="P1675" s="1634"/>
      <c r="Q1675" s="1632"/>
      <c r="R1675" s="1622" t="s">
        <v>25</v>
      </c>
      <c r="S1675" s="1625" t="s">
        <v>24</v>
      </c>
      <c r="T1675" s="1634"/>
      <c r="U1675" s="1635"/>
      <c r="V1675" s="1636"/>
      <c r="W1675" s="1714"/>
      <c r="X1675" s="1650"/>
      <c r="Y1675" s="1623"/>
      <c r="Z1675" s="1651"/>
      <c r="AA1675" s="1625"/>
      <c r="AB1675" s="1667"/>
      <c r="AC1675" s="1640"/>
      <c r="AD1675" s="1635"/>
      <c r="AE1675" s="1764"/>
      <c r="AF1675" s="1085">
        <f>Resum!F5</f>
        <v>170000</v>
      </c>
      <c r="AG1675" s="1086">
        <f>AF1675*I1675</f>
        <v>252110000</v>
      </c>
      <c r="AH1675" s="1087"/>
      <c r="AI1675" s="1087"/>
      <c r="AJ1675" s="1768"/>
      <c r="AK1675" s="1089"/>
      <c r="AL1675" s="1090"/>
      <c r="AM1675" s="1086">
        <f>SUM(AL1677:AL1679)</f>
        <v>6352500</v>
      </c>
      <c r="AN1675" s="1086">
        <f>AM1675+AJ1675+AG1675</f>
        <v>258462500</v>
      </c>
      <c r="AO1675" s="1087"/>
      <c r="AP1675" s="1136">
        <f>AI1676*15%</f>
        <v>0</v>
      </c>
      <c r="AQ1675" s="1087">
        <v>0</v>
      </c>
      <c r="AR1675" s="1136">
        <f>(AG1675+AI1675)*5%</f>
        <v>12605500</v>
      </c>
      <c r="AS1675" s="1087">
        <f>0.5%*(AG1675+AI1675)*(3)</f>
        <v>3781650</v>
      </c>
      <c r="AT1675" s="1086">
        <f>+AS1675+AR1675+AQ1675+AP1675+AO1675</f>
        <v>16387150</v>
      </c>
      <c r="AU1675" s="1137">
        <f>ROUND(AT1675+AN1675,-3)</f>
        <v>274850000</v>
      </c>
      <c r="AV1675" s="1814"/>
    </row>
    <row r="1676" spans="1:48" ht="16.5" customHeight="1">
      <c r="A1676" s="1658"/>
      <c r="B1676" s="1646" t="s">
        <v>16</v>
      </c>
      <c r="C1676" s="1647" t="s">
        <v>1063</v>
      </c>
      <c r="D1676" s="1646"/>
      <c r="E1676" s="1647"/>
      <c r="F1676" s="1648"/>
      <c r="G1676" s="1646" t="s">
        <v>16</v>
      </c>
      <c r="H1676" s="1623" t="s">
        <v>22</v>
      </c>
      <c r="I1676" s="1931"/>
      <c r="J1676" s="1930"/>
      <c r="K1676" s="1631"/>
      <c r="L1676" s="1245"/>
      <c r="M1676" s="1320"/>
      <c r="N1676" s="1632"/>
      <c r="O1676" s="1647"/>
      <c r="P1676" s="1634"/>
      <c r="Q1676" s="1632"/>
      <c r="R1676" s="1646"/>
      <c r="S1676" s="1625"/>
      <c r="T1676" s="1634"/>
      <c r="U1676" s="1635"/>
      <c r="V1676" s="1636"/>
      <c r="W1676" s="1714"/>
      <c r="X1676" s="1650"/>
      <c r="Y1676" s="1623"/>
      <c r="Z1676" s="1651"/>
      <c r="AA1676" s="1625"/>
      <c r="AB1676" s="1667"/>
      <c r="AC1676" s="1640"/>
      <c r="AD1676" s="1635"/>
      <c r="AE1676" s="1764"/>
      <c r="AF1676" s="1085"/>
      <c r="AG1676" s="1086"/>
      <c r="AH1676" s="1087"/>
      <c r="AI1676" s="1087"/>
      <c r="AJ1676" s="1768"/>
      <c r="AK1676" s="1089"/>
      <c r="AL1676" s="1090"/>
      <c r="AM1676" s="1086"/>
      <c r="AN1676" s="1086"/>
      <c r="AO1676" s="1087"/>
      <c r="AP1676" s="1764"/>
      <c r="AQ1676" s="1087"/>
      <c r="AR1676" s="1764"/>
      <c r="AS1676" s="1764"/>
      <c r="AT1676" s="1086"/>
      <c r="AU1676" s="1768"/>
      <c r="AV1676" s="1814"/>
    </row>
    <row r="1677" spans="1:48" ht="16.5" customHeight="1">
      <c r="A1677" s="1658"/>
      <c r="B1677" s="1646" t="s">
        <v>18</v>
      </c>
      <c r="C1677" s="1623" t="s">
        <v>60</v>
      </c>
      <c r="D1677" s="1646"/>
      <c r="E1677" s="1623"/>
      <c r="F1677" s="1648"/>
      <c r="G1677" s="1646" t="s">
        <v>18</v>
      </c>
      <c r="H1677" s="1623" t="s">
        <v>19</v>
      </c>
      <c r="I1677" s="1931"/>
      <c r="J1677" s="1930"/>
      <c r="K1677" s="1631"/>
      <c r="L1677" s="1245"/>
      <c r="M1677" s="1320"/>
      <c r="N1677" s="1632"/>
      <c r="O1677" s="1647"/>
      <c r="P1677" s="1634"/>
      <c r="Q1677" s="1632"/>
      <c r="R1677" s="1646" t="s">
        <v>16</v>
      </c>
      <c r="S1677" s="1625" t="s">
        <v>15</v>
      </c>
      <c r="T1677" s="1634">
        <v>2</v>
      </c>
      <c r="U1677" s="1635">
        <v>1</v>
      </c>
      <c r="V1677" s="1636" t="s">
        <v>1062</v>
      </c>
      <c r="W1677" s="1714"/>
      <c r="X1677" s="1650"/>
      <c r="Y1677" s="1623"/>
      <c r="Z1677" s="1651" t="s">
        <v>1061</v>
      </c>
      <c r="AA1677" s="1625"/>
      <c r="AB1677" s="1667"/>
      <c r="AC1677" s="1640"/>
      <c r="AD1677" s="1635"/>
      <c r="AE1677" s="1764"/>
      <c r="AF1677" s="1085"/>
      <c r="AG1677" s="1086"/>
      <c r="AH1677" s="1087"/>
      <c r="AI1677" s="1087"/>
      <c r="AJ1677" s="1768"/>
      <c r="AK1677" s="1089"/>
      <c r="AL1677" s="1090">
        <f t="shared" si="132"/>
        <v>0</v>
      </c>
      <c r="AM1677" s="1086"/>
      <c r="AN1677" s="1086"/>
      <c r="AO1677" s="1087"/>
      <c r="AP1677" s="1764"/>
      <c r="AQ1677" s="1087"/>
      <c r="AR1677" s="1764"/>
      <c r="AS1677" s="1764"/>
      <c r="AT1677" s="1086"/>
      <c r="AU1677" s="1768"/>
      <c r="AV1677" s="1814"/>
    </row>
    <row r="1678" spans="1:48" ht="49.5" customHeight="1">
      <c r="A1678" s="1658"/>
      <c r="B1678" s="1658" t="s">
        <v>12</v>
      </c>
      <c r="C1678" s="1659" t="s">
        <v>1060</v>
      </c>
      <c r="D1678" s="1658"/>
      <c r="E1678" s="1659"/>
      <c r="F1678" s="1648"/>
      <c r="G1678" s="1646"/>
      <c r="H1678" s="1807"/>
      <c r="I1678" s="1931"/>
      <c r="J1678" s="1930"/>
      <c r="K1678" s="1631"/>
      <c r="L1678" s="1245"/>
      <c r="M1678" s="1320"/>
      <c r="N1678" s="1632"/>
      <c r="O1678" s="1647"/>
      <c r="P1678" s="1634"/>
      <c r="Q1678" s="1632"/>
      <c r="R1678" s="1646"/>
      <c r="S1678" s="1625"/>
      <c r="T1678" s="1634"/>
      <c r="U1678" s="1635">
        <v>2</v>
      </c>
      <c r="V1678" s="1636" t="s">
        <v>14</v>
      </c>
      <c r="W1678" s="1714"/>
      <c r="X1678" s="1650"/>
      <c r="Y1678" s="1623">
        <v>55</v>
      </c>
      <c r="Z1678" s="1651">
        <f>SUM(W1678:Y1678)</f>
        <v>55</v>
      </c>
      <c r="AA1678" s="1625"/>
      <c r="AB1678" s="1667"/>
      <c r="AC1678" s="1640"/>
      <c r="AD1678" s="1635"/>
      <c r="AE1678" s="1764"/>
      <c r="AF1678" s="1085"/>
      <c r="AG1678" s="1086"/>
      <c r="AH1678" s="1087"/>
      <c r="AI1678" s="1087"/>
      <c r="AJ1678" s="1768"/>
      <c r="AK1678" s="1089">
        <v>115500</v>
      </c>
      <c r="AL1678" s="1087">
        <f>AK1678*Y1678</f>
        <v>6352500</v>
      </c>
      <c r="AM1678" s="1086"/>
      <c r="AN1678" s="1086"/>
      <c r="AO1678" s="1087"/>
      <c r="AP1678" s="1764"/>
      <c r="AQ1678" s="1087"/>
      <c r="AR1678" s="1764"/>
      <c r="AS1678" s="1764"/>
      <c r="AT1678" s="1086"/>
      <c r="AU1678" s="1768"/>
      <c r="AV1678" s="1814"/>
    </row>
    <row r="1679" spans="1:48" ht="16.5" customHeight="1">
      <c r="A1679" s="1818"/>
      <c r="B1679" s="1686" t="s">
        <v>8</v>
      </c>
      <c r="C1679" s="1819" t="s">
        <v>1059</v>
      </c>
      <c r="D1679" s="1686"/>
      <c r="E1679" s="1819"/>
      <c r="F1679" s="1678"/>
      <c r="G1679" s="1686"/>
      <c r="H1679" s="1927"/>
      <c r="I1679" s="1932"/>
      <c r="J1679" s="1930"/>
      <c r="K1679" s="1682"/>
      <c r="L1679" s="1245"/>
      <c r="M1679" s="1320"/>
      <c r="N1679" s="1632"/>
      <c r="O1679" s="1647"/>
      <c r="P1679" s="1634"/>
      <c r="Q1679" s="1632"/>
      <c r="R1679" s="1646"/>
      <c r="S1679" s="1625"/>
      <c r="T1679" s="1634"/>
      <c r="U1679" s="1635"/>
      <c r="V1679" s="1636"/>
      <c r="W1679" s="1714"/>
      <c r="X1679" s="1650"/>
      <c r="Y1679" s="1721"/>
      <c r="Z1679" s="1787"/>
      <c r="AA1679" s="1676"/>
      <c r="AB1679" s="1679"/>
      <c r="AC1679" s="1673"/>
      <c r="AD1679" s="1773"/>
      <c r="AE1679" s="1774"/>
      <c r="AF1679" s="1115"/>
      <c r="AG1679" s="1116"/>
      <c r="AH1679" s="1117"/>
      <c r="AI1679" s="1117"/>
      <c r="AJ1679" s="1775"/>
      <c r="AK1679" s="1119"/>
      <c r="AL1679" s="1120"/>
      <c r="AM1679" s="1116"/>
      <c r="AN1679" s="1116"/>
      <c r="AO1679" s="1117"/>
      <c r="AP1679" s="1774"/>
      <c r="AQ1679" s="1117"/>
      <c r="AR1679" s="1774"/>
      <c r="AS1679" s="1774"/>
      <c r="AT1679" s="1116"/>
      <c r="AU1679" s="1775"/>
      <c r="AV1679" s="1820"/>
    </row>
    <row r="1680" spans="1:48" ht="16.5" customHeight="1">
      <c r="A1680" s="1925">
        <v>136</v>
      </c>
      <c r="B1680" s="1699" t="s">
        <v>25</v>
      </c>
      <c r="C1680" s="1700" t="s">
        <v>1058</v>
      </c>
      <c r="D1680" s="1699"/>
      <c r="E1680" s="1700"/>
      <c r="F1680" s="1730" t="s">
        <v>1057</v>
      </c>
      <c r="G1680" s="1926" t="s">
        <v>25</v>
      </c>
      <c r="H1680" s="1792" t="s">
        <v>1033</v>
      </c>
      <c r="I1680" s="1706">
        <v>1354</v>
      </c>
      <c r="J1680" s="1930" t="s">
        <v>41</v>
      </c>
      <c r="K1680" s="1722" t="s">
        <v>1056</v>
      </c>
      <c r="L1680" s="1373"/>
      <c r="M1680" s="1317"/>
      <c r="N1680" s="1707"/>
      <c r="O1680" s="1920"/>
      <c r="P1680" s="1709"/>
      <c r="Q1680" s="1707"/>
      <c r="R1680" s="1699"/>
      <c r="S1680" s="1702"/>
      <c r="T1680" s="1709"/>
      <c r="U1680" s="1710"/>
      <c r="V1680" s="1711"/>
      <c r="W1680" s="1712"/>
      <c r="X1680" s="1713"/>
      <c r="Y1680" s="1700"/>
      <c r="Z1680" s="1761"/>
      <c r="AA1680" s="1702"/>
      <c r="AB1680" s="1809"/>
      <c r="AC1680" s="1641"/>
      <c r="AD1680" s="1710"/>
      <c r="AE1680" s="1766"/>
      <c r="AF1680" s="1056">
        <f>Resum!F5</f>
        <v>170000</v>
      </c>
      <c r="AG1680" s="1086">
        <f>AF1680*I1680</f>
        <v>230180000</v>
      </c>
      <c r="AH1680" s="1058"/>
      <c r="AI1680" s="1058"/>
      <c r="AJ1680" s="1767"/>
      <c r="AK1680" s="1060"/>
      <c r="AL1680" s="1090"/>
      <c r="AM1680" s="1057">
        <f>SUM(AL1680:AL1684)</f>
        <v>0</v>
      </c>
      <c r="AN1680" s="1086">
        <f>AM1680+AJ1680+AG1680</f>
        <v>230180000</v>
      </c>
      <c r="AO1680" s="1058"/>
      <c r="AP1680" s="1136">
        <f>AI1681*15%</f>
        <v>0</v>
      </c>
      <c r="AQ1680" s="1087">
        <v>0</v>
      </c>
      <c r="AR1680" s="1136">
        <f>(AG1680+AI1680)*5%</f>
        <v>11509000</v>
      </c>
      <c r="AS1680" s="1087">
        <f>0.5%*(AG1680+AI1680)*(3)</f>
        <v>3452700</v>
      </c>
      <c r="AT1680" s="1086">
        <f>+AS1680+AR1680+AQ1680+AP1680+AO1680</f>
        <v>14961700</v>
      </c>
      <c r="AU1680" s="1137">
        <f>ROUND(AT1680+AN1680,-3)</f>
        <v>245142000</v>
      </c>
      <c r="AV1680" s="1812"/>
    </row>
    <row r="1681" spans="1:48" ht="16.5" customHeight="1">
      <c r="A1681" s="1658"/>
      <c r="B1681" s="1646" t="s">
        <v>16</v>
      </c>
      <c r="C1681" s="1647" t="s">
        <v>1055</v>
      </c>
      <c r="D1681" s="1646"/>
      <c r="E1681" s="1647"/>
      <c r="F1681" s="1648"/>
      <c r="G1681" s="1646" t="s">
        <v>16</v>
      </c>
      <c r="H1681" s="1623" t="s">
        <v>22</v>
      </c>
      <c r="I1681" s="1629"/>
      <c r="J1681" s="1930"/>
      <c r="K1681" s="1631"/>
      <c r="L1681" s="1245"/>
      <c r="M1681" s="1320"/>
      <c r="N1681" s="1632"/>
      <c r="O1681" s="1647"/>
      <c r="P1681" s="1634"/>
      <c r="Q1681" s="1632"/>
      <c r="R1681" s="1646"/>
      <c r="S1681" s="1625"/>
      <c r="T1681" s="1634"/>
      <c r="U1681" s="1635"/>
      <c r="V1681" s="1636"/>
      <c r="W1681" s="1714"/>
      <c r="X1681" s="1650"/>
      <c r="Y1681" s="1623"/>
      <c r="Z1681" s="1651"/>
      <c r="AA1681" s="1625"/>
      <c r="AB1681" s="1667"/>
      <c r="AC1681" s="1640"/>
      <c r="AD1681" s="1635"/>
      <c r="AE1681" s="1764"/>
      <c r="AF1681" s="1085"/>
      <c r="AG1681" s="1086"/>
      <c r="AH1681" s="1087"/>
      <c r="AI1681" s="1087"/>
      <c r="AJ1681" s="1768"/>
      <c r="AK1681" s="1089"/>
      <c r="AL1681" s="1090"/>
      <c r="AM1681" s="1086"/>
      <c r="AN1681" s="1086"/>
      <c r="AO1681" s="1087"/>
      <c r="AP1681" s="1764"/>
      <c r="AQ1681" s="1087"/>
      <c r="AR1681" s="1764"/>
      <c r="AS1681" s="1764"/>
      <c r="AT1681" s="1086"/>
      <c r="AU1681" s="1768"/>
      <c r="AV1681" s="1814"/>
    </row>
    <row r="1682" spans="1:48" ht="16.5" customHeight="1">
      <c r="A1682" s="1658"/>
      <c r="B1682" s="1646" t="s">
        <v>18</v>
      </c>
      <c r="C1682" s="1623" t="s">
        <v>60</v>
      </c>
      <c r="D1682" s="1646"/>
      <c r="E1682" s="1623"/>
      <c r="F1682" s="1648"/>
      <c r="G1682" s="1646" t="s">
        <v>18</v>
      </c>
      <c r="H1682" s="1623" t="s">
        <v>19</v>
      </c>
      <c r="I1682" s="1629"/>
      <c r="J1682" s="1930"/>
      <c r="K1682" s="1631"/>
      <c r="L1682" s="1245"/>
      <c r="M1682" s="1320"/>
      <c r="N1682" s="1632"/>
      <c r="O1682" s="1647"/>
      <c r="P1682" s="1634"/>
      <c r="Q1682" s="1632"/>
      <c r="R1682" s="1646"/>
      <c r="S1682" s="1625"/>
      <c r="T1682" s="1634"/>
      <c r="U1682" s="1635"/>
      <c r="V1682" s="1636"/>
      <c r="W1682" s="1714"/>
      <c r="X1682" s="1650"/>
      <c r="Y1682" s="1623"/>
      <c r="Z1682" s="1651"/>
      <c r="AA1682" s="1625"/>
      <c r="AB1682" s="1667"/>
      <c r="AC1682" s="1640"/>
      <c r="AD1682" s="1635"/>
      <c r="AE1682" s="1764"/>
      <c r="AF1682" s="1085"/>
      <c r="AG1682" s="1086"/>
      <c r="AH1682" s="1087"/>
      <c r="AI1682" s="1087"/>
      <c r="AJ1682" s="1768"/>
      <c r="AK1682" s="1089"/>
      <c r="AL1682" s="1090"/>
      <c r="AM1682" s="1086"/>
      <c r="AN1682" s="1086"/>
      <c r="AO1682" s="1087"/>
      <c r="AP1682" s="1764"/>
      <c r="AQ1682" s="1087"/>
      <c r="AR1682" s="1764"/>
      <c r="AS1682" s="1764"/>
      <c r="AT1682" s="1086"/>
      <c r="AU1682" s="1768"/>
      <c r="AV1682" s="1814"/>
    </row>
    <row r="1683" spans="1:48" ht="49.5" customHeight="1">
      <c r="A1683" s="1658"/>
      <c r="B1683" s="1658" t="s">
        <v>12</v>
      </c>
      <c r="C1683" s="1659" t="s">
        <v>1054</v>
      </c>
      <c r="D1683" s="1646"/>
      <c r="E1683" s="1659"/>
      <c r="F1683" s="1648"/>
      <c r="G1683" s="1646"/>
      <c r="H1683" s="1807"/>
      <c r="I1683" s="1629"/>
      <c r="J1683" s="1930"/>
      <c r="K1683" s="1631"/>
      <c r="L1683" s="1245"/>
      <c r="M1683" s="1320"/>
      <c r="N1683" s="1632"/>
      <c r="O1683" s="1647"/>
      <c r="P1683" s="1634"/>
      <c r="Q1683" s="1632"/>
      <c r="R1683" s="1646"/>
      <c r="S1683" s="1625"/>
      <c r="T1683" s="1634"/>
      <c r="U1683" s="1635"/>
      <c r="V1683" s="1636"/>
      <c r="W1683" s="1714"/>
      <c r="X1683" s="1650"/>
      <c r="Y1683" s="1623"/>
      <c r="Z1683" s="1651"/>
      <c r="AA1683" s="1625"/>
      <c r="AB1683" s="1667"/>
      <c r="AC1683" s="1640"/>
      <c r="AD1683" s="1635"/>
      <c r="AE1683" s="1764"/>
      <c r="AF1683" s="1085"/>
      <c r="AG1683" s="1086"/>
      <c r="AH1683" s="1087"/>
      <c r="AI1683" s="1087"/>
      <c r="AJ1683" s="1768"/>
      <c r="AK1683" s="1089"/>
      <c r="AL1683" s="1090"/>
      <c r="AM1683" s="1086"/>
      <c r="AN1683" s="1086"/>
      <c r="AO1683" s="1087"/>
      <c r="AP1683" s="1764"/>
      <c r="AQ1683" s="1087"/>
      <c r="AR1683" s="1764"/>
      <c r="AS1683" s="1764"/>
      <c r="AT1683" s="1086"/>
      <c r="AU1683" s="1768"/>
      <c r="AV1683" s="1814"/>
    </row>
    <row r="1684" spans="1:48" ht="16.5" customHeight="1">
      <c r="A1684" s="1658"/>
      <c r="B1684" s="1646" t="s">
        <v>8</v>
      </c>
      <c r="C1684" s="1716" t="s">
        <v>1053</v>
      </c>
      <c r="D1684" s="1646"/>
      <c r="E1684" s="1659"/>
      <c r="F1684" s="1648"/>
      <c r="G1684" s="1646"/>
      <c r="H1684" s="1807"/>
      <c r="I1684" s="1629"/>
      <c r="J1684" s="1930"/>
      <c r="K1684" s="1682"/>
      <c r="L1684" s="1270"/>
      <c r="M1684" s="1549"/>
      <c r="N1684" s="1683"/>
      <c r="O1684" s="1781"/>
      <c r="P1684" s="1685"/>
      <c r="Q1684" s="1683"/>
      <c r="R1684" s="1686"/>
      <c r="S1684" s="1676"/>
      <c r="T1684" s="1685"/>
      <c r="U1684" s="1773"/>
      <c r="V1684" s="1718"/>
      <c r="W1684" s="1719"/>
      <c r="X1684" s="1720"/>
      <c r="Y1684" s="1721"/>
      <c r="Z1684" s="1787"/>
      <c r="AA1684" s="1676"/>
      <c r="AB1684" s="1679"/>
      <c r="AC1684" s="1673"/>
      <c r="AD1684" s="1773"/>
      <c r="AE1684" s="1774"/>
      <c r="AF1684" s="1115"/>
      <c r="AG1684" s="1116"/>
      <c r="AH1684" s="1117"/>
      <c r="AI1684" s="1117"/>
      <c r="AJ1684" s="1775"/>
      <c r="AK1684" s="1119"/>
      <c r="AL1684" s="1120"/>
      <c r="AM1684" s="1116"/>
      <c r="AN1684" s="1116"/>
      <c r="AO1684" s="1117"/>
      <c r="AP1684" s="1774"/>
      <c r="AQ1684" s="1117"/>
      <c r="AR1684" s="1774"/>
      <c r="AS1684" s="1774"/>
      <c r="AT1684" s="1116"/>
      <c r="AU1684" s="1775"/>
      <c r="AV1684" s="1820"/>
    </row>
    <row r="1685" spans="1:48" ht="16.5" customHeight="1">
      <c r="A1685" s="1925">
        <v>137</v>
      </c>
      <c r="B1685" s="1699" t="s">
        <v>25</v>
      </c>
      <c r="C1685" s="1700" t="s">
        <v>1052</v>
      </c>
      <c r="D1685" s="1699"/>
      <c r="E1685" s="1700"/>
      <c r="F1685" s="1730" t="s">
        <v>1051</v>
      </c>
      <c r="G1685" s="1926" t="s">
        <v>25</v>
      </c>
      <c r="H1685" s="1792" t="s">
        <v>1033</v>
      </c>
      <c r="I1685" s="1929">
        <v>5638</v>
      </c>
      <c r="J1685" s="1930" t="s">
        <v>41</v>
      </c>
      <c r="K1685" s="1722" t="s">
        <v>1050</v>
      </c>
      <c r="L1685" s="1373"/>
      <c r="M1685" s="1317"/>
      <c r="N1685" s="1707"/>
      <c r="O1685" s="1920"/>
      <c r="P1685" s="1709"/>
      <c r="Q1685" s="1707"/>
      <c r="R1685" s="1699" t="s">
        <v>25</v>
      </c>
      <c r="S1685" s="1702" t="s">
        <v>24</v>
      </c>
      <c r="T1685" s="1709"/>
      <c r="U1685" s="1710">
        <v>1</v>
      </c>
      <c r="V1685" s="1711" t="s">
        <v>58</v>
      </c>
      <c r="W1685" s="1712">
        <v>22</v>
      </c>
      <c r="X1685" s="1713"/>
      <c r="Y1685" s="1700"/>
      <c r="Z1685" s="1761">
        <f>SUM(W1685:Y1685)</f>
        <v>22</v>
      </c>
      <c r="AA1685" s="1702"/>
      <c r="AB1685" s="1809"/>
      <c r="AC1685" s="1641"/>
      <c r="AD1685" s="1710"/>
      <c r="AE1685" s="1766"/>
      <c r="AF1685" s="1056">
        <f>Resum!F5</f>
        <v>170000</v>
      </c>
      <c r="AG1685" s="1057">
        <f>AF1685*I1685</f>
        <v>958460000</v>
      </c>
      <c r="AH1685" s="1058"/>
      <c r="AI1685" s="1058"/>
      <c r="AJ1685" s="1767"/>
      <c r="AK1685" s="1060">
        <v>225000</v>
      </c>
      <c r="AL1685" s="1061">
        <f t="shared" si="132"/>
        <v>4950000</v>
      </c>
      <c r="AM1685" s="1057">
        <f>SUM(AL1685:AL1691)</f>
        <v>78090000</v>
      </c>
      <c r="AN1685" s="1057">
        <f>AM1685+AJ1685+AG1685</f>
        <v>1036550000</v>
      </c>
      <c r="AO1685" s="1058"/>
      <c r="AP1685" s="1548">
        <f>AI1686*15%</f>
        <v>0</v>
      </c>
      <c r="AQ1685" s="1058">
        <v>0</v>
      </c>
      <c r="AR1685" s="1548">
        <f>(AG1685+AI1685)*5%</f>
        <v>47923000</v>
      </c>
      <c r="AS1685" s="1058">
        <f>0.5%*(AG1685+AI1685)*(3)</f>
        <v>14376900</v>
      </c>
      <c r="AT1685" s="1057">
        <f>+AS1685+AR1685+AQ1685+AP1685+AO1685</f>
        <v>62299900</v>
      </c>
      <c r="AU1685" s="2015">
        <f>ROUND(AT1685+AN1685,-3)</f>
        <v>1098850000</v>
      </c>
      <c r="AV1685" s="1812"/>
    </row>
    <row r="1686" spans="1:48" ht="16.5" customHeight="1">
      <c r="A1686" s="1658"/>
      <c r="B1686" s="1646" t="s">
        <v>16</v>
      </c>
      <c r="C1686" s="1647" t="s">
        <v>1049</v>
      </c>
      <c r="D1686" s="1646"/>
      <c r="E1686" s="1647"/>
      <c r="F1686" s="1648"/>
      <c r="G1686" s="1646" t="s">
        <v>16</v>
      </c>
      <c r="H1686" s="1623" t="s">
        <v>22</v>
      </c>
      <c r="I1686" s="1931"/>
      <c r="J1686" s="1930"/>
      <c r="K1686" s="1631"/>
      <c r="L1686" s="1245"/>
      <c r="M1686" s="1320"/>
      <c r="N1686" s="1632"/>
      <c r="O1686" s="1647"/>
      <c r="P1686" s="1634"/>
      <c r="Q1686" s="1632"/>
      <c r="R1686" s="1646"/>
      <c r="S1686" s="1625"/>
      <c r="T1686" s="1634"/>
      <c r="U1686" s="1635">
        <v>2</v>
      </c>
      <c r="V1686" s="1636" t="s">
        <v>109</v>
      </c>
      <c r="W1686" s="1714">
        <v>20</v>
      </c>
      <c r="X1686" s="1650"/>
      <c r="Y1686" s="1623"/>
      <c r="Z1686" s="1651">
        <f>SUM(W1686:Y1686)</f>
        <v>20</v>
      </c>
      <c r="AA1686" s="1625"/>
      <c r="AB1686" s="1667"/>
      <c r="AC1686" s="1640"/>
      <c r="AD1686" s="1635"/>
      <c r="AE1686" s="1764"/>
      <c r="AF1686" s="1085"/>
      <c r="AG1686" s="1086"/>
      <c r="AH1686" s="1087"/>
      <c r="AI1686" s="1087"/>
      <c r="AJ1686" s="1768"/>
      <c r="AK1686" s="1300">
        <v>40000</v>
      </c>
      <c r="AL1686" s="1090">
        <f t="shared" si="132"/>
        <v>800000</v>
      </c>
      <c r="AM1686" s="1086"/>
      <c r="AN1686" s="1086"/>
      <c r="AO1686" s="1087"/>
      <c r="AP1686" s="1764"/>
      <c r="AQ1686" s="1087"/>
      <c r="AR1686" s="1764"/>
      <c r="AS1686" s="1764"/>
      <c r="AT1686" s="1086"/>
      <c r="AU1686" s="1768"/>
      <c r="AV1686" s="1814"/>
    </row>
    <row r="1687" spans="1:48" ht="16.5" customHeight="1">
      <c r="A1687" s="1658"/>
      <c r="B1687" s="1646" t="s">
        <v>18</v>
      </c>
      <c r="C1687" s="1623" t="s">
        <v>124</v>
      </c>
      <c r="D1687" s="1646"/>
      <c r="E1687" s="1623"/>
      <c r="F1687" s="1648"/>
      <c r="G1687" s="1646" t="s">
        <v>18</v>
      </c>
      <c r="H1687" s="1623" t="s">
        <v>19</v>
      </c>
      <c r="I1687" s="1931"/>
      <c r="J1687" s="1930"/>
      <c r="K1687" s="1631"/>
      <c r="L1687" s="1245"/>
      <c r="M1687" s="1320"/>
      <c r="N1687" s="1632"/>
      <c r="O1687" s="1647"/>
      <c r="P1687" s="1634"/>
      <c r="Q1687" s="1632"/>
      <c r="R1687" s="1646"/>
      <c r="S1687" s="1625"/>
      <c r="T1687" s="1634"/>
      <c r="U1687" s="1635">
        <v>3</v>
      </c>
      <c r="V1687" s="1636" t="s">
        <v>88</v>
      </c>
      <c r="W1687" s="1714">
        <v>30</v>
      </c>
      <c r="X1687" s="1650"/>
      <c r="Y1687" s="1623"/>
      <c r="Z1687" s="1651">
        <f>SUM(W1687:Y1687)</f>
        <v>30</v>
      </c>
      <c r="AA1687" s="1625"/>
      <c r="AB1687" s="1667"/>
      <c r="AC1687" s="1640"/>
      <c r="AD1687" s="1635"/>
      <c r="AE1687" s="1764"/>
      <c r="AF1687" s="1085"/>
      <c r="AG1687" s="1086"/>
      <c r="AH1687" s="1087"/>
      <c r="AI1687" s="1087"/>
      <c r="AJ1687" s="1768"/>
      <c r="AK1687" s="1089">
        <v>73000</v>
      </c>
      <c r="AL1687" s="1090">
        <f t="shared" si="132"/>
        <v>2190000</v>
      </c>
      <c r="AM1687" s="1086"/>
      <c r="AN1687" s="1086"/>
      <c r="AO1687" s="1087"/>
      <c r="AP1687" s="1764"/>
      <c r="AQ1687" s="1087"/>
      <c r="AR1687" s="1764"/>
      <c r="AS1687" s="1764"/>
      <c r="AT1687" s="1086"/>
      <c r="AU1687" s="1768"/>
      <c r="AV1687" s="1814"/>
    </row>
    <row r="1688" spans="1:48" ht="49.5" customHeight="1">
      <c r="A1688" s="1658"/>
      <c r="B1688" s="1658" t="s">
        <v>12</v>
      </c>
      <c r="C1688" s="1659" t="s">
        <v>1048</v>
      </c>
      <c r="D1688" s="1646"/>
      <c r="E1688" s="1623"/>
      <c r="F1688" s="1648"/>
      <c r="G1688" s="1646"/>
      <c r="H1688" s="1623"/>
      <c r="I1688" s="1931"/>
      <c r="J1688" s="1930"/>
      <c r="K1688" s="1631"/>
      <c r="L1688" s="1245"/>
      <c r="M1688" s="1320"/>
      <c r="N1688" s="1632"/>
      <c r="O1688" s="1647"/>
      <c r="P1688" s="1634"/>
      <c r="Q1688" s="1632"/>
      <c r="R1688" s="1646"/>
      <c r="S1688" s="1625"/>
      <c r="T1688" s="1634"/>
      <c r="U1688" s="1635">
        <v>4</v>
      </c>
      <c r="V1688" s="1636" t="s">
        <v>56</v>
      </c>
      <c r="W1688" s="1714"/>
      <c r="X1688" s="1650"/>
      <c r="Y1688" s="1623">
        <v>25</v>
      </c>
      <c r="Z1688" s="1651">
        <f>SUM(W1688:Y1688)</f>
        <v>25</v>
      </c>
      <c r="AA1688" s="1625"/>
      <c r="AB1688" s="1667"/>
      <c r="AC1688" s="1640"/>
      <c r="AD1688" s="1635"/>
      <c r="AE1688" s="1764"/>
      <c r="AF1688" s="1085"/>
      <c r="AG1688" s="1086"/>
      <c r="AH1688" s="1087"/>
      <c r="AI1688" s="1087"/>
      <c r="AJ1688" s="1768"/>
      <c r="AK1688" s="1089">
        <v>10000</v>
      </c>
      <c r="AL1688" s="1090">
        <f>AK1688*Y1688</f>
        <v>250000</v>
      </c>
      <c r="AM1688" s="1086"/>
      <c r="AN1688" s="1086"/>
      <c r="AO1688" s="1087"/>
      <c r="AP1688" s="1764"/>
      <c r="AQ1688" s="1087"/>
      <c r="AR1688" s="1764"/>
      <c r="AS1688" s="1764"/>
      <c r="AT1688" s="1086"/>
      <c r="AU1688" s="1768"/>
      <c r="AV1688" s="1814"/>
    </row>
    <row r="1689" spans="1:48" ht="16.5" customHeight="1">
      <c r="A1689" s="1658"/>
      <c r="B1689" s="1646" t="s">
        <v>8</v>
      </c>
      <c r="C1689" s="1662" t="s">
        <v>1047</v>
      </c>
      <c r="D1689" s="1646"/>
      <c r="E1689" s="1623"/>
      <c r="F1689" s="1648"/>
      <c r="G1689" s="1646"/>
      <c r="H1689" s="1623"/>
      <c r="I1689" s="1931"/>
      <c r="J1689" s="1930"/>
      <c r="K1689" s="1631"/>
      <c r="L1689" s="1245"/>
      <c r="M1689" s="1320"/>
      <c r="N1689" s="1632"/>
      <c r="O1689" s="1647"/>
      <c r="P1689" s="1634"/>
      <c r="Q1689" s="1632"/>
      <c r="R1689" s="1646"/>
      <c r="S1689" s="1625"/>
      <c r="T1689" s="1634"/>
      <c r="U1689" s="1635">
        <v>5</v>
      </c>
      <c r="V1689" s="1636" t="s">
        <v>91</v>
      </c>
      <c r="W1689" s="1714"/>
      <c r="X1689" s="1650"/>
      <c r="Y1689" s="1623">
        <v>75</v>
      </c>
      <c r="Z1689" s="1651">
        <f>SUM(W1689:Y1689)</f>
        <v>75</v>
      </c>
      <c r="AA1689" s="1625"/>
      <c r="AB1689" s="1667"/>
      <c r="AC1689" s="1640"/>
      <c r="AD1689" s="1635"/>
      <c r="AE1689" s="1764"/>
      <c r="AF1689" s="1085"/>
      <c r="AG1689" s="1086"/>
      <c r="AH1689" s="1087"/>
      <c r="AI1689" s="1087"/>
      <c r="AJ1689" s="1768"/>
      <c r="AK1689" s="1089">
        <v>8000</v>
      </c>
      <c r="AL1689" s="1090">
        <f>AK1689*Y1689</f>
        <v>600000</v>
      </c>
      <c r="AM1689" s="1086"/>
      <c r="AN1689" s="1086"/>
      <c r="AO1689" s="1087"/>
      <c r="AP1689" s="1764"/>
      <c r="AQ1689" s="1087"/>
      <c r="AR1689" s="1764"/>
      <c r="AS1689" s="1764"/>
      <c r="AT1689" s="1086"/>
      <c r="AU1689" s="1768"/>
      <c r="AV1689" s="1814"/>
    </row>
    <row r="1690" spans="1:48" ht="16.5" customHeight="1">
      <c r="A1690" s="1658"/>
      <c r="B1690" s="1646"/>
      <c r="C1690" s="1662"/>
      <c r="D1690" s="1646"/>
      <c r="E1690" s="1623"/>
      <c r="F1690" s="1648"/>
      <c r="G1690" s="1646"/>
      <c r="H1690" s="1623"/>
      <c r="I1690" s="1931"/>
      <c r="J1690" s="1930"/>
      <c r="K1690" s="1631"/>
      <c r="L1690" s="1245"/>
      <c r="M1690" s="1320"/>
      <c r="N1690" s="1632"/>
      <c r="O1690" s="1647"/>
      <c r="P1690" s="1634"/>
      <c r="Q1690" s="1632"/>
      <c r="R1690" s="1646"/>
      <c r="S1690" s="1625"/>
      <c r="T1690" s="1634"/>
      <c r="U1690" s="1635"/>
      <c r="V1690" s="1636"/>
      <c r="W1690" s="1714"/>
      <c r="X1690" s="1650"/>
      <c r="Y1690" s="1623"/>
      <c r="Z1690" s="1651"/>
      <c r="AA1690" s="1625"/>
      <c r="AB1690" s="1667"/>
      <c r="AC1690" s="1640"/>
      <c r="AD1690" s="1635"/>
      <c r="AE1690" s="1764"/>
      <c r="AF1690" s="1085"/>
      <c r="AG1690" s="1086"/>
      <c r="AH1690" s="1087"/>
      <c r="AI1690" s="1087"/>
      <c r="AJ1690" s="1768"/>
      <c r="AK1690" s="1089"/>
      <c r="AL1690" s="1090">
        <f t="shared" ref="AL1690:AL1715" si="133">AK1690*W1690</f>
        <v>0</v>
      </c>
      <c r="AM1690" s="1086"/>
      <c r="AN1690" s="1086"/>
      <c r="AO1690" s="1087"/>
      <c r="AP1690" s="1764"/>
      <c r="AQ1690" s="1087"/>
      <c r="AR1690" s="1764"/>
      <c r="AS1690" s="1764"/>
      <c r="AT1690" s="1086"/>
      <c r="AU1690" s="1768"/>
      <c r="AV1690" s="1814"/>
    </row>
    <row r="1691" spans="1:48" ht="16.5" customHeight="1">
      <c r="A1691" s="1658"/>
      <c r="B1691" s="1646"/>
      <c r="C1691" s="1662"/>
      <c r="D1691" s="1646"/>
      <c r="E1691" s="1623"/>
      <c r="F1691" s="1648"/>
      <c r="G1691" s="1646"/>
      <c r="H1691" s="1623"/>
      <c r="I1691" s="1931"/>
      <c r="J1691" s="1930"/>
      <c r="K1691" s="1631"/>
      <c r="L1691" s="1245"/>
      <c r="M1691" s="1320"/>
      <c r="N1691" s="1632"/>
      <c r="O1691" s="1647"/>
      <c r="P1691" s="1634"/>
      <c r="Q1691" s="1632"/>
      <c r="R1691" s="1646" t="s">
        <v>16</v>
      </c>
      <c r="S1691" s="1625" t="s">
        <v>15</v>
      </c>
      <c r="T1691" s="1634"/>
      <c r="U1691" s="1635">
        <v>1</v>
      </c>
      <c r="V1691" s="1636" t="s">
        <v>14</v>
      </c>
      <c r="W1691" s="1714"/>
      <c r="X1691" s="1650"/>
      <c r="Y1691" s="1623">
        <v>600</v>
      </c>
      <c r="Z1691" s="1651">
        <f>SUM(W1691:Y1691)</f>
        <v>600</v>
      </c>
      <c r="AA1691" s="1625"/>
      <c r="AB1691" s="1667"/>
      <c r="AC1691" s="1640"/>
      <c r="AD1691" s="1635"/>
      <c r="AE1691" s="1764"/>
      <c r="AF1691" s="1085"/>
      <c r="AG1691" s="1086"/>
      <c r="AH1691" s="1087"/>
      <c r="AI1691" s="1087"/>
      <c r="AJ1691" s="1768"/>
      <c r="AK1691" s="1089">
        <v>115500</v>
      </c>
      <c r="AL1691" s="1087">
        <f>AK1691*Y1691</f>
        <v>69300000</v>
      </c>
      <c r="AM1691" s="1086"/>
      <c r="AN1691" s="1086"/>
      <c r="AO1691" s="1087"/>
      <c r="AP1691" s="1764"/>
      <c r="AQ1691" s="1087"/>
      <c r="AR1691" s="1764"/>
      <c r="AS1691" s="1764"/>
      <c r="AT1691" s="1086"/>
      <c r="AU1691" s="1768"/>
      <c r="AV1691" s="1814"/>
    </row>
    <row r="1692" spans="1:48" ht="16.5" customHeight="1">
      <c r="A1692" s="1658"/>
      <c r="B1692" s="1665"/>
      <c r="C1692" s="1666"/>
      <c r="D1692" s="1658"/>
      <c r="E1692" s="1659"/>
      <c r="F1692" s="1648"/>
      <c r="G1692" s="1646"/>
      <c r="H1692" s="1807"/>
      <c r="I1692" s="1931"/>
      <c r="J1692" s="1930"/>
      <c r="K1692" s="1631"/>
      <c r="L1692" s="1245"/>
      <c r="M1692" s="1320"/>
      <c r="N1692" s="1632"/>
      <c r="O1692" s="1647"/>
      <c r="P1692" s="1634"/>
      <c r="Q1692" s="1632"/>
      <c r="R1692" s="1646"/>
      <c r="S1692" s="1625"/>
      <c r="T1692" s="1634"/>
      <c r="U1692" s="1635">
        <v>2</v>
      </c>
      <c r="V1692" s="1636" t="s">
        <v>926</v>
      </c>
      <c r="W1692" s="1714"/>
      <c r="X1692" s="1650"/>
      <c r="Y1692" s="1623"/>
      <c r="Z1692" s="1651">
        <v>55</v>
      </c>
      <c r="AA1692" s="1625"/>
      <c r="AB1692" s="1667"/>
      <c r="AC1692" s="1640"/>
      <c r="AD1692" s="1635"/>
      <c r="AE1692" s="1764"/>
      <c r="AF1692" s="1085"/>
      <c r="AG1692" s="1086"/>
      <c r="AH1692" s="1087"/>
      <c r="AI1692" s="1087"/>
      <c r="AJ1692" s="1768"/>
      <c r="AK1692" s="1089"/>
      <c r="AL1692" s="1090"/>
      <c r="AM1692" s="1086"/>
      <c r="AN1692" s="1086"/>
      <c r="AO1692" s="1087"/>
      <c r="AP1692" s="1764"/>
      <c r="AQ1692" s="1087"/>
      <c r="AR1692" s="1764"/>
      <c r="AS1692" s="1764"/>
      <c r="AT1692" s="1086"/>
      <c r="AU1692" s="1768"/>
      <c r="AV1692" s="1814"/>
    </row>
    <row r="1693" spans="1:48" ht="16.5" customHeight="1">
      <c r="A1693" s="1818"/>
      <c r="B1693" s="1674"/>
      <c r="C1693" s="1675"/>
      <c r="D1693" s="1818"/>
      <c r="E1693" s="1803"/>
      <c r="F1693" s="1678"/>
      <c r="G1693" s="1686"/>
      <c r="H1693" s="1927"/>
      <c r="I1693" s="1932"/>
      <c r="J1693" s="1930"/>
      <c r="K1693" s="1682"/>
      <c r="L1693" s="1270"/>
      <c r="M1693" s="1549"/>
      <c r="N1693" s="1683"/>
      <c r="O1693" s="1781"/>
      <c r="P1693" s="1685"/>
      <c r="Q1693" s="1683"/>
      <c r="R1693" s="1686"/>
      <c r="S1693" s="1676"/>
      <c r="T1693" s="1685"/>
      <c r="U1693" s="1773"/>
      <c r="V1693" s="1718"/>
      <c r="W1693" s="1719"/>
      <c r="X1693" s="1720"/>
      <c r="Y1693" s="1721"/>
      <c r="Z1693" s="1787"/>
      <c r="AA1693" s="1676"/>
      <c r="AB1693" s="1679"/>
      <c r="AC1693" s="1673"/>
      <c r="AD1693" s="1773"/>
      <c r="AE1693" s="1774"/>
      <c r="AF1693" s="1115"/>
      <c r="AG1693" s="1116"/>
      <c r="AH1693" s="1117"/>
      <c r="AI1693" s="1117"/>
      <c r="AJ1693" s="1775"/>
      <c r="AK1693" s="1119"/>
      <c r="AL1693" s="1120"/>
      <c r="AM1693" s="1116"/>
      <c r="AN1693" s="1116"/>
      <c r="AO1693" s="1117"/>
      <c r="AP1693" s="1774"/>
      <c r="AQ1693" s="1117"/>
      <c r="AR1693" s="1774"/>
      <c r="AS1693" s="1774"/>
      <c r="AT1693" s="1116"/>
      <c r="AU1693" s="1775"/>
      <c r="AV1693" s="1820"/>
    </row>
    <row r="1694" spans="1:48" ht="33" customHeight="1">
      <c r="A1694" s="1925">
        <v>138</v>
      </c>
      <c r="B1694" s="1699" t="s">
        <v>25</v>
      </c>
      <c r="C1694" s="1700" t="s">
        <v>1046</v>
      </c>
      <c r="D1694" s="1699"/>
      <c r="E1694" s="1700"/>
      <c r="F1694" s="1730" t="s">
        <v>1045</v>
      </c>
      <c r="G1694" s="1926" t="s">
        <v>25</v>
      </c>
      <c r="H1694" s="1792"/>
      <c r="I1694" s="1933">
        <v>398</v>
      </c>
      <c r="J1694" s="1746"/>
      <c r="K1694" s="1722"/>
      <c r="L1694" s="1373"/>
      <c r="M1694" s="1317"/>
      <c r="N1694" s="1707" t="s">
        <v>25</v>
      </c>
      <c r="O1694" s="1920" t="s">
        <v>62</v>
      </c>
      <c r="P1694" s="1709">
        <v>1</v>
      </c>
      <c r="Q1694" s="1707">
        <v>56.31</v>
      </c>
      <c r="R1694" s="1699"/>
      <c r="S1694" s="1702"/>
      <c r="T1694" s="1709"/>
      <c r="U1694" s="1710"/>
      <c r="V1694" s="1711"/>
      <c r="W1694" s="1712"/>
      <c r="X1694" s="1713"/>
      <c r="Y1694" s="1700"/>
      <c r="Z1694" s="1761"/>
      <c r="AA1694" s="1702"/>
      <c r="AB1694" s="1809"/>
      <c r="AC1694" s="1641"/>
      <c r="AD1694" s="1710"/>
      <c r="AE1694" s="1766"/>
      <c r="AF1694" s="1056">
        <f>Resum!F1</f>
        <v>356000</v>
      </c>
      <c r="AG1694" s="1086">
        <f>AF1694*I1694</f>
        <v>141688000</v>
      </c>
      <c r="AH1694" s="1058">
        <v>430000</v>
      </c>
      <c r="AI1694" s="1089">
        <f>AH1694*Q1694*0.5</f>
        <v>12106650</v>
      </c>
      <c r="AJ1694" s="1811">
        <f>SUM(AI1694:AI1703)</f>
        <v>145912275</v>
      </c>
      <c r="AK1694" s="1060"/>
      <c r="AL1694" s="1090"/>
      <c r="AM1694" s="1057"/>
      <c r="AN1694" s="1086">
        <f>AM1694+AJ1694+AG1694</f>
        <v>287600275</v>
      </c>
      <c r="AO1694" s="1058"/>
      <c r="AP1694" s="1136">
        <f>(73692000+AI1696)*15%</f>
        <v>28392206.25</v>
      </c>
      <c r="AQ1694" s="1087">
        <f>(AG1694+AI1696)*1%</f>
        <v>2572773.75</v>
      </c>
      <c r="AR1694" s="1136">
        <f>(AG1694+AI1696)*5%</f>
        <v>12863868.75</v>
      </c>
      <c r="AS1694" s="1087">
        <f>0.5%*(AG1694+AI1696)*(3)</f>
        <v>3859160.625</v>
      </c>
      <c r="AT1694" s="1086">
        <f>+AS1694+AR1694+AQ1694+AP1694+AO1694</f>
        <v>47688009.375</v>
      </c>
      <c r="AU1694" s="1137">
        <f>ROUND(AT1694+AN1694,-3)</f>
        <v>335288000</v>
      </c>
      <c r="AV1694" s="1812"/>
    </row>
    <row r="1695" spans="1:48" ht="16.5" customHeight="1">
      <c r="A1695" s="1935"/>
      <c r="B1695" s="1646" t="s">
        <v>16</v>
      </c>
      <c r="C1695" s="1623"/>
      <c r="D1695" s="1622"/>
      <c r="E1695" s="1623"/>
      <c r="F1695" s="1648"/>
      <c r="G1695" s="1797"/>
      <c r="H1695" s="1659"/>
      <c r="I1695" s="1931"/>
      <c r="J1695" s="1747"/>
      <c r="K1695" s="1631"/>
      <c r="L1695" s="1245"/>
      <c r="M1695" s="1320"/>
      <c r="N1695" s="1632" t="s">
        <v>16</v>
      </c>
      <c r="O1695" s="1633" t="s">
        <v>1044</v>
      </c>
      <c r="P1695" s="1634">
        <v>1</v>
      </c>
      <c r="Q1695" s="1632">
        <v>8.75</v>
      </c>
      <c r="R1695" s="1622"/>
      <c r="S1695" s="1625"/>
      <c r="T1695" s="1634"/>
      <c r="U1695" s="1635"/>
      <c r="V1695" s="1636"/>
      <c r="W1695" s="1714"/>
      <c r="X1695" s="1650"/>
      <c r="Y1695" s="1623"/>
      <c r="Z1695" s="1651"/>
      <c r="AA1695" s="1625"/>
      <c r="AB1695" s="1667"/>
      <c r="AC1695" s="1640"/>
      <c r="AD1695" s="1635"/>
      <c r="AE1695" s="1764"/>
      <c r="AF1695" s="1085"/>
      <c r="AG1695" s="1086"/>
      <c r="AH1695" s="1087">
        <v>100000</v>
      </c>
      <c r="AI1695" s="1089">
        <f>AH1695*Q1695*0.85</f>
        <v>743750</v>
      </c>
      <c r="AJ1695" s="1768"/>
      <c r="AK1695" s="1089"/>
      <c r="AL1695" s="1090"/>
      <c r="AM1695" s="1086"/>
      <c r="AN1695" s="1086"/>
      <c r="AO1695" s="1087"/>
      <c r="AP1695" s="1764"/>
      <c r="AQ1695" s="1087"/>
      <c r="AR1695" s="1764"/>
      <c r="AS1695" s="1764"/>
      <c r="AT1695" s="1086"/>
      <c r="AU1695" s="1768"/>
      <c r="AV1695" s="1814"/>
    </row>
    <row r="1696" spans="1:48" ht="16.5" customHeight="1">
      <c r="A1696" s="1935"/>
      <c r="B1696" s="1646" t="s">
        <v>18</v>
      </c>
      <c r="C1696" s="1623"/>
      <c r="D1696" s="1622"/>
      <c r="E1696" s="1623"/>
      <c r="F1696" s="1648"/>
      <c r="G1696" s="1797"/>
      <c r="H1696" s="1659"/>
      <c r="I1696" s="1931"/>
      <c r="J1696" s="1747"/>
      <c r="K1696" s="1631"/>
      <c r="L1696" s="1245"/>
      <c r="M1696" s="1320"/>
      <c r="N1696" s="1632" t="s">
        <v>18</v>
      </c>
      <c r="O1696" s="1633" t="s">
        <v>26</v>
      </c>
      <c r="P1696" s="1634">
        <v>1</v>
      </c>
      <c r="Q1696" s="1632">
        <v>53.75</v>
      </c>
      <c r="R1696" s="1622"/>
      <c r="S1696" s="1625"/>
      <c r="T1696" s="1634"/>
      <c r="U1696" s="1635"/>
      <c r="V1696" s="1636"/>
      <c r="W1696" s="1714"/>
      <c r="X1696" s="1650"/>
      <c r="Y1696" s="1623"/>
      <c r="Z1696" s="1651"/>
      <c r="AA1696" s="1625"/>
      <c r="AB1696" s="1667"/>
      <c r="AC1696" s="1640"/>
      <c r="AD1696" s="1635"/>
      <c r="AE1696" s="1764"/>
      <c r="AF1696" s="1085"/>
      <c r="AG1696" s="1086"/>
      <c r="AH1696" s="1087">
        <v>2530000</v>
      </c>
      <c r="AI1696" s="1089">
        <f>AH1696*Q1696*0.85</f>
        <v>115589375</v>
      </c>
      <c r="AJ1696" s="1768"/>
      <c r="AK1696" s="1089"/>
      <c r="AL1696" s="1090"/>
      <c r="AM1696" s="1086"/>
      <c r="AN1696" s="1086"/>
      <c r="AO1696" s="1087"/>
      <c r="AP1696" s="1764"/>
      <c r="AQ1696" s="1087"/>
      <c r="AR1696" s="1764"/>
      <c r="AS1696" s="1764"/>
      <c r="AT1696" s="1086"/>
      <c r="AU1696" s="1768"/>
      <c r="AV1696" s="1814"/>
    </row>
    <row r="1697" spans="1:48" ht="16.5" customHeight="1">
      <c r="A1697" s="1935"/>
      <c r="B1697" s="1658" t="s">
        <v>12</v>
      </c>
      <c r="C1697" s="1623"/>
      <c r="D1697" s="1622"/>
      <c r="E1697" s="1623"/>
      <c r="F1697" s="1648"/>
      <c r="G1697" s="1797"/>
      <c r="H1697" s="1659"/>
      <c r="I1697" s="1931"/>
      <c r="J1697" s="1747"/>
      <c r="K1697" s="1631"/>
      <c r="L1697" s="1245"/>
      <c r="M1697" s="1320"/>
      <c r="N1697" s="1632" t="s">
        <v>12</v>
      </c>
      <c r="O1697" s="1633" t="s">
        <v>395</v>
      </c>
      <c r="P1697" s="1634">
        <v>1</v>
      </c>
      <c r="Q1697" s="1632">
        <v>5</v>
      </c>
      <c r="R1697" s="1622"/>
      <c r="S1697" s="1625"/>
      <c r="T1697" s="1634"/>
      <c r="U1697" s="1635"/>
      <c r="V1697" s="1636"/>
      <c r="W1697" s="1714"/>
      <c r="X1697" s="1650"/>
      <c r="Y1697" s="1623"/>
      <c r="Z1697" s="1651"/>
      <c r="AA1697" s="1625"/>
      <c r="AB1697" s="1667"/>
      <c r="AC1697" s="1640"/>
      <c r="AD1697" s="1635"/>
      <c r="AE1697" s="1764"/>
      <c r="AF1697" s="1085"/>
      <c r="AG1697" s="1086"/>
      <c r="AH1697" s="1087">
        <v>350000</v>
      </c>
      <c r="AI1697" s="1089">
        <f>AH1697*Q1697*0.75</f>
        <v>1312500</v>
      </c>
      <c r="AJ1697" s="1768"/>
      <c r="AK1697" s="1089"/>
      <c r="AL1697" s="1090"/>
      <c r="AM1697" s="1086"/>
      <c r="AN1697" s="1086"/>
      <c r="AO1697" s="1087"/>
      <c r="AP1697" s="1764"/>
      <c r="AQ1697" s="1087"/>
      <c r="AR1697" s="1764"/>
      <c r="AS1697" s="1764"/>
      <c r="AT1697" s="1086"/>
      <c r="AU1697" s="1768"/>
      <c r="AV1697" s="1814"/>
    </row>
    <row r="1698" spans="1:48" ht="16.5" customHeight="1">
      <c r="A1698" s="1935"/>
      <c r="B1698" s="1658" t="s">
        <v>8</v>
      </c>
      <c r="C1698" s="1623"/>
      <c r="D1698" s="1622"/>
      <c r="E1698" s="1623"/>
      <c r="F1698" s="1648"/>
      <c r="G1698" s="1797"/>
      <c r="H1698" s="1659"/>
      <c r="I1698" s="1931"/>
      <c r="J1698" s="1747"/>
      <c r="K1698" s="1631"/>
      <c r="L1698" s="1245"/>
      <c r="M1698" s="1320"/>
      <c r="N1698" s="1632" t="s">
        <v>8</v>
      </c>
      <c r="O1698" s="1633" t="s">
        <v>1043</v>
      </c>
      <c r="P1698" s="1634">
        <v>1</v>
      </c>
      <c r="Q1698" s="1632">
        <v>7</v>
      </c>
      <c r="R1698" s="1622"/>
      <c r="S1698" s="1625"/>
      <c r="T1698" s="1634"/>
      <c r="U1698" s="1635"/>
      <c r="V1698" s="1636"/>
      <c r="W1698" s="1714"/>
      <c r="X1698" s="1650"/>
      <c r="Y1698" s="1623"/>
      <c r="Z1698" s="1651"/>
      <c r="AA1698" s="1625"/>
      <c r="AB1698" s="1667"/>
      <c r="AC1698" s="1640"/>
      <c r="AD1698" s="1635"/>
      <c r="AE1698" s="1764"/>
      <c r="AF1698" s="1085"/>
      <c r="AG1698" s="1086"/>
      <c r="AH1698" s="1087">
        <v>210000</v>
      </c>
      <c r="AI1698" s="1089">
        <f>AH1698*Q1698*0.5</f>
        <v>735000</v>
      </c>
      <c r="AJ1698" s="1768"/>
      <c r="AK1698" s="1089"/>
      <c r="AL1698" s="1090"/>
      <c r="AM1698" s="1086"/>
      <c r="AN1698" s="1086"/>
      <c r="AO1698" s="1087"/>
      <c r="AP1698" s="1764"/>
      <c r="AQ1698" s="1087"/>
      <c r="AR1698" s="1764"/>
      <c r="AS1698" s="1764"/>
      <c r="AT1698" s="1086"/>
      <c r="AU1698" s="1768"/>
      <c r="AV1698" s="1814"/>
    </row>
    <row r="1699" spans="1:48" ht="16.5" customHeight="1">
      <c r="A1699" s="1935"/>
      <c r="B1699" s="1622"/>
      <c r="C1699" s="1623"/>
      <c r="D1699" s="1622"/>
      <c r="E1699" s="1623"/>
      <c r="F1699" s="1648"/>
      <c r="G1699" s="1797"/>
      <c r="H1699" s="1659"/>
      <c r="I1699" s="1931"/>
      <c r="J1699" s="1747"/>
      <c r="K1699" s="1631"/>
      <c r="L1699" s="1245"/>
      <c r="M1699" s="1320"/>
      <c r="N1699" s="1632" t="s">
        <v>54</v>
      </c>
      <c r="O1699" s="1633" t="s">
        <v>733</v>
      </c>
      <c r="P1699" s="1634">
        <v>2</v>
      </c>
      <c r="Q1699" s="1632"/>
      <c r="R1699" s="1622"/>
      <c r="S1699" s="1625"/>
      <c r="T1699" s="1634"/>
      <c r="U1699" s="1635"/>
      <c r="V1699" s="1636"/>
      <c r="W1699" s="1714"/>
      <c r="X1699" s="1650"/>
      <c r="Y1699" s="1623"/>
      <c r="Z1699" s="1651"/>
      <c r="AA1699" s="1625"/>
      <c r="AB1699" s="1667"/>
      <c r="AC1699" s="1640"/>
      <c r="AD1699" s="1635"/>
      <c r="AE1699" s="1764"/>
      <c r="AF1699" s="1085"/>
      <c r="AG1699" s="1086"/>
      <c r="AH1699" s="1087">
        <v>3000000</v>
      </c>
      <c r="AI1699" s="1089">
        <f>AH1699*P1699*0.5</f>
        <v>3000000</v>
      </c>
      <c r="AJ1699" s="1768"/>
      <c r="AK1699" s="1089"/>
      <c r="AL1699" s="1090"/>
      <c r="AM1699" s="1086"/>
      <c r="AN1699" s="1086"/>
      <c r="AO1699" s="1087"/>
      <c r="AP1699" s="1764"/>
      <c r="AQ1699" s="1087"/>
      <c r="AR1699" s="1764"/>
      <c r="AS1699" s="1764"/>
      <c r="AT1699" s="1086"/>
      <c r="AU1699" s="1768"/>
      <c r="AV1699" s="1814"/>
    </row>
    <row r="1700" spans="1:48" ht="16.5" customHeight="1">
      <c r="A1700" s="1658"/>
      <c r="B1700" s="1665"/>
      <c r="C1700" s="1647"/>
      <c r="D1700" s="1646"/>
      <c r="E1700" s="1647"/>
      <c r="F1700" s="1648"/>
      <c r="G1700" s="1646" t="s">
        <v>16</v>
      </c>
      <c r="H1700" s="1623"/>
      <c r="I1700" s="1931"/>
      <c r="J1700" s="1747"/>
      <c r="K1700" s="1631"/>
      <c r="L1700" s="1245"/>
      <c r="M1700" s="1320"/>
      <c r="N1700" s="1632" t="s">
        <v>53</v>
      </c>
      <c r="O1700" s="1954" t="s">
        <v>1042</v>
      </c>
      <c r="P1700" s="1634">
        <v>1</v>
      </c>
      <c r="Q1700" s="1632"/>
      <c r="R1700" s="1646"/>
      <c r="S1700" s="1625"/>
      <c r="T1700" s="1634"/>
      <c r="U1700" s="1635"/>
      <c r="V1700" s="1636"/>
      <c r="W1700" s="1714"/>
      <c r="X1700" s="1650"/>
      <c r="Y1700" s="1623"/>
      <c r="Z1700" s="1651"/>
      <c r="AA1700" s="1625"/>
      <c r="AB1700" s="1667"/>
      <c r="AC1700" s="1640"/>
      <c r="AD1700" s="1635"/>
      <c r="AE1700" s="1764"/>
      <c r="AF1700" s="1085"/>
      <c r="AG1700" s="1086"/>
      <c r="AH1700" s="1087">
        <v>2500000</v>
      </c>
      <c r="AI1700" s="1089">
        <f>AH1700*P1700*0.5</f>
        <v>1250000</v>
      </c>
      <c r="AJ1700" s="1768"/>
      <c r="AK1700" s="1089"/>
      <c r="AL1700" s="1090"/>
      <c r="AM1700" s="1086"/>
      <c r="AN1700" s="1086"/>
      <c r="AO1700" s="1087"/>
      <c r="AP1700" s="1764"/>
      <c r="AQ1700" s="1087"/>
      <c r="AR1700" s="1764"/>
      <c r="AS1700" s="1764"/>
      <c r="AT1700" s="1086"/>
      <c r="AU1700" s="1768"/>
      <c r="AV1700" s="1814"/>
    </row>
    <row r="1701" spans="1:48" ht="16.5" customHeight="1">
      <c r="A1701" s="1658"/>
      <c r="B1701" s="1665"/>
      <c r="C1701" s="1623"/>
      <c r="D1701" s="1646"/>
      <c r="E1701" s="1623"/>
      <c r="F1701" s="1648"/>
      <c r="G1701" s="1646" t="s">
        <v>18</v>
      </c>
      <c r="H1701" s="1623"/>
      <c r="I1701" s="1931"/>
      <c r="J1701" s="1747"/>
      <c r="K1701" s="1631"/>
      <c r="L1701" s="1245"/>
      <c r="M1701" s="1320"/>
      <c r="N1701" s="1632" t="s">
        <v>51</v>
      </c>
      <c r="O1701" s="1647" t="s">
        <v>11</v>
      </c>
      <c r="P1701" s="1634">
        <v>2</v>
      </c>
      <c r="Q1701" s="1632"/>
      <c r="R1701" s="1646"/>
      <c r="S1701" s="1625"/>
      <c r="T1701" s="1634"/>
      <c r="U1701" s="1635"/>
      <c r="V1701" s="1636"/>
      <c r="W1701" s="1714"/>
      <c r="X1701" s="1650"/>
      <c r="Y1701" s="1623"/>
      <c r="Z1701" s="1651"/>
      <c r="AA1701" s="1625"/>
      <c r="AB1701" s="1667"/>
      <c r="AC1701" s="1640"/>
      <c r="AD1701" s="1635"/>
      <c r="AE1701" s="1764"/>
      <c r="AF1701" s="1085"/>
      <c r="AG1701" s="1086"/>
      <c r="AH1701" s="1087">
        <v>2500000</v>
      </c>
      <c r="AI1701" s="1089">
        <f>AH1701*P1701*0.75</f>
        <v>3750000</v>
      </c>
      <c r="AJ1701" s="1768"/>
      <c r="AK1701" s="1089"/>
      <c r="AL1701" s="1090"/>
      <c r="AM1701" s="1086"/>
      <c r="AN1701" s="1086"/>
      <c r="AO1701" s="1087"/>
      <c r="AP1701" s="1764"/>
      <c r="AQ1701" s="1087"/>
      <c r="AR1701" s="1764"/>
      <c r="AS1701" s="1764"/>
      <c r="AT1701" s="1086"/>
      <c r="AU1701" s="1768"/>
      <c r="AV1701" s="1814"/>
    </row>
    <row r="1702" spans="1:48" ht="16.5" customHeight="1">
      <c r="A1702" s="1658"/>
      <c r="B1702" s="1665"/>
      <c r="C1702" s="1659"/>
      <c r="D1702" s="1646"/>
      <c r="E1702" s="1659"/>
      <c r="F1702" s="1648"/>
      <c r="G1702" s="1646"/>
      <c r="H1702" s="1807"/>
      <c r="I1702" s="1931"/>
      <c r="J1702" s="1747"/>
      <c r="K1702" s="1631"/>
      <c r="L1702" s="1245"/>
      <c r="M1702" s="1320"/>
      <c r="N1702" s="1632" t="s">
        <v>154</v>
      </c>
      <c r="O1702" s="1647" t="s">
        <v>7</v>
      </c>
      <c r="P1702" s="1634"/>
      <c r="Q1702" s="1632">
        <v>23.2</v>
      </c>
      <c r="R1702" s="1646"/>
      <c r="S1702" s="1625"/>
      <c r="T1702" s="1634"/>
      <c r="U1702" s="1635"/>
      <c r="V1702" s="1636"/>
      <c r="W1702" s="1714"/>
      <c r="X1702" s="1650"/>
      <c r="Y1702" s="1623"/>
      <c r="Z1702" s="1651"/>
      <c r="AA1702" s="1625"/>
      <c r="AB1702" s="1667"/>
      <c r="AC1702" s="1640"/>
      <c r="AD1702" s="1635"/>
      <c r="AE1702" s="1764"/>
      <c r="AF1702" s="1085"/>
      <c r="AG1702" s="1086"/>
      <c r="AH1702" s="1087">
        <v>300000</v>
      </c>
      <c r="AI1702" s="1089">
        <f>AH1702*Q1702*0.5</f>
        <v>3480000</v>
      </c>
      <c r="AJ1702" s="1768"/>
      <c r="AK1702" s="1089"/>
      <c r="AL1702" s="1090"/>
      <c r="AM1702" s="1086"/>
      <c r="AN1702" s="1086"/>
      <c r="AO1702" s="1087"/>
      <c r="AP1702" s="1764"/>
      <c r="AQ1702" s="1087"/>
      <c r="AR1702" s="1764"/>
      <c r="AS1702" s="1764"/>
      <c r="AT1702" s="1086"/>
      <c r="AU1702" s="1768"/>
      <c r="AV1702" s="1814"/>
    </row>
    <row r="1703" spans="1:48" ht="16.5" customHeight="1">
      <c r="A1703" s="1658"/>
      <c r="B1703" s="1674"/>
      <c r="C1703" s="1780"/>
      <c r="D1703" s="1646"/>
      <c r="E1703" s="1659"/>
      <c r="F1703" s="1678"/>
      <c r="G1703" s="1646"/>
      <c r="H1703" s="1807"/>
      <c r="I1703" s="1931"/>
      <c r="J1703" s="1747"/>
      <c r="K1703" s="1682"/>
      <c r="L1703" s="1270"/>
      <c r="M1703" s="1549"/>
      <c r="N1703" s="1632" t="s">
        <v>172</v>
      </c>
      <c r="O1703" s="1647" t="s">
        <v>121</v>
      </c>
      <c r="P1703" s="1634"/>
      <c r="Q1703" s="1632">
        <v>26.3</v>
      </c>
      <c r="R1703" s="1646"/>
      <c r="S1703" s="1625"/>
      <c r="T1703" s="1634"/>
      <c r="U1703" s="1635"/>
      <c r="V1703" s="1636"/>
      <c r="W1703" s="1714"/>
      <c r="X1703" s="1650"/>
      <c r="Y1703" s="1721"/>
      <c r="Z1703" s="1787"/>
      <c r="AA1703" s="1676"/>
      <c r="AB1703" s="1679"/>
      <c r="AC1703" s="1673"/>
      <c r="AD1703" s="1773"/>
      <c r="AE1703" s="1774"/>
      <c r="AF1703" s="1115"/>
      <c r="AG1703" s="1116"/>
      <c r="AH1703" s="1117">
        <v>300000</v>
      </c>
      <c r="AI1703" s="1089">
        <f t="shared" ref="AI1703" si="134">AH1703*Q1703*0.5</f>
        <v>3945000</v>
      </c>
      <c r="AJ1703" s="1775"/>
      <c r="AK1703" s="1119"/>
      <c r="AL1703" s="1120"/>
      <c r="AM1703" s="1116"/>
      <c r="AN1703" s="1116"/>
      <c r="AO1703" s="1117"/>
      <c r="AP1703" s="1774"/>
      <c r="AQ1703" s="1117"/>
      <c r="AR1703" s="1774"/>
      <c r="AS1703" s="1774"/>
      <c r="AT1703" s="1116"/>
      <c r="AU1703" s="1775"/>
      <c r="AV1703" s="1820"/>
    </row>
    <row r="1704" spans="1:48" ht="16.5" customHeight="1">
      <c r="A1704" s="1955">
        <v>139</v>
      </c>
      <c r="B1704" s="1956" t="s">
        <v>25</v>
      </c>
      <c r="C1704" s="1700" t="s">
        <v>1041</v>
      </c>
      <c r="D1704" s="1956"/>
      <c r="E1704" s="1957"/>
      <c r="F1704" s="1730" t="s">
        <v>1997</v>
      </c>
      <c r="G1704" s="1956" t="s">
        <v>25</v>
      </c>
      <c r="H1704" s="1957" t="s">
        <v>1033</v>
      </c>
      <c r="I1704" s="1746">
        <v>6461</v>
      </c>
      <c r="J1704" s="1930" t="s">
        <v>41</v>
      </c>
      <c r="K1704" s="1722" t="s">
        <v>1040</v>
      </c>
      <c r="L1704" s="1245"/>
      <c r="M1704" s="1320"/>
      <c r="N1704" s="1707"/>
      <c r="O1704" s="1920"/>
      <c r="P1704" s="1709"/>
      <c r="Q1704" s="1707"/>
      <c r="R1704" s="1699" t="s">
        <v>25</v>
      </c>
      <c r="S1704" s="1702" t="s">
        <v>24</v>
      </c>
      <c r="T1704" s="1709">
        <v>1</v>
      </c>
      <c r="U1704" s="1710">
        <v>1</v>
      </c>
      <c r="V1704" s="1711" t="s">
        <v>109</v>
      </c>
      <c r="W1704" s="1712"/>
      <c r="X1704" s="1713">
        <v>60</v>
      </c>
      <c r="Y1704" s="1700"/>
      <c r="Z1704" s="1761">
        <f>SUM(W1704:Y1704)</f>
        <v>60</v>
      </c>
      <c r="AA1704" s="1702"/>
      <c r="AB1704" s="1809"/>
      <c r="AC1704" s="1641"/>
      <c r="AD1704" s="1710"/>
      <c r="AE1704" s="1766"/>
      <c r="AF1704" s="1056">
        <f>Resum!F5</f>
        <v>170000</v>
      </c>
      <c r="AG1704" s="1086">
        <f>AF1704*I1704</f>
        <v>1098370000</v>
      </c>
      <c r="AH1704" s="1058"/>
      <c r="AI1704" s="1058"/>
      <c r="AJ1704" s="1767"/>
      <c r="AK1704" s="1060">
        <v>25000</v>
      </c>
      <c r="AL1704" s="1090">
        <f>AK1704*X1704</f>
        <v>1500000</v>
      </c>
      <c r="AM1704" s="1057">
        <f>SUM(AL1704:AL1709)</f>
        <v>2550000</v>
      </c>
      <c r="AN1704" s="1086">
        <f>AM1704+AJ1704+AG1704</f>
        <v>1100920000</v>
      </c>
      <c r="AO1704" s="1058"/>
      <c r="AP1704" s="1136">
        <f>AI1705*15%</f>
        <v>0</v>
      </c>
      <c r="AQ1704" s="1087">
        <v>0</v>
      </c>
      <c r="AR1704" s="1136">
        <f>(AG1704+AI1704)*5%</f>
        <v>54918500</v>
      </c>
      <c r="AS1704" s="1087">
        <f>0.5%*(AG1704+AI1704)*(3)</f>
        <v>16475550</v>
      </c>
      <c r="AT1704" s="1086">
        <f>+AS1704+AR1704+AQ1704+AP1704+AO1704</f>
        <v>71394050</v>
      </c>
      <c r="AU1704" s="1137">
        <f>ROUND(AT1704+AN1704,-3)</f>
        <v>1172314000</v>
      </c>
      <c r="AV1704" s="1812"/>
    </row>
    <row r="1705" spans="1:48" ht="16.5" customHeight="1">
      <c r="A1705" s="1665"/>
      <c r="B1705" s="1665" t="s">
        <v>16</v>
      </c>
      <c r="C1705" s="1647" t="s">
        <v>1039</v>
      </c>
      <c r="D1705" s="1665"/>
      <c r="E1705" s="1666"/>
      <c r="F1705" s="1648"/>
      <c r="G1705" s="1665" t="s">
        <v>16</v>
      </c>
      <c r="H1705" s="1666" t="s">
        <v>22</v>
      </c>
      <c r="I1705" s="1747"/>
      <c r="J1705" s="1930"/>
      <c r="K1705" s="1631"/>
      <c r="L1705" s="1245"/>
      <c r="M1705" s="1320"/>
      <c r="N1705" s="1632"/>
      <c r="O1705" s="1647"/>
      <c r="P1705" s="1634"/>
      <c r="Q1705" s="1632"/>
      <c r="R1705" s="1646"/>
      <c r="S1705" s="1625"/>
      <c r="T1705" s="1634"/>
      <c r="U1705" s="1635"/>
      <c r="V1705" s="1636"/>
      <c r="W1705" s="1714"/>
      <c r="X1705" s="1650"/>
      <c r="Y1705" s="1623"/>
      <c r="Z1705" s="1651"/>
      <c r="AA1705" s="1625"/>
      <c r="AB1705" s="1667"/>
      <c r="AC1705" s="1640"/>
      <c r="AD1705" s="1635"/>
      <c r="AE1705" s="1764"/>
      <c r="AF1705" s="1085"/>
      <c r="AG1705" s="1086"/>
      <c r="AH1705" s="1087"/>
      <c r="AI1705" s="1087"/>
      <c r="AJ1705" s="1768"/>
      <c r="AK1705" s="1089"/>
      <c r="AL1705" s="1090"/>
      <c r="AM1705" s="1086"/>
      <c r="AN1705" s="1086"/>
      <c r="AO1705" s="1087"/>
      <c r="AP1705" s="1764"/>
      <c r="AQ1705" s="1087"/>
      <c r="AR1705" s="1764"/>
      <c r="AS1705" s="1764"/>
      <c r="AT1705" s="1086"/>
      <c r="AU1705" s="1768"/>
      <c r="AV1705" s="1814"/>
    </row>
    <row r="1706" spans="1:48" ht="16.5" customHeight="1">
      <c r="A1706" s="1665"/>
      <c r="B1706" s="1665" t="s">
        <v>18</v>
      </c>
      <c r="C1706" s="1623" t="s">
        <v>1038</v>
      </c>
      <c r="D1706" s="1665"/>
      <c r="E1706" s="1666"/>
      <c r="F1706" s="1648"/>
      <c r="G1706" s="1665" t="s">
        <v>18</v>
      </c>
      <c r="H1706" s="1666" t="s">
        <v>19</v>
      </c>
      <c r="I1706" s="1747"/>
      <c r="J1706" s="1930"/>
      <c r="K1706" s="1631"/>
      <c r="L1706" s="1245"/>
      <c r="M1706" s="1320"/>
      <c r="N1706" s="1632"/>
      <c r="O1706" s="1647"/>
      <c r="P1706" s="1634"/>
      <c r="Q1706" s="1632"/>
      <c r="R1706" s="1646" t="s">
        <v>16</v>
      </c>
      <c r="S1706" s="1625" t="s">
        <v>15</v>
      </c>
      <c r="T1706" s="1634">
        <v>1</v>
      </c>
      <c r="U1706" s="1635">
        <v>1</v>
      </c>
      <c r="V1706" s="1636" t="s">
        <v>14</v>
      </c>
      <c r="W1706" s="1714">
        <v>3</v>
      </c>
      <c r="X1706" s="1650"/>
      <c r="Y1706" s="1623"/>
      <c r="Z1706" s="1651">
        <f>SUM(W1706:Y1706)</f>
        <v>3</v>
      </c>
      <c r="AA1706" s="1625"/>
      <c r="AB1706" s="1667"/>
      <c r="AC1706" s="1640"/>
      <c r="AD1706" s="1635"/>
      <c r="AE1706" s="1764"/>
      <c r="AF1706" s="1085"/>
      <c r="AG1706" s="1086"/>
      <c r="AH1706" s="1087"/>
      <c r="AI1706" s="1087"/>
      <c r="AJ1706" s="1768"/>
      <c r="AK1706" s="1089">
        <v>350000</v>
      </c>
      <c r="AL1706" s="1087">
        <f t="shared" si="133"/>
        <v>1050000</v>
      </c>
      <c r="AM1706" s="1086"/>
      <c r="AN1706" s="1086"/>
      <c r="AO1706" s="1087"/>
      <c r="AP1706" s="1764"/>
      <c r="AQ1706" s="1087"/>
      <c r="AR1706" s="1764"/>
      <c r="AS1706" s="1764"/>
      <c r="AT1706" s="1086"/>
      <c r="AU1706" s="1768"/>
      <c r="AV1706" s="1814"/>
    </row>
    <row r="1707" spans="1:48" ht="66" customHeight="1">
      <c r="A1707" s="1665"/>
      <c r="B1707" s="1658" t="s">
        <v>12</v>
      </c>
      <c r="C1707" s="1659" t="s">
        <v>1037</v>
      </c>
      <c r="D1707" s="1665"/>
      <c r="E1707" s="1666"/>
      <c r="F1707" s="1648"/>
      <c r="G1707" s="1665"/>
      <c r="H1707" s="1666"/>
      <c r="I1707" s="1747"/>
      <c r="J1707" s="1930"/>
      <c r="K1707" s="1631"/>
      <c r="L1707" s="1245"/>
      <c r="M1707" s="1320"/>
      <c r="N1707" s="1632"/>
      <c r="O1707" s="1647"/>
      <c r="P1707" s="1634"/>
      <c r="Q1707" s="1632"/>
      <c r="R1707" s="1646"/>
      <c r="S1707" s="1625"/>
      <c r="T1707" s="1634"/>
      <c r="U1707" s="1635"/>
      <c r="V1707" s="1636"/>
      <c r="W1707" s="1714"/>
      <c r="X1707" s="1650"/>
      <c r="Y1707" s="1623"/>
      <c r="Z1707" s="1651"/>
      <c r="AA1707" s="1625"/>
      <c r="AB1707" s="1667"/>
      <c r="AC1707" s="1640"/>
      <c r="AD1707" s="1635"/>
      <c r="AE1707" s="1764"/>
      <c r="AF1707" s="1085"/>
      <c r="AG1707" s="1086"/>
      <c r="AH1707" s="1087"/>
      <c r="AI1707" s="1087"/>
      <c r="AJ1707" s="1768"/>
      <c r="AK1707" s="1089"/>
      <c r="AL1707" s="1090">
        <f t="shared" si="133"/>
        <v>0</v>
      </c>
      <c r="AM1707" s="1086"/>
      <c r="AN1707" s="1086"/>
      <c r="AO1707" s="1087"/>
      <c r="AP1707" s="1764"/>
      <c r="AQ1707" s="1087"/>
      <c r="AR1707" s="1764"/>
      <c r="AS1707" s="1764"/>
      <c r="AT1707" s="1086"/>
      <c r="AU1707" s="1768"/>
      <c r="AV1707" s="1814"/>
    </row>
    <row r="1708" spans="1:48" ht="16.5" customHeight="1">
      <c r="A1708" s="1665"/>
      <c r="B1708" s="1665" t="s">
        <v>8</v>
      </c>
      <c r="C1708" s="1716" t="s">
        <v>1036</v>
      </c>
      <c r="D1708" s="1665"/>
      <c r="E1708" s="1666"/>
      <c r="F1708" s="1648"/>
      <c r="G1708" s="1665"/>
      <c r="H1708" s="1666"/>
      <c r="I1708" s="1747"/>
      <c r="J1708" s="1930"/>
      <c r="K1708" s="1631"/>
      <c r="L1708" s="1245"/>
      <c r="M1708" s="1320"/>
      <c r="N1708" s="1632"/>
      <c r="O1708" s="1647"/>
      <c r="P1708" s="1634"/>
      <c r="Q1708" s="1632"/>
      <c r="R1708" s="1646"/>
      <c r="S1708" s="1625"/>
      <c r="T1708" s="1634"/>
      <c r="U1708" s="1635"/>
      <c r="V1708" s="1636"/>
      <c r="W1708" s="1714"/>
      <c r="X1708" s="1650"/>
      <c r="Y1708" s="1623"/>
      <c r="Z1708" s="1651"/>
      <c r="AA1708" s="1625"/>
      <c r="AB1708" s="1667"/>
      <c r="AC1708" s="1640"/>
      <c r="AD1708" s="1635"/>
      <c r="AE1708" s="1764"/>
      <c r="AF1708" s="1085"/>
      <c r="AG1708" s="1086"/>
      <c r="AH1708" s="1087"/>
      <c r="AI1708" s="1087"/>
      <c r="AJ1708" s="1768"/>
      <c r="AK1708" s="1089"/>
      <c r="AL1708" s="1090"/>
      <c r="AM1708" s="1086"/>
      <c r="AN1708" s="1086"/>
      <c r="AO1708" s="1087"/>
      <c r="AP1708" s="1764"/>
      <c r="AQ1708" s="1087"/>
      <c r="AR1708" s="1764"/>
      <c r="AS1708" s="1764"/>
      <c r="AT1708" s="1086"/>
      <c r="AU1708" s="1768"/>
      <c r="AV1708" s="1814"/>
    </row>
    <row r="1709" spans="1:48" ht="16.5" customHeight="1">
      <c r="A1709" s="1674"/>
      <c r="B1709" s="1674"/>
      <c r="C1709" s="1675"/>
      <c r="D1709" s="1674"/>
      <c r="E1709" s="1675"/>
      <c r="F1709" s="1678"/>
      <c r="G1709" s="1674"/>
      <c r="H1709" s="1675"/>
      <c r="I1709" s="1754"/>
      <c r="J1709" s="1930"/>
      <c r="K1709" s="1631"/>
      <c r="L1709" s="1245"/>
      <c r="M1709" s="1320"/>
      <c r="N1709" s="1683"/>
      <c r="O1709" s="1781"/>
      <c r="P1709" s="1685"/>
      <c r="Q1709" s="1683"/>
      <c r="R1709" s="1686"/>
      <c r="S1709" s="1676"/>
      <c r="T1709" s="1685"/>
      <c r="U1709" s="1773"/>
      <c r="V1709" s="1718"/>
      <c r="W1709" s="1719"/>
      <c r="X1709" s="1720"/>
      <c r="Y1709" s="1721"/>
      <c r="Z1709" s="1787"/>
      <c r="AA1709" s="1676"/>
      <c r="AB1709" s="1679"/>
      <c r="AC1709" s="1673"/>
      <c r="AD1709" s="1773"/>
      <c r="AE1709" s="1774"/>
      <c r="AF1709" s="1115"/>
      <c r="AG1709" s="1116"/>
      <c r="AH1709" s="1117"/>
      <c r="AI1709" s="1117"/>
      <c r="AJ1709" s="1775"/>
      <c r="AK1709" s="1119"/>
      <c r="AL1709" s="1120"/>
      <c r="AM1709" s="1116"/>
      <c r="AN1709" s="1116"/>
      <c r="AO1709" s="1117"/>
      <c r="AP1709" s="1774"/>
      <c r="AQ1709" s="1117"/>
      <c r="AR1709" s="1774"/>
      <c r="AS1709" s="1774"/>
      <c r="AT1709" s="1116"/>
      <c r="AU1709" s="1775"/>
      <c r="AV1709" s="1820"/>
    </row>
    <row r="1710" spans="1:48" ht="16.5" customHeight="1">
      <c r="A1710" s="1925">
        <v>140</v>
      </c>
      <c r="B1710" s="1699" t="s">
        <v>69</v>
      </c>
      <c r="C1710" s="1700" t="s">
        <v>1035</v>
      </c>
      <c r="D1710" s="1956"/>
      <c r="E1710" s="1957"/>
      <c r="F1710" s="1730" t="s">
        <v>1034</v>
      </c>
      <c r="G1710" s="1926" t="s">
        <v>25</v>
      </c>
      <c r="H1710" s="1792" t="s">
        <v>1033</v>
      </c>
      <c r="I1710" s="1958">
        <v>495</v>
      </c>
      <c r="J1710" s="1930" t="s">
        <v>41</v>
      </c>
      <c r="K1710" s="1722" t="s">
        <v>1032</v>
      </c>
      <c r="L1710" s="1373"/>
      <c r="M1710" s="1317"/>
      <c r="N1710" s="1632"/>
      <c r="O1710" s="1647"/>
      <c r="P1710" s="1634"/>
      <c r="Q1710" s="1632"/>
      <c r="R1710" s="1699" t="s">
        <v>25</v>
      </c>
      <c r="S1710" s="1702" t="s">
        <v>24</v>
      </c>
      <c r="T1710" s="1634">
        <v>3</v>
      </c>
      <c r="U1710" s="1635">
        <v>1</v>
      </c>
      <c r="V1710" s="1636" t="s">
        <v>58</v>
      </c>
      <c r="W1710" s="1714">
        <v>5</v>
      </c>
      <c r="X1710" s="1650"/>
      <c r="Y1710" s="1623"/>
      <c r="Z1710" s="1651">
        <f>SUM(W1710:Y1710)</f>
        <v>5</v>
      </c>
      <c r="AA1710" s="1625"/>
      <c r="AB1710" s="1667"/>
      <c r="AC1710" s="1640"/>
      <c r="AD1710" s="1635"/>
      <c r="AE1710" s="1764"/>
      <c r="AF1710" s="1085">
        <f>Resum!F5</f>
        <v>170000</v>
      </c>
      <c r="AG1710" s="1086">
        <f>AF1710*I1710</f>
        <v>84150000</v>
      </c>
      <c r="AH1710" s="1087"/>
      <c r="AI1710" s="1087"/>
      <c r="AJ1710" s="1768"/>
      <c r="AK1710" s="1060">
        <v>225000</v>
      </c>
      <c r="AL1710" s="1090">
        <f t="shared" si="133"/>
        <v>1125000</v>
      </c>
      <c r="AM1710" s="1086">
        <f>SUM(AL1710:AL1715)</f>
        <v>9735000</v>
      </c>
      <c r="AN1710" s="1086">
        <f>AM1710+AJ1710+AG1710</f>
        <v>93885000</v>
      </c>
      <c r="AO1710" s="1087"/>
      <c r="AP1710" s="1136">
        <f>AI1711*15%</f>
        <v>0</v>
      </c>
      <c r="AQ1710" s="1087">
        <v>0</v>
      </c>
      <c r="AR1710" s="1136">
        <f>(AG1710+AI1710)*5%</f>
        <v>4207500</v>
      </c>
      <c r="AS1710" s="1087">
        <f>0.5%*(AG1710+AI1710)*(3)</f>
        <v>1262250</v>
      </c>
      <c r="AT1710" s="1086">
        <f>+AS1710+AR1710+AQ1710+AP1710+AO1710</f>
        <v>5469750</v>
      </c>
      <c r="AU1710" s="1137">
        <f>ROUND(AT1710+AN1710,-3)</f>
        <v>99355000</v>
      </c>
      <c r="AV1710" s="1814"/>
    </row>
    <row r="1711" spans="1:48" ht="16.5" customHeight="1">
      <c r="A1711" s="1658"/>
      <c r="B1711" s="1646" t="s">
        <v>16</v>
      </c>
      <c r="C1711" s="1647" t="s">
        <v>1031</v>
      </c>
      <c r="D1711" s="1665"/>
      <c r="E1711" s="1666"/>
      <c r="F1711" s="1648"/>
      <c r="G1711" s="1646" t="s">
        <v>16</v>
      </c>
      <c r="H1711" s="1623" t="s">
        <v>22</v>
      </c>
      <c r="I1711" s="1630"/>
      <c r="J1711" s="1930"/>
      <c r="K1711" s="1631"/>
      <c r="L1711" s="1245"/>
      <c r="M1711" s="1320"/>
      <c r="N1711" s="1632"/>
      <c r="O1711" s="1647"/>
      <c r="P1711" s="1634"/>
      <c r="Q1711" s="1632"/>
      <c r="R1711" s="1646"/>
      <c r="S1711" s="1625"/>
      <c r="T1711" s="1634"/>
      <c r="U1711" s="1635">
        <v>2</v>
      </c>
      <c r="V1711" s="1636" t="s">
        <v>109</v>
      </c>
      <c r="W1711" s="1714">
        <v>10</v>
      </c>
      <c r="X1711" s="1650"/>
      <c r="Y1711" s="1623"/>
      <c r="Z1711" s="1651">
        <f>SUM(W1711:Y1711)</f>
        <v>10</v>
      </c>
      <c r="AA1711" s="1625"/>
      <c r="AB1711" s="1667"/>
      <c r="AC1711" s="1640"/>
      <c r="AD1711" s="1635"/>
      <c r="AE1711" s="1764"/>
      <c r="AF1711" s="1085"/>
      <c r="AG1711" s="1086"/>
      <c r="AH1711" s="1087"/>
      <c r="AI1711" s="1087"/>
      <c r="AJ1711" s="1768"/>
      <c r="AK1711" s="1300">
        <v>40000</v>
      </c>
      <c r="AL1711" s="1090">
        <f t="shared" si="133"/>
        <v>400000</v>
      </c>
      <c r="AM1711" s="1086"/>
      <c r="AN1711" s="1086"/>
      <c r="AO1711" s="1087"/>
      <c r="AP1711" s="1764"/>
      <c r="AQ1711" s="1087"/>
      <c r="AR1711" s="1764"/>
      <c r="AS1711" s="1764"/>
      <c r="AT1711" s="1086"/>
      <c r="AU1711" s="1768"/>
      <c r="AV1711" s="1814"/>
    </row>
    <row r="1712" spans="1:48" ht="16.5" customHeight="1">
      <c r="A1712" s="1658"/>
      <c r="B1712" s="1646" t="s">
        <v>18</v>
      </c>
      <c r="C1712" s="1623" t="s">
        <v>124</v>
      </c>
      <c r="D1712" s="1665"/>
      <c r="E1712" s="1666"/>
      <c r="F1712" s="1648"/>
      <c r="G1712" s="1646" t="s">
        <v>18</v>
      </c>
      <c r="H1712" s="1623" t="s">
        <v>19</v>
      </c>
      <c r="I1712" s="1630"/>
      <c r="J1712" s="1930"/>
      <c r="K1712" s="1631"/>
      <c r="L1712" s="1245"/>
      <c r="M1712" s="1320"/>
      <c r="N1712" s="1632"/>
      <c r="O1712" s="1647"/>
      <c r="P1712" s="1634"/>
      <c r="Q1712" s="1632"/>
      <c r="R1712" s="1665"/>
      <c r="S1712" s="1738"/>
      <c r="T1712" s="1634"/>
      <c r="U1712" s="1635">
        <v>3</v>
      </c>
      <c r="V1712" s="1636" t="s">
        <v>56</v>
      </c>
      <c r="W1712" s="1714"/>
      <c r="X1712" s="1650">
        <v>5</v>
      </c>
      <c r="Y1712" s="1623"/>
      <c r="Z1712" s="1651">
        <f>SUM(W1712:Y1712)</f>
        <v>5</v>
      </c>
      <c r="AA1712" s="1625"/>
      <c r="AB1712" s="1667"/>
      <c r="AC1712" s="1640"/>
      <c r="AD1712" s="1635"/>
      <c r="AE1712" s="1764"/>
      <c r="AF1712" s="1085"/>
      <c r="AG1712" s="1086"/>
      <c r="AH1712" s="1087"/>
      <c r="AI1712" s="1087"/>
      <c r="AJ1712" s="1768"/>
      <c r="AK1712" s="1089">
        <v>25000</v>
      </c>
      <c r="AL1712" s="1090">
        <f>AK1712*X1712</f>
        <v>125000</v>
      </c>
      <c r="AM1712" s="1086"/>
      <c r="AN1712" s="1086"/>
      <c r="AO1712" s="1087"/>
      <c r="AP1712" s="1764"/>
      <c r="AQ1712" s="1087"/>
      <c r="AR1712" s="1764"/>
      <c r="AS1712" s="1764"/>
      <c r="AT1712" s="1086"/>
      <c r="AU1712" s="1768"/>
      <c r="AV1712" s="1814"/>
    </row>
    <row r="1713" spans="1:48" ht="49.5" customHeight="1">
      <c r="A1713" s="1658"/>
      <c r="B1713" s="1658" t="s">
        <v>12</v>
      </c>
      <c r="C1713" s="1659" t="s">
        <v>1030</v>
      </c>
      <c r="D1713" s="1665"/>
      <c r="E1713" s="1666"/>
      <c r="F1713" s="1648"/>
      <c r="G1713" s="1646"/>
      <c r="H1713" s="1807"/>
      <c r="I1713" s="1630"/>
      <c r="J1713" s="1930"/>
      <c r="K1713" s="1631"/>
      <c r="L1713" s="1245"/>
      <c r="M1713" s="1320"/>
      <c r="N1713" s="1632"/>
      <c r="O1713" s="1647"/>
      <c r="P1713" s="1634"/>
      <c r="Q1713" s="1632"/>
      <c r="R1713" s="1665"/>
      <c r="S1713" s="1666"/>
      <c r="T1713" s="1634"/>
      <c r="U1713" s="1635"/>
      <c r="V1713" s="1636"/>
      <c r="W1713" s="1714"/>
      <c r="X1713" s="1650"/>
      <c r="Y1713" s="1623"/>
      <c r="Z1713" s="1651"/>
      <c r="AA1713" s="1625"/>
      <c r="AB1713" s="1667"/>
      <c r="AC1713" s="1640"/>
      <c r="AD1713" s="1635"/>
      <c r="AE1713" s="1764"/>
      <c r="AF1713" s="1085"/>
      <c r="AG1713" s="1086"/>
      <c r="AH1713" s="1087"/>
      <c r="AI1713" s="1087"/>
      <c r="AJ1713" s="1768"/>
      <c r="AK1713" s="1089"/>
      <c r="AL1713" s="1090">
        <f t="shared" si="133"/>
        <v>0</v>
      </c>
      <c r="AM1713" s="1086"/>
      <c r="AN1713" s="1086"/>
      <c r="AO1713" s="1087"/>
      <c r="AP1713" s="1764"/>
      <c r="AQ1713" s="1087"/>
      <c r="AR1713" s="1764"/>
      <c r="AS1713" s="1764"/>
      <c r="AT1713" s="1086"/>
      <c r="AU1713" s="1768"/>
      <c r="AV1713" s="1814"/>
    </row>
    <row r="1714" spans="1:48" ht="16.5" customHeight="1">
      <c r="A1714" s="1658"/>
      <c r="B1714" s="1646" t="s">
        <v>8</v>
      </c>
      <c r="C1714" s="1716" t="s">
        <v>1029</v>
      </c>
      <c r="D1714" s="1665"/>
      <c r="E1714" s="1666"/>
      <c r="F1714" s="1648"/>
      <c r="G1714" s="1646"/>
      <c r="H1714" s="1807"/>
      <c r="I1714" s="1630"/>
      <c r="J1714" s="1930"/>
      <c r="K1714" s="1631"/>
      <c r="L1714" s="1245"/>
      <c r="M1714" s="1320"/>
      <c r="N1714" s="1632"/>
      <c r="O1714" s="1647"/>
      <c r="P1714" s="1634"/>
      <c r="Q1714" s="1632"/>
      <c r="R1714" s="1646" t="s">
        <v>16</v>
      </c>
      <c r="S1714" s="1625" t="s">
        <v>15</v>
      </c>
      <c r="T1714" s="1634">
        <v>2</v>
      </c>
      <c r="U1714" s="1635">
        <v>1</v>
      </c>
      <c r="V1714" s="1636" t="s">
        <v>14</v>
      </c>
      <c r="W1714" s="1714"/>
      <c r="X1714" s="1650"/>
      <c r="Y1714" s="1623">
        <v>70</v>
      </c>
      <c r="Z1714" s="1651">
        <f>SUM(W1714:Y1714)</f>
        <v>70</v>
      </c>
      <c r="AA1714" s="1625"/>
      <c r="AB1714" s="1667"/>
      <c r="AC1714" s="1640"/>
      <c r="AD1714" s="1635"/>
      <c r="AE1714" s="1764"/>
      <c r="AF1714" s="1085"/>
      <c r="AG1714" s="1086"/>
      <c r="AH1714" s="1087"/>
      <c r="AI1714" s="1087"/>
      <c r="AJ1714" s="1768"/>
      <c r="AK1714" s="1089">
        <v>115500</v>
      </c>
      <c r="AL1714" s="1087">
        <f>AK1714*Y1714</f>
        <v>8085000</v>
      </c>
      <c r="AM1714" s="1086"/>
      <c r="AN1714" s="1086"/>
      <c r="AO1714" s="1087"/>
      <c r="AP1714" s="1764"/>
      <c r="AQ1714" s="1087"/>
      <c r="AR1714" s="1764"/>
      <c r="AS1714" s="1764"/>
      <c r="AT1714" s="1086"/>
      <c r="AU1714" s="1768"/>
      <c r="AV1714" s="1814"/>
    </row>
    <row r="1715" spans="1:48" ht="16.5" customHeight="1">
      <c r="A1715" s="1818"/>
      <c r="B1715" s="1674"/>
      <c r="C1715" s="1675"/>
      <c r="D1715" s="1674"/>
      <c r="E1715" s="1675"/>
      <c r="F1715" s="1678"/>
      <c r="G1715" s="1686"/>
      <c r="H1715" s="1927"/>
      <c r="I1715" s="1681"/>
      <c r="J1715" s="1930"/>
      <c r="K1715" s="1682"/>
      <c r="L1715" s="1270"/>
      <c r="M1715" s="1549"/>
      <c r="N1715" s="1632"/>
      <c r="O1715" s="1647"/>
      <c r="P1715" s="1634"/>
      <c r="Q1715" s="1632"/>
      <c r="R1715" s="1646"/>
      <c r="S1715" s="1625"/>
      <c r="T1715" s="1634"/>
      <c r="U1715" s="1635">
        <v>2</v>
      </c>
      <c r="V1715" s="1636" t="s">
        <v>240</v>
      </c>
      <c r="W1715" s="1714"/>
      <c r="X1715" s="1650"/>
      <c r="Y1715" s="1623"/>
      <c r="Z1715" s="1651" t="s">
        <v>1028</v>
      </c>
      <c r="AA1715" s="1625"/>
      <c r="AB1715" s="1667"/>
      <c r="AC1715" s="1640"/>
      <c r="AD1715" s="1635"/>
      <c r="AE1715" s="1764"/>
      <c r="AF1715" s="1085"/>
      <c r="AG1715" s="1116"/>
      <c r="AH1715" s="1087"/>
      <c r="AI1715" s="1087"/>
      <c r="AJ1715" s="1768"/>
      <c r="AK1715" s="1089">
        <v>10000</v>
      </c>
      <c r="AL1715" s="1120">
        <f t="shared" si="133"/>
        <v>0</v>
      </c>
      <c r="AM1715" s="1086"/>
      <c r="AN1715" s="1116"/>
      <c r="AO1715" s="1087"/>
      <c r="AP1715" s="1774"/>
      <c r="AQ1715" s="1117"/>
      <c r="AR1715" s="1774"/>
      <c r="AS1715" s="1774"/>
      <c r="AT1715" s="1116"/>
      <c r="AU1715" s="1775"/>
      <c r="AV1715" s="1814"/>
    </row>
    <row r="1716" spans="1:48" ht="16.5" customHeight="1">
      <c r="A1716" s="1925">
        <v>141</v>
      </c>
      <c r="B1716" s="1699" t="s">
        <v>69</v>
      </c>
      <c r="C1716" s="1700" t="s">
        <v>408</v>
      </c>
      <c r="D1716" s="1956"/>
      <c r="E1716" s="1957"/>
      <c r="F1716" s="1730" t="s">
        <v>1027</v>
      </c>
      <c r="G1716" s="1926" t="s">
        <v>25</v>
      </c>
      <c r="H1716" s="1792" t="s">
        <v>42</v>
      </c>
      <c r="I1716" s="1958">
        <v>495</v>
      </c>
      <c r="J1716" s="1746" t="s">
        <v>1026</v>
      </c>
      <c r="K1716" s="1722" t="s">
        <v>1025</v>
      </c>
      <c r="L1716" s="1245"/>
      <c r="M1716" s="1320"/>
      <c r="N1716" s="1707"/>
      <c r="O1716" s="1920"/>
      <c r="P1716" s="1709"/>
      <c r="Q1716" s="1707"/>
      <c r="R1716" s="1699"/>
      <c r="S1716" s="1702"/>
      <c r="T1716" s="1709"/>
      <c r="U1716" s="1710"/>
      <c r="V1716" s="1711"/>
      <c r="W1716" s="1712"/>
      <c r="X1716" s="1713"/>
      <c r="Y1716" s="1700"/>
      <c r="Z1716" s="1761"/>
      <c r="AA1716" s="1702"/>
      <c r="AB1716" s="1809"/>
      <c r="AC1716" s="1641"/>
      <c r="AD1716" s="1710"/>
      <c r="AE1716" s="1766"/>
      <c r="AF1716" s="1056">
        <f>Resum!F1*1.1</f>
        <v>391600.00000000006</v>
      </c>
      <c r="AG1716" s="1086">
        <f>AF1716*I1716</f>
        <v>193842000.00000003</v>
      </c>
      <c r="AH1716" s="1058"/>
      <c r="AI1716" s="1058"/>
      <c r="AJ1716" s="1767"/>
      <c r="AK1716" s="1060"/>
      <c r="AL1716" s="1090"/>
      <c r="AM1716" s="1057"/>
      <c r="AN1716" s="1086">
        <f>AM1716+AJ1716+AG1716</f>
        <v>193842000.00000003</v>
      </c>
      <c r="AO1716" s="1058"/>
      <c r="AP1716" s="1136">
        <f>AI1717*15%</f>
        <v>0</v>
      </c>
      <c r="AQ1716" s="1087">
        <v>0</v>
      </c>
      <c r="AR1716" s="1136">
        <f>(AG1716+AI1716)*5%</f>
        <v>9692100.0000000019</v>
      </c>
      <c r="AS1716" s="1087">
        <f>0.5%*(AG1716+AI1716)*(3)</f>
        <v>2907630.0000000005</v>
      </c>
      <c r="AT1716" s="1086">
        <f>+AS1716+AR1716+AQ1716+AP1716+AO1716</f>
        <v>12599730.000000002</v>
      </c>
      <c r="AU1716" s="1137">
        <f>ROUND(AT1716+AN1716,-3)</f>
        <v>206442000</v>
      </c>
      <c r="AV1716" s="1812"/>
    </row>
    <row r="1717" spans="1:48" ht="16.5" customHeight="1">
      <c r="A1717" s="1658"/>
      <c r="B1717" s="1646" t="s">
        <v>16</v>
      </c>
      <c r="C1717" s="1647" t="s">
        <v>405</v>
      </c>
      <c r="D1717" s="1665"/>
      <c r="E1717" s="1666"/>
      <c r="F1717" s="1648"/>
      <c r="G1717" s="1646" t="s">
        <v>16</v>
      </c>
      <c r="H1717" s="1623" t="s">
        <v>22</v>
      </c>
      <c r="I1717" s="1630"/>
      <c r="J1717" s="1747"/>
      <c r="K1717" s="1631"/>
      <c r="L1717" s="1245"/>
      <c r="M1717" s="1320"/>
      <c r="N1717" s="1632"/>
      <c r="O1717" s="1647"/>
      <c r="P1717" s="1634"/>
      <c r="Q1717" s="1632"/>
      <c r="R1717" s="1646"/>
      <c r="S1717" s="1625"/>
      <c r="T1717" s="1634"/>
      <c r="U1717" s="1635"/>
      <c r="V1717" s="1636"/>
      <c r="W1717" s="1714"/>
      <c r="X1717" s="1650"/>
      <c r="Y1717" s="1623"/>
      <c r="Z1717" s="1651"/>
      <c r="AA1717" s="1625"/>
      <c r="AB1717" s="1667"/>
      <c r="AC1717" s="1640"/>
      <c r="AD1717" s="1635"/>
      <c r="AE1717" s="1764"/>
      <c r="AF1717" s="1085"/>
      <c r="AG1717" s="1086"/>
      <c r="AH1717" s="1087"/>
      <c r="AI1717" s="1087"/>
      <c r="AJ1717" s="1768"/>
      <c r="AK1717" s="1089"/>
      <c r="AL1717" s="1090"/>
      <c r="AM1717" s="1086"/>
      <c r="AN1717" s="1086"/>
      <c r="AO1717" s="1087"/>
      <c r="AP1717" s="1764"/>
      <c r="AQ1717" s="1087"/>
      <c r="AR1717" s="1764"/>
      <c r="AS1717" s="1764"/>
      <c r="AT1717" s="1086"/>
      <c r="AU1717" s="1768"/>
      <c r="AV1717" s="1814"/>
    </row>
    <row r="1718" spans="1:48" ht="16.5" customHeight="1">
      <c r="A1718" s="1658"/>
      <c r="B1718" s="1646" t="s">
        <v>18</v>
      </c>
      <c r="C1718" s="1623" t="s">
        <v>404</v>
      </c>
      <c r="D1718" s="1665"/>
      <c r="E1718" s="1666"/>
      <c r="F1718" s="1648"/>
      <c r="G1718" s="1646" t="s">
        <v>18</v>
      </c>
      <c r="H1718" s="1623" t="s">
        <v>19</v>
      </c>
      <c r="I1718" s="1630"/>
      <c r="J1718" s="1747"/>
      <c r="K1718" s="1631"/>
      <c r="L1718" s="1245"/>
      <c r="M1718" s="1320"/>
      <c r="N1718" s="1632"/>
      <c r="O1718" s="1647"/>
      <c r="P1718" s="1634"/>
      <c r="Q1718" s="1632"/>
      <c r="R1718" s="1646"/>
      <c r="S1718" s="1625"/>
      <c r="T1718" s="1634"/>
      <c r="U1718" s="1635"/>
      <c r="V1718" s="1636"/>
      <c r="W1718" s="1714"/>
      <c r="X1718" s="1650"/>
      <c r="Y1718" s="1623"/>
      <c r="Z1718" s="1651"/>
      <c r="AA1718" s="1625"/>
      <c r="AB1718" s="1667"/>
      <c r="AC1718" s="1640"/>
      <c r="AD1718" s="1635"/>
      <c r="AE1718" s="1764"/>
      <c r="AF1718" s="1085"/>
      <c r="AG1718" s="1086"/>
      <c r="AH1718" s="1087"/>
      <c r="AI1718" s="1087"/>
      <c r="AJ1718" s="1768"/>
      <c r="AK1718" s="1089"/>
      <c r="AL1718" s="1090"/>
      <c r="AM1718" s="1086"/>
      <c r="AN1718" s="1086"/>
      <c r="AO1718" s="1087"/>
      <c r="AP1718" s="1764"/>
      <c r="AQ1718" s="1087"/>
      <c r="AR1718" s="1764"/>
      <c r="AS1718" s="1764"/>
      <c r="AT1718" s="1086"/>
      <c r="AU1718" s="1768"/>
      <c r="AV1718" s="1814"/>
    </row>
    <row r="1719" spans="1:48" ht="49.5" customHeight="1">
      <c r="A1719" s="1658"/>
      <c r="B1719" s="1658" t="s">
        <v>12</v>
      </c>
      <c r="C1719" s="1659" t="s">
        <v>210</v>
      </c>
      <c r="D1719" s="1665"/>
      <c r="E1719" s="1666"/>
      <c r="F1719" s="1648"/>
      <c r="G1719" s="1646"/>
      <c r="H1719" s="1807"/>
      <c r="I1719" s="1630"/>
      <c r="J1719" s="1747"/>
      <c r="K1719" s="1631"/>
      <c r="L1719" s="1245"/>
      <c r="M1719" s="1320"/>
      <c r="N1719" s="1632"/>
      <c r="O1719" s="1647"/>
      <c r="P1719" s="1634"/>
      <c r="Q1719" s="1632"/>
      <c r="R1719" s="1646"/>
      <c r="S1719" s="1625"/>
      <c r="T1719" s="1634"/>
      <c r="U1719" s="1635"/>
      <c r="V1719" s="1636"/>
      <c r="W1719" s="1714"/>
      <c r="X1719" s="1650"/>
      <c r="Y1719" s="1623"/>
      <c r="Z1719" s="1651"/>
      <c r="AA1719" s="1625"/>
      <c r="AB1719" s="1667"/>
      <c r="AC1719" s="1640"/>
      <c r="AD1719" s="1635"/>
      <c r="AE1719" s="1764"/>
      <c r="AF1719" s="1085"/>
      <c r="AG1719" s="1086"/>
      <c r="AH1719" s="1087"/>
      <c r="AI1719" s="1087"/>
      <c r="AJ1719" s="1768"/>
      <c r="AK1719" s="1089"/>
      <c r="AL1719" s="1090"/>
      <c r="AM1719" s="1086"/>
      <c r="AN1719" s="1086"/>
      <c r="AO1719" s="1087"/>
      <c r="AP1719" s="1764"/>
      <c r="AQ1719" s="1087"/>
      <c r="AR1719" s="1764"/>
      <c r="AS1719" s="1764"/>
      <c r="AT1719" s="1086"/>
      <c r="AU1719" s="1768"/>
      <c r="AV1719" s="1814"/>
    </row>
    <row r="1720" spans="1:48" ht="16.5" customHeight="1">
      <c r="A1720" s="1818"/>
      <c r="B1720" s="1686" t="s">
        <v>8</v>
      </c>
      <c r="C1720" s="1819" t="s">
        <v>402</v>
      </c>
      <c r="D1720" s="1674"/>
      <c r="E1720" s="1675"/>
      <c r="F1720" s="1678"/>
      <c r="G1720" s="1686"/>
      <c r="H1720" s="1927"/>
      <c r="I1720" s="1681"/>
      <c r="J1720" s="1754"/>
      <c r="K1720" s="1682"/>
      <c r="L1720" s="1270"/>
      <c r="M1720" s="1549"/>
      <c r="N1720" s="1683"/>
      <c r="O1720" s="1781"/>
      <c r="P1720" s="1685"/>
      <c r="Q1720" s="1683"/>
      <c r="R1720" s="1686"/>
      <c r="S1720" s="1676"/>
      <c r="T1720" s="1685"/>
      <c r="U1720" s="1773"/>
      <c r="V1720" s="1718"/>
      <c r="W1720" s="1719"/>
      <c r="X1720" s="1720"/>
      <c r="Y1720" s="1721"/>
      <c r="Z1720" s="1787"/>
      <c r="AA1720" s="1676"/>
      <c r="AB1720" s="1679"/>
      <c r="AC1720" s="1673"/>
      <c r="AD1720" s="1773"/>
      <c r="AE1720" s="1774"/>
      <c r="AF1720" s="1115"/>
      <c r="AG1720" s="1116"/>
      <c r="AH1720" s="1117"/>
      <c r="AI1720" s="1117"/>
      <c r="AJ1720" s="1775"/>
      <c r="AK1720" s="1119"/>
      <c r="AL1720" s="1120"/>
      <c r="AM1720" s="1116"/>
      <c r="AN1720" s="1116"/>
      <c r="AO1720" s="1117"/>
      <c r="AP1720" s="1774"/>
      <c r="AQ1720" s="1117"/>
      <c r="AR1720" s="1774"/>
      <c r="AS1720" s="1774"/>
      <c r="AT1720" s="1116"/>
      <c r="AU1720" s="1775"/>
      <c r="AV1720" s="1820"/>
    </row>
    <row r="1721" spans="1:48" s="1968" customFormat="1" ht="25.05" customHeight="1">
      <c r="A1721" s="1959"/>
      <c r="B1721" s="2031"/>
      <c r="C1721" s="2032"/>
      <c r="D1721" s="1959"/>
      <c r="E1721" s="1959"/>
      <c r="F1721" s="1960"/>
      <c r="G1721" s="1959"/>
      <c r="H1721" s="1959"/>
      <c r="I1721" s="1961">
        <f>SUM(I20:I1720)</f>
        <v>111496.402</v>
      </c>
      <c r="J1721" s="1959"/>
      <c r="K1721" s="1959"/>
      <c r="L1721" s="1959"/>
      <c r="M1721" s="1959"/>
      <c r="N1721" s="2031"/>
      <c r="O1721" s="2032"/>
      <c r="P1721" s="1959"/>
      <c r="Q1721" s="1959"/>
      <c r="R1721" s="1959"/>
      <c r="S1721" s="1959"/>
      <c r="T1721" s="1959"/>
      <c r="U1721" s="1959"/>
      <c r="V1721" s="1959"/>
      <c r="W1721" s="1962"/>
      <c r="X1721" s="1962"/>
      <c r="Y1721" s="1959"/>
      <c r="Z1721" s="1959"/>
      <c r="AA1721" s="1959"/>
      <c r="AB1721" s="1959"/>
      <c r="AC1721" s="1959"/>
      <c r="AD1721" s="1959"/>
      <c r="AE1721" s="1959"/>
      <c r="AF1721" s="1963"/>
      <c r="AG1721" s="1961">
        <f>SUM(AG20:AG1720)</f>
        <v>27612490690</v>
      </c>
      <c r="AH1721" s="1961"/>
      <c r="AI1721" s="1961"/>
      <c r="AJ1721" s="1964">
        <f>SUM(AJ20:AJ1720)</f>
        <v>23385871480.200001</v>
      </c>
      <c r="AK1721" s="1965"/>
      <c r="AL1721" s="1966"/>
      <c r="AM1721" s="1961">
        <f>SUM(AM20:AM1720)</f>
        <v>496600605</v>
      </c>
      <c r="AN1721" s="1961">
        <f>SUM(AN20:AN1720)</f>
        <v>51494962775.199997</v>
      </c>
      <c r="AO1721" s="1961"/>
      <c r="AP1721" s="1959"/>
      <c r="AQ1721" s="1961"/>
      <c r="AR1721" s="1959"/>
      <c r="AS1721" s="1959"/>
      <c r="AT1721" s="1961">
        <f>SUM(AT20:AT1720)</f>
        <v>7421585990.7149992</v>
      </c>
      <c r="AU1721" s="1967">
        <f>ROUND(SUM(AU20:AU1720),-3)</f>
        <v>58916550000</v>
      </c>
    </row>
    <row r="1722" spans="1:48" ht="15" customHeight="1">
      <c r="A1722" s="1738"/>
      <c r="B1722" s="1738"/>
      <c r="C1722" s="1738"/>
      <c r="D1722" s="1738"/>
      <c r="E1722" s="1738"/>
      <c r="F1722" s="1738"/>
      <c r="G1722" s="1738"/>
      <c r="H1722" s="1738"/>
      <c r="I1722" s="1738"/>
      <c r="J1722" s="1738"/>
      <c r="K1722" s="1738"/>
      <c r="L1722" s="1738"/>
      <c r="M1722" s="1738"/>
      <c r="N1722" s="1738"/>
      <c r="O1722" s="1954"/>
      <c r="P1722" s="1738"/>
      <c r="Q1722" s="1738"/>
      <c r="R1722" s="1738"/>
      <c r="S1722" s="1738"/>
      <c r="T1722" s="1738"/>
      <c r="U1722" s="1969"/>
      <c r="V1722" s="1969"/>
      <c r="W1722" s="1970"/>
      <c r="X1722" s="1970"/>
      <c r="Y1722" s="1971"/>
      <c r="Z1722" s="1971" t="s">
        <v>1806</v>
      </c>
      <c r="AA1722" s="1971"/>
      <c r="AB1722" s="1971"/>
      <c r="AC1722" s="1971"/>
      <c r="AD1722" s="1971"/>
      <c r="AE1722" s="1971"/>
      <c r="AG1722" s="1972"/>
      <c r="AH1722" s="1973"/>
      <c r="AI1722" s="1973"/>
      <c r="AJ1722" s="1974"/>
      <c r="AK1722" s="1029"/>
      <c r="AL1722" s="1030"/>
      <c r="AM1722" s="1972"/>
      <c r="AN1722" s="1972"/>
      <c r="AO1722" s="1973"/>
      <c r="AP1722" s="1971"/>
      <c r="AQ1722" s="1973"/>
      <c r="AR1722" s="1971"/>
      <c r="AS1722" s="1971"/>
      <c r="AT1722" s="1972"/>
      <c r="AU1722" s="1974"/>
      <c r="AV1722" s="1971"/>
    </row>
    <row r="1723" spans="1:48" ht="15" customHeight="1">
      <c r="A1723" s="1738"/>
      <c r="B1723" s="1738"/>
      <c r="C1723" s="1738"/>
      <c r="D1723" s="1738"/>
      <c r="E1723" s="1738"/>
      <c r="F1723" s="1738"/>
      <c r="G1723" s="1738"/>
      <c r="H1723" s="1738"/>
      <c r="I1723" s="1738"/>
      <c r="J1723" s="1738"/>
      <c r="K1723" s="1738"/>
      <c r="L1723" s="1738"/>
      <c r="M1723" s="1738"/>
      <c r="N1723" s="1738"/>
      <c r="O1723" s="1954"/>
      <c r="P1723" s="1738"/>
      <c r="Q1723" s="1738"/>
      <c r="R1723" s="1738"/>
      <c r="S1723" s="1738"/>
      <c r="T1723" s="1738"/>
      <c r="U1723" s="1969"/>
      <c r="V1723" s="1969"/>
      <c r="W1723" s="1970"/>
      <c r="X1723" s="1970"/>
      <c r="Y1723" s="1971"/>
      <c r="Z1723" s="1738"/>
      <c r="AA1723" s="1738"/>
      <c r="AB1723" s="1738"/>
      <c r="AC1723" s="1738"/>
      <c r="AD1723" s="1738"/>
      <c r="AE1723" s="1738"/>
      <c r="AJ1723" s="1975"/>
      <c r="AK1723" s="1029"/>
      <c r="AL1723" s="1030"/>
      <c r="AP1723" s="1738"/>
      <c r="AR1723" s="1738"/>
      <c r="AS1723" s="1738"/>
      <c r="AU1723" s="1975"/>
      <c r="AV1723" s="1738"/>
    </row>
    <row r="1724" spans="1:48" ht="15" customHeight="1">
      <c r="A1724" s="1976" t="s">
        <v>562</v>
      </c>
      <c r="B1724" s="1976"/>
      <c r="C1724" s="1976"/>
      <c r="D1724" s="1976"/>
      <c r="E1724" s="1976"/>
      <c r="F1724" s="1976"/>
      <c r="G1724" s="1976"/>
      <c r="H1724" s="1976"/>
      <c r="I1724" s="1976"/>
      <c r="J1724" s="1976"/>
      <c r="K1724" s="1976"/>
      <c r="L1724" s="1976"/>
      <c r="M1724" s="1976"/>
      <c r="N1724" s="1976"/>
      <c r="O1724" s="1976"/>
      <c r="P1724" s="1976"/>
      <c r="Q1724" s="1976"/>
      <c r="R1724" s="1976"/>
      <c r="S1724" s="1976"/>
      <c r="T1724" s="1976"/>
      <c r="U1724" s="1976"/>
      <c r="V1724" s="1976"/>
      <c r="W1724" s="1976"/>
      <c r="X1724" s="1976"/>
      <c r="Y1724" s="1976"/>
      <c r="Z1724" s="1976"/>
      <c r="AA1724" s="1976"/>
      <c r="AB1724" s="1976"/>
      <c r="AC1724" s="1976"/>
      <c r="AD1724" s="1976"/>
      <c r="AE1724" s="1976"/>
      <c r="AF1724" s="1976"/>
      <c r="AG1724" s="1976"/>
      <c r="AH1724" s="1976"/>
      <c r="AI1724" s="1976"/>
      <c r="AJ1724" s="1976"/>
      <c r="AK1724" s="1976"/>
      <c r="AL1724" s="1976"/>
      <c r="AM1724" s="1976"/>
      <c r="AN1724" s="1976"/>
      <c r="AO1724" s="1976"/>
      <c r="AP1724" s="1976"/>
      <c r="AQ1724" s="1976"/>
      <c r="AR1724" s="1976"/>
      <c r="AS1724" s="1976"/>
      <c r="AT1724" s="1976"/>
      <c r="AU1724" s="1976"/>
      <c r="AV1724" s="1976"/>
    </row>
    <row r="1725" spans="1:48" ht="15" customHeight="1">
      <c r="A1725" s="1738"/>
      <c r="B1725" s="1738"/>
      <c r="C1725" s="1738"/>
      <c r="D1725" s="1738"/>
      <c r="E1725" s="1738"/>
      <c r="F1725" s="1738"/>
      <c r="G1725" s="1738"/>
      <c r="H1725" s="1738"/>
      <c r="I1725" s="1738"/>
      <c r="J1725" s="1738"/>
      <c r="K1725" s="1738"/>
      <c r="L1725" s="1738"/>
      <c r="M1725" s="1738"/>
      <c r="N1725" s="1738"/>
      <c r="O1725" s="1954"/>
      <c r="P1725" s="1738"/>
      <c r="Q1725" s="1738"/>
      <c r="R1725" s="1738"/>
      <c r="S1725" s="1738"/>
      <c r="T1725" s="1738"/>
      <c r="U1725" s="1969"/>
      <c r="V1725" s="1969"/>
      <c r="W1725" s="1970"/>
      <c r="X1725" s="1970"/>
      <c r="Y1725" s="1971"/>
      <c r="Z1725" s="1738"/>
      <c r="AA1725" s="1738"/>
      <c r="AB1725" s="1738"/>
      <c r="AC1725" s="1738"/>
      <c r="AD1725" s="1738"/>
      <c r="AE1725" s="1738"/>
      <c r="AJ1725" s="1975"/>
      <c r="AK1725" s="1029"/>
      <c r="AL1725" s="1030"/>
      <c r="AP1725" s="1738"/>
      <c r="AR1725" s="1738"/>
      <c r="AS1725" s="1738"/>
      <c r="AU1725" s="1975"/>
      <c r="AV1725" s="1738"/>
    </row>
    <row r="1726" spans="1:48" ht="15" customHeight="1">
      <c r="A1726" s="1738"/>
      <c r="B1726" s="1738"/>
      <c r="C1726" s="1738"/>
      <c r="D1726" s="1738"/>
      <c r="E1726" s="1977" t="s">
        <v>561</v>
      </c>
      <c r="F1726" s="1738"/>
      <c r="G1726" s="1738"/>
      <c r="H1726" s="1738"/>
      <c r="I1726" s="1738"/>
      <c r="J1726" s="1738"/>
      <c r="K1726" s="1977" t="s">
        <v>560</v>
      </c>
      <c r="L1726" s="1738"/>
      <c r="M1726" s="1738"/>
      <c r="N1726" s="1738"/>
      <c r="O1726" s="1954"/>
      <c r="P1726" s="1977"/>
      <c r="Q1726" s="1738"/>
      <c r="R1726" s="1738"/>
      <c r="S1726" s="1977" t="s">
        <v>560</v>
      </c>
      <c r="T1726" s="1738"/>
      <c r="U1726" s="1969"/>
      <c r="V1726" s="1969"/>
      <c r="W1726" s="1970"/>
      <c r="X1726" s="1970"/>
      <c r="Y1726" s="1971"/>
      <c r="Z1726" s="1977" t="s">
        <v>560</v>
      </c>
      <c r="AA1726" s="1738"/>
      <c r="AB1726" s="1738"/>
      <c r="AC1726" s="1738"/>
      <c r="AD1726" s="1738"/>
      <c r="AE1726" s="1738"/>
      <c r="AJ1726" s="1975"/>
      <c r="AK1726" s="1029"/>
      <c r="AL1726" s="1030"/>
      <c r="AP1726" s="1738"/>
      <c r="AR1726" s="1738"/>
      <c r="AS1726" s="1738"/>
      <c r="AU1726" s="1975"/>
      <c r="AV1726" s="1738"/>
    </row>
    <row r="1727" spans="1:48" ht="15" customHeight="1">
      <c r="A1727" s="1738"/>
      <c r="B1727" s="1738"/>
      <c r="C1727" s="1738"/>
      <c r="D1727" s="1738"/>
      <c r="E1727" s="1977" t="s">
        <v>559</v>
      </c>
      <c r="F1727" s="1738"/>
      <c r="G1727" s="1738"/>
      <c r="H1727" s="1738"/>
      <c r="I1727" s="1738"/>
      <c r="J1727" s="1738"/>
      <c r="K1727" s="1977" t="s">
        <v>1797</v>
      </c>
      <c r="L1727" s="1738"/>
      <c r="M1727" s="1738"/>
      <c r="N1727" s="1738"/>
      <c r="O1727" s="1954"/>
      <c r="P1727" s="1977"/>
      <c r="Q1727" s="1738"/>
      <c r="R1727" s="1738"/>
      <c r="S1727" s="1977" t="s">
        <v>1798</v>
      </c>
      <c r="T1727" s="1738"/>
      <c r="U1727" s="1969"/>
      <c r="V1727" s="1969"/>
      <c r="W1727" s="1970"/>
      <c r="X1727" s="1970"/>
      <c r="Y1727" s="1971"/>
      <c r="Z1727" s="1977" t="s">
        <v>1799</v>
      </c>
      <c r="AA1727" s="1738"/>
      <c r="AB1727" s="1738"/>
      <c r="AC1727" s="1738"/>
      <c r="AD1727" s="1738"/>
      <c r="AE1727" s="1738"/>
      <c r="AJ1727" s="1975"/>
      <c r="AK1727" s="1029"/>
      <c r="AL1727" s="1030"/>
      <c r="AP1727" s="1738"/>
      <c r="AR1727" s="1738"/>
      <c r="AS1727" s="1738"/>
      <c r="AU1727" s="1975"/>
      <c r="AV1727" s="1738"/>
    </row>
    <row r="1728" spans="1:48" ht="15" customHeight="1">
      <c r="A1728" s="1738"/>
      <c r="B1728" s="1738"/>
      <c r="C1728" s="1738"/>
      <c r="D1728" s="1738"/>
      <c r="E1728" s="1977"/>
      <c r="F1728" s="1738"/>
      <c r="G1728" s="1738"/>
      <c r="H1728" s="1738"/>
      <c r="I1728" s="1738"/>
      <c r="J1728" s="1738"/>
      <c r="K1728" s="1977"/>
      <c r="L1728" s="1738"/>
      <c r="M1728" s="1738"/>
      <c r="N1728" s="1738"/>
      <c r="O1728" s="1954"/>
      <c r="P1728" s="1977"/>
      <c r="Q1728" s="1738"/>
      <c r="R1728" s="1738"/>
      <c r="S1728" s="1977"/>
      <c r="T1728" s="1738"/>
      <c r="U1728" s="1969"/>
      <c r="V1728" s="1969"/>
      <c r="W1728" s="1970"/>
      <c r="X1728" s="1970"/>
      <c r="Y1728" s="1971"/>
      <c r="Z1728" s="1977"/>
      <c r="AA1728" s="1738"/>
      <c r="AB1728" s="1738"/>
      <c r="AC1728" s="1738"/>
      <c r="AD1728" s="1738"/>
      <c r="AE1728" s="1738"/>
      <c r="AJ1728" s="1975"/>
      <c r="AK1728" s="1029"/>
      <c r="AL1728" s="1030"/>
      <c r="AP1728" s="1738"/>
      <c r="AR1728" s="1738"/>
      <c r="AS1728" s="1738"/>
      <c r="AU1728" s="1975"/>
      <c r="AV1728" s="1738"/>
    </row>
    <row r="1729" spans="1:48" ht="15" customHeight="1">
      <c r="A1729" s="1738"/>
      <c r="B1729" s="1738"/>
      <c r="C1729" s="1738"/>
      <c r="D1729" s="1738"/>
      <c r="E1729" s="1977" t="s">
        <v>1805</v>
      </c>
      <c r="F1729" s="1738"/>
      <c r="G1729" s="1738"/>
      <c r="H1729" s="1738"/>
      <c r="I1729" s="1738"/>
      <c r="J1729" s="1738"/>
      <c r="K1729" s="1977" t="s">
        <v>1805</v>
      </c>
      <c r="L1729" s="1738"/>
      <c r="M1729" s="1738"/>
      <c r="N1729" s="1738"/>
      <c r="O1729" s="1954"/>
      <c r="P1729" s="1977"/>
      <c r="Q1729" s="1738"/>
      <c r="R1729" s="1738"/>
      <c r="S1729" s="1977" t="s">
        <v>1805</v>
      </c>
      <c r="T1729" s="1738"/>
      <c r="U1729" s="1969"/>
      <c r="V1729" s="1969"/>
      <c r="W1729" s="1970"/>
      <c r="X1729" s="1970"/>
      <c r="Y1729" s="1971"/>
      <c r="Z1729" s="1977" t="s">
        <v>1805</v>
      </c>
      <c r="AA1729" s="1738"/>
      <c r="AB1729" s="1738"/>
      <c r="AC1729" s="1738"/>
      <c r="AD1729" s="1738"/>
      <c r="AE1729" s="1738"/>
      <c r="AJ1729" s="1975"/>
      <c r="AK1729" s="1029"/>
      <c r="AL1729" s="1030"/>
      <c r="AP1729" s="1738"/>
      <c r="AR1729" s="1738"/>
      <c r="AS1729" s="1738"/>
      <c r="AU1729" s="1975"/>
      <c r="AV1729" s="1738"/>
    </row>
    <row r="1730" spans="1:48" ht="15" customHeight="1">
      <c r="A1730" s="1738"/>
      <c r="B1730" s="1738"/>
      <c r="C1730" s="1738"/>
      <c r="D1730" s="1738"/>
      <c r="E1730" s="1977"/>
      <c r="F1730" s="1738"/>
      <c r="G1730" s="1738"/>
      <c r="H1730" s="1738"/>
      <c r="I1730" s="1738"/>
      <c r="J1730" s="1738"/>
      <c r="K1730" s="1977"/>
      <c r="L1730" s="1738"/>
      <c r="M1730" s="1738"/>
      <c r="N1730" s="1738"/>
      <c r="O1730" s="1954"/>
      <c r="P1730" s="1977"/>
      <c r="Q1730" s="1738"/>
      <c r="R1730" s="1738"/>
      <c r="S1730" s="1977"/>
      <c r="T1730" s="1738"/>
      <c r="U1730" s="1969"/>
      <c r="V1730" s="1969"/>
      <c r="W1730" s="1970"/>
      <c r="X1730" s="1970"/>
      <c r="Y1730" s="1971"/>
      <c r="Z1730" s="1977"/>
      <c r="AA1730" s="1738"/>
      <c r="AB1730" s="1738"/>
      <c r="AC1730" s="1738"/>
      <c r="AD1730" s="1738"/>
      <c r="AE1730" s="1738"/>
      <c r="AJ1730" s="1975"/>
      <c r="AK1730" s="1029"/>
      <c r="AL1730" s="1030"/>
      <c r="AP1730" s="1738"/>
      <c r="AR1730" s="1738"/>
      <c r="AS1730" s="1738"/>
      <c r="AU1730" s="1975"/>
      <c r="AV1730" s="1738"/>
    </row>
    <row r="1731" spans="1:48" ht="15" customHeight="1">
      <c r="A1731" s="1738"/>
      <c r="B1731" s="1738"/>
      <c r="C1731" s="1738"/>
      <c r="D1731" s="1738"/>
      <c r="E1731" s="1977"/>
      <c r="F1731" s="1738"/>
      <c r="G1731" s="1738"/>
      <c r="H1731" s="1738"/>
      <c r="I1731" s="1738"/>
      <c r="J1731" s="1738"/>
      <c r="K1731" s="1977"/>
      <c r="L1731" s="1738"/>
      <c r="M1731" s="1738"/>
      <c r="N1731" s="1738"/>
      <c r="O1731" s="1954"/>
      <c r="P1731" s="1977"/>
      <c r="Q1731" s="1738"/>
      <c r="R1731" s="1738"/>
      <c r="S1731" s="1977"/>
      <c r="T1731" s="1738"/>
      <c r="U1731" s="1969"/>
      <c r="V1731" s="1969"/>
      <c r="W1731" s="1970"/>
      <c r="X1731" s="1970"/>
      <c r="Y1731" s="1971"/>
      <c r="Z1731" s="1977"/>
      <c r="AA1731" s="1738"/>
      <c r="AB1731" s="1738"/>
      <c r="AC1731" s="1738"/>
      <c r="AD1731" s="1738"/>
      <c r="AE1731" s="1738"/>
      <c r="AJ1731" s="1975"/>
      <c r="AK1731" s="1029"/>
      <c r="AL1731" s="1030"/>
      <c r="AP1731" s="1738"/>
      <c r="AR1731" s="1738"/>
      <c r="AS1731" s="1738"/>
      <c r="AU1731" s="1975"/>
      <c r="AV1731" s="1738"/>
    </row>
    <row r="1732" spans="1:48" ht="15" customHeight="1">
      <c r="A1732" s="1738"/>
      <c r="B1732" s="1738"/>
      <c r="C1732" s="1738"/>
      <c r="D1732" s="1738"/>
      <c r="E1732" s="1978" t="s">
        <v>558</v>
      </c>
      <c r="F1732" s="1738"/>
      <c r="G1732" s="1738"/>
      <c r="H1732" s="1738"/>
      <c r="I1732" s="1738"/>
      <c r="J1732" s="1738"/>
      <c r="K1732" s="1978" t="s">
        <v>557</v>
      </c>
      <c r="L1732" s="1738"/>
      <c r="M1732" s="1738"/>
      <c r="N1732" s="1738"/>
      <c r="O1732" s="1954"/>
      <c r="P1732" s="1978"/>
      <c r="Q1732" s="1738"/>
      <c r="R1732" s="1738"/>
      <c r="S1732" s="1978" t="s">
        <v>658</v>
      </c>
      <c r="T1732" s="1738"/>
      <c r="U1732" s="1969"/>
      <c r="V1732" s="1969"/>
      <c r="W1732" s="1970"/>
      <c r="X1732" s="1970"/>
      <c r="Y1732" s="1971"/>
      <c r="Z1732" s="1978" t="s">
        <v>1800</v>
      </c>
      <c r="AA1732" s="1738"/>
      <c r="AB1732" s="1738"/>
      <c r="AC1732" s="1738"/>
      <c r="AD1732" s="1738"/>
      <c r="AE1732" s="1738"/>
      <c r="AJ1732" s="1975"/>
      <c r="AK1732" s="1029"/>
      <c r="AL1732" s="1030"/>
      <c r="AP1732" s="1738"/>
      <c r="AR1732" s="1738"/>
      <c r="AS1732" s="1738"/>
      <c r="AU1732" s="1975"/>
      <c r="AV1732" s="1738"/>
    </row>
    <row r="1733" spans="1:48" ht="15" customHeight="1">
      <c r="A1733" s="1738"/>
      <c r="B1733" s="1738"/>
      <c r="C1733" s="1738"/>
      <c r="D1733" s="1738"/>
      <c r="E1733" s="1977" t="s">
        <v>556</v>
      </c>
      <c r="F1733" s="1738"/>
      <c r="G1733" s="1738"/>
      <c r="H1733" s="1738"/>
      <c r="I1733" s="1738"/>
      <c r="J1733" s="1738"/>
      <c r="K1733" s="1977" t="s">
        <v>555</v>
      </c>
      <c r="L1733" s="1738"/>
      <c r="M1733" s="1738"/>
      <c r="N1733" s="1738"/>
      <c r="O1733" s="1954"/>
      <c r="P1733" s="1977"/>
      <c r="Q1733" s="1738"/>
      <c r="R1733" s="1738"/>
      <c r="S1733" s="1977" t="s">
        <v>1803</v>
      </c>
      <c r="T1733" s="1738"/>
      <c r="U1733" s="1969"/>
      <c r="V1733" s="1969"/>
      <c r="W1733" s="1970"/>
      <c r="X1733" s="1970"/>
      <c r="Y1733" s="1971"/>
      <c r="Z1733" s="1977" t="s">
        <v>1804</v>
      </c>
      <c r="AA1733" s="1738"/>
      <c r="AB1733" s="1738"/>
      <c r="AC1733" s="1738"/>
      <c r="AD1733" s="1738"/>
      <c r="AE1733" s="1738"/>
      <c r="AJ1733" s="1975"/>
      <c r="AK1733" s="1029"/>
      <c r="AL1733" s="1030"/>
      <c r="AP1733" s="1738"/>
      <c r="AR1733" s="1738"/>
      <c r="AS1733" s="1738"/>
      <c r="AU1733" s="1975"/>
      <c r="AV1733" s="1738"/>
    </row>
    <row r="1734" spans="1:48">
      <c r="AK1734" s="1026" t="s">
        <v>1833</v>
      </c>
    </row>
    <row r="1740" spans="1:48">
      <c r="AK1740" s="1026" t="s">
        <v>1832</v>
      </c>
    </row>
  </sheetData>
  <mergeCells count="857">
    <mergeCell ref="N1721:O1721"/>
    <mergeCell ref="B1721:C1721"/>
    <mergeCell ref="F1710:F1715"/>
    <mergeCell ref="I1710:I1715"/>
    <mergeCell ref="J1710:J1715"/>
    <mergeCell ref="K1710:K1715"/>
    <mergeCell ref="F1716:F1720"/>
    <mergeCell ref="I1716:I1720"/>
    <mergeCell ref="J1716:J1720"/>
    <mergeCell ref="K1716:K1720"/>
    <mergeCell ref="F1694:F1703"/>
    <mergeCell ref="I1694:I1703"/>
    <mergeCell ref="J1694:J1703"/>
    <mergeCell ref="K1694:K1703"/>
    <mergeCell ref="F1704:F1709"/>
    <mergeCell ref="I1704:I1709"/>
    <mergeCell ref="J1704:J1709"/>
    <mergeCell ref="K1704:K1709"/>
    <mergeCell ref="F1680:F1684"/>
    <mergeCell ref="I1680:I1684"/>
    <mergeCell ref="J1680:J1684"/>
    <mergeCell ref="K1680:K1684"/>
    <mergeCell ref="F1685:F1693"/>
    <mergeCell ref="I1685:I1693"/>
    <mergeCell ref="J1685:J1693"/>
    <mergeCell ref="K1685:K1693"/>
    <mergeCell ref="F1668:F1674"/>
    <mergeCell ref="I1668:I1674"/>
    <mergeCell ref="J1668:J1674"/>
    <mergeCell ref="K1668:K1674"/>
    <mergeCell ref="F1675:F1679"/>
    <mergeCell ref="I1675:I1679"/>
    <mergeCell ref="J1675:J1679"/>
    <mergeCell ref="K1675:K1679"/>
    <mergeCell ref="F1657:F1662"/>
    <mergeCell ref="I1657:I1662"/>
    <mergeCell ref="J1657:J1662"/>
    <mergeCell ref="K1657:K1662"/>
    <mergeCell ref="F1663:F1667"/>
    <mergeCell ref="I1663:I1667"/>
    <mergeCell ref="J1663:J1667"/>
    <mergeCell ref="K1663:K1667"/>
    <mergeCell ref="F1647:F1651"/>
    <mergeCell ref="I1647:I1651"/>
    <mergeCell ref="J1647:J1651"/>
    <mergeCell ref="K1647:K1651"/>
    <mergeCell ref="F1652:F1656"/>
    <mergeCell ref="I1652:I1656"/>
    <mergeCell ref="J1652:J1656"/>
    <mergeCell ref="K1652:K1656"/>
    <mergeCell ref="F1632:F1641"/>
    <mergeCell ref="I1632:I1641"/>
    <mergeCell ref="J1632:J1641"/>
    <mergeCell ref="K1632:K1641"/>
    <mergeCell ref="F1642:F1646"/>
    <mergeCell ref="I1642:I1646"/>
    <mergeCell ref="J1642:J1646"/>
    <mergeCell ref="K1642:K1646"/>
    <mergeCell ref="F1615:F1626"/>
    <mergeCell ref="I1615:I1626"/>
    <mergeCell ref="J1615:J1626"/>
    <mergeCell ref="K1615:K1626"/>
    <mergeCell ref="F1627:F1631"/>
    <mergeCell ref="I1627:I1631"/>
    <mergeCell ref="J1627:J1631"/>
    <mergeCell ref="K1627:K1631"/>
    <mergeCell ref="F1599:F1609"/>
    <mergeCell ref="I1599:I1609"/>
    <mergeCell ref="J1599:J1609"/>
    <mergeCell ref="K1599:K1609"/>
    <mergeCell ref="F1610:F1614"/>
    <mergeCell ref="I1610:I1614"/>
    <mergeCell ref="J1610:J1614"/>
    <mergeCell ref="K1610:K1614"/>
    <mergeCell ref="F1574:F1590"/>
    <mergeCell ref="I1574:I1590"/>
    <mergeCell ref="J1574:J1590"/>
    <mergeCell ref="K1574:K1590"/>
    <mergeCell ref="F1591:F1598"/>
    <mergeCell ref="I1591:I1598"/>
    <mergeCell ref="J1591:J1598"/>
    <mergeCell ref="K1591:K1598"/>
    <mergeCell ref="F1534:F1540"/>
    <mergeCell ref="I1534:I1540"/>
    <mergeCell ref="J1534:J1540"/>
    <mergeCell ref="K1534:K1540"/>
    <mergeCell ref="F1541:F1573"/>
    <mergeCell ref="I1541:I1573"/>
    <mergeCell ref="J1541:J1573"/>
    <mergeCell ref="K1541:K1573"/>
    <mergeCell ref="F1517:F1525"/>
    <mergeCell ref="I1517:I1525"/>
    <mergeCell ref="J1517:J1525"/>
    <mergeCell ref="K1517:K1525"/>
    <mergeCell ref="F1526:F1533"/>
    <mergeCell ref="I1526:I1533"/>
    <mergeCell ref="J1526:J1533"/>
    <mergeCell ref="K1526:K1533"/>
    <mergeCell ref="F1500:F1511"/>
    <mergeCell ref="I1500:I1511"/>
    <mergeCell ref="J1500:J1511"/>
    <mergeCell ref="K1500:K1511"/>
    <mergeCell ref="F1512:F1516"/>
    <mergeCell ref="I1512:I1516"/>
    <mergeCell ref="J1512:J1516"/>
    <mergeCell ref="K1512:K1516"/>
    <mergeCell ref="F1466:F1480"/>
    <mergeCell ref="I1466:I1480"/>
    <mergeCell ref="J1466:J1480"/>
    <mergeCell ref="K1466:K1480"/>
    <mergeCell ref="F1481:F1499"/>
    <mergeCell ref="I1481:I1499"/>
    <mergeCell ref="J1481:J1499"/>
    <mergeCell ref="K1481:K1499"/>
    <mergeCell ref="F1456:F1460"/>
    <mergeCell ref="I1456:I1460"/>
    <mergeCell ref="J1456:J1460"/>
    <mergeCell ref="K1456:K1460"/>
    <mergeCell ref="F1461:F1465"/>
    <mergeCell ref="I1461:I1465"/>
    <mergeCell ref="J1461:J1465"/>
    <mergeCell ref="K1461:K1465"/>
    <mergeCell ref="F1427:F1436"/>
    <mergeCell ref="I1427:I1436"/>
    <mergeCell ref="J1427:J1436"/>
    <mergeCell ref="K1427:K1436"/>
    <mergeCell ref="F1437:F1455"/>
    <mergeCell ref="I1437:I1455"/>
    <mergeCell ref="J1437:J1455"/>
    <mergeCell ref="K1437:K1455"/>
    <mergeCell ref="F1380:F1404"/>
    <mergeCell ref="I1380:I1404"/>
    <mergeCell ref="J1380:J1404"/>
    <mergeCell ref="K1380:K1404"/>
    <mergeCell ref="F1405:F1426"/>
    <mergeCell ref="I1405:I1426"/>
    <mergeCell ref="J1405:J1426"/>
    <mergeCell ref="K1405:K1426"/>
    <mergeCell ref="F1359:F1363"/>
    <mergeCell ref="I1359:I1363"/>
    <mergeCell ref="J1359:J1363"/>
    <mergeCell ref="K1359:K1363"/>
    <mergeCell ref="F1364:F1379"/>
    <mergeCell ref="I1364:I1379"/>
    <mergeCell ref="J1364:J1379"/>
    <mergeCell ref="K1364:K1379"/>
    <mergeCell ref="F1335:F1339"/>
    <mergeCell ref="I1335:I1339"/>
    <mergeCell ref="J1335:J1339"/>
    <mergeCell ref="K1335:K1339"/>
    <mergeCell ref="F1340:F1358"/>
    <mergeCell ref="I1340:I1358"/>
    <mergeCell ref="J1340:J1358"/>
    <mergeCell ref="K1340:K1358"/>
    <mergeCell ref="F1304:F1322"/>
    <mergeCell ref="I1304:I1322"/>
    <mergeCell ref="J1304:J1322"/>
    <mergeCell ref="K1304:K1322"/>
    <mergeCell ref="F1323:F1334"/>
    <mergeCell ref="I1323:I1334"/>
    <mergeCell ref="J1323:J1334"/>
    <mergeCell ref="K1323:K1334"/>
    <mergeCell ref="F1286:F1292"/>
    <mergeCell ref="I1286:I1292"/>
    <mergeCell ref="J1286:J1292"/>
    <mergeCell ref="K1286:K1292"/>
    <mergeCell ref="F1293:F1303"/>
    <mergeCell ref="I1293:I1303"/>
    <mergeCell ref="J1293:J1303"/>
    <mergeCell ref="K1293:K1303"/>
    <mergeCell ref="F1267:F1275"/>
    <mergeCell ref="I1267:I1275"/>
    <mergeCell ref="J1267:J1275"/>
    <mergeCell ref="K1267:K1275"/>
    <mergeCell ref="F1276:F1285"/>
    <mergeCell ref="I1276:I1285"/>
    <mergeCell ref="J1276:J1285"/>
    <mergeCell ref="K1276:K1285"/>
    <mergeCell ref="F1250:F1256"/>
    <mergeCell ref="I1250:I1256"/>
    <mergeCell ref="J1250:J1256"/>
    <mergeCell ref="K1250:K1256"/>
    <mergeCell ref="F1257:F1266"/>
    <mergeCell ref="I1257:I1266"/>
    <mergeCell ref="J1257:J1266"/>
    <mergeCell ref="K1257:K1266"/>
    <mergeCell ref="F1226:F1234"/>
    <mergeCell ref="I1226:I1234"/>
    <mergeCell ref="J1226:J1234"/>
    <mergeCell ref="K1226:K1234"/>
    <mergeCell ref="F1235:F1249"/>
    <mergeCell ref="I1235:I1249"/>
    <mergeCell ref="J1235:J1249"/>
    <mergeCell ref="K1235:K1249"/>
    <mergeCell ref="F1212:F1217"/>
    <mergeCell ref="I1212:I1217"/>
    <mergeCell ref="J1212:J1217"/>
    <mergeCell ref="K1212:K1217"/>
    <mergeCell ref="F1218:F1225"/>
    <mergeCell ref="I1218:I1225"/>
    <mergeCell ref="J1218:J1225"/>
    <mergeCell ref="K1218:K1225"/>
    <mergeCell ref="F1191:F1198"/>
    <mergeCell ref="I1191:I1198"/>
    <mergeCell ref="J1191:J1198"/>
    <mergeCell ref="K1191:K1198"/>
    <mergeCell ref="F1199:F1211"/>
    <mergeCell ref="I1199:I1211"/>
    <mergeCell ref="J1199:J1211"/>
    <mergeCell ref="K1199:K1211"/>
    <mergeCell ref="F1160:F1165"/>
    <mergeCell ref="I1160:I1165"/>
    <mergeCell ref="J1160:J1165"/>
    <mergeCell ref="K1160:K1165"/>
    <mergeCell ref="F1166:F1190"/>
    <mergeCell ref="I1166:I1190"/>
    <mergeCell ref="J1166:J1190"/>
    <mergeCell ref="K1166:K1190"/>
    <mergeCell ref="F1132:F1148"/>
    <mergeCell ref="I1132:I1148"/>
    <mergeCell ref="J1132:J1148"/>
    <mergeCell ref="K1132:K1148"/>
    <mergeCell ref="F1149:F1159"/>
    <mergeCell ref="I1149:I1159"/>
    <mergeCell ref="J1149:J1159"/>
    <mergeCell ref="K1149:K1159"/>
    <mergeCell ref="F1110:F1124"/>
    <mergeCell ref="I1110:I1124"/>
    <mergeCell ref="J1110:J1124"/>
    <mergeCell ref="K1110:K1124"/>
    <mergeCell ref="F1125:F1131"/>
    <mergeCell ref="I1125:I1131"/>
    <mergeCell ref="J1125:J1131"/>
    <mergeCell ref="K1125:K1131"/>
    <mergeCell ref="F1093:F1098"/>
    <mergeCell ref="I1093:I1098"/>
    <mergeCell ref="J1093:J1098"/>
    <mergeCell ref="K1093:K1098"/>
    <mergeCell ref="F1099:F1109"/>
    <mergeCell ref="I1099:I1109"/>
    <mergeCell ref="J1099:J1109"/>
    <mergeCell ref="K1099:K1109"/>
    <mergeCell ref="F1087:F1092"/>
    <mergeCell ref="I1087:I1092"/>
    <mergeCell ref="J1087:J1092"/>
    <mergeCell ref="K1087:K1092"/>
    <mergeCell ref="M1061:M1076"/>
    <mergeCell ref="AD1061:AD1076"/>
    <mergeCell ref="AE1061:AE1076"/>
    <mergeCell ref="AV1061:AV1076"/>
    <mergeCell ref="F1077:F1086"/>
    <mergeCell ref="I1077:I1086"/>
    <mergeCell ref="J1077:J1086"/>
    <mergeCell ref="K1077:K1086"/>
    <mergeCell ref="L1077:L1086"/>
    <mergeCell ref="M1077:M1086"/>
    <mergeCell ref="AE1047:AE1060"/>
    <mergeCell ref="AV1047:AV1060"/>
    <mergeCell ref="F1061:F1076"/>
    <mergeCell ref="I1061:I1076"/>
    <mergeCell ref="J1061:J1076"/>
    <mergeCell ref="K1061:K1076"/>
    <mergeCell ref="L1061:L1076"/>
    <mergeCell ref="AD1077:AD1086"/>
    <mergeCell ref="AE1077:AE1086"/>
    <mergeCell ref="AV1077:AV1086"/>
    <mergeCell ref="F1041:F1046"/>
    <mergeCell ref="I1041:I1046"/>
    <mergeCell ref="J1041:J1046"/>
    <mergeCell ref="K1041:K1046"/>
    <mergeCell ref="F1047:F1060"/>
    <mergeCell ref="I1047:I1060"/>
    <mergeCell ref="J1047:J1060"/>
    <mergeCell ref="K1047:K1060"/>
    <mergeCell ref="AD1009:AD1018"/>
    <mergeCell ref="L1047:L1060"/>
    <mergeCell ref="M1047:M1060"/>
    <mergeCell ref="AD1047:AD1060"/>
    <mergeCell ref="AE1009:AE1018"/>
    <mergeCell ref="AV1009:AV1018"/>
    <mergeCell ref="F1019:F1040"/>
    <mergeCell ref="I1019:I1040"/>
    <mergeCell ref="J1019:J1040"/>
    <mergeCell ref="K1019:K1040"/>
    <mergeCell ref="F1009:F1018"/>
    <mergeCell ref="I1009:I1018"/>
    <mergeCell ref="J1009:J1018"/>
    <mergeCell ref="K1009:K1018"/>
    <mergeCell ref="L1009:L1018"/>
    <mergeCell ref="M1009:M1018"/>
    <mergeCell ref="M986:M996"/>
    <mergeCell ref="AD986:AD996"/>
    <mergeCell ref="AE986:AE996"/>
    <mergeCell ref="AV986:AV996"/>
    <mergeCell ref="F997:F1008"/>
    <mergeCell ref="I997:I1008"/>
    <mergeCell ref="J997:J1008"/>
    <mergeCell ref="K997:K1008"/>
    <mergeCell ref="L974:L985"/>
    <mergeCell ref="M974:M985"/>
    <mergeCell ref="AD974:AD985"/>
    <mergeCell ref="AE974:AE985"/>
    <mergeCell ref="AV974:AV985"/>
    <mergeCell ref="F986:F996"/>
    <mergeCell ref="I986:I996"/>
    <mergeCell ref="J986:J996"/>
    <mergeCell ref="K986:K996"/>
    <mergeCell ref="L986:L996"/>
    <mergeCell ref="F967:F973"/>
    <mergeCell ref="I967:I973"/>
    <mergeCell ref="J967:J973"/>
    <mergeCell ref="K967:K973"/>
    <mergeCell ref="F974:F985"/>
    <mergeCell ref="I974:I985"/>
    <mergeCell ref="J974:J985"/>
    <mergeCell ref="K974:K985"/>
    <mergeCell ref="L958:L966"/>
    <mergeCell ref="M958:M966"/>
    <mergeCell ref="AD958:AD966"/>
    <mergeCell ref="AE958:AE966"/>
    <mergeCell ref="AV958:AV966"/>
    <mergeCell ref="T960:T966"/>
    <mergeCell ref="F934:F957"/>
    <mergeCell ref="I934:I957"/>
    <mergeCell ref="J934:J957"/>
    <mergeCell ref="K934:K957"/>
    <mergeCell ref="F958:F966"/>
    <mergeCell ref="I958:I966"/>
    <mergeCell ref="J958:J966"/>
    <mergeCell ref="K958:K966"/>
    <mergeCell ref="L915:L923"/>
    <mergeCell ref="M915:M923"/>
    <mergeCell ref="AD915:AD923"/>
    <mergeCell ref="AE915:AE923"/>
    <mergeCell ref="AV915:AV923"/>
    <mergeCell ref="F924:F933"/>
    <mergeCell ref="I924:I933"/>
    <mergeCell ref="J924:J933"/>
    <mergeCell ref="K924:K933"/>
    <mergeCell ref="F908:F914"/>
    <mergeCell ref="I908:I914"/>
    <mergeCell ref="J908:J914"/>
    <mergeCell ref="K908:K914"/>
    <mergeCell ref="F915:F923"/>
    <mergeCell ref="I915:I923"/>
    <mergeCell ref="J915:J923"/>
    <mergeCell ref="K915:K923"/>
    <mergeCell ref="F872:F890"/>
    <mergeCell ref="I872:I890"/>
    <mergeCell ref="J872:J890"/>
    <mergeCell ref="K872:K890"/>
    <mergeCell ref="F891:F907"/>
    <mergeCell ref="I891:I907"/>
    <mergeCell ref="J891:J907"/>
    <mergeCell ref="K891:K907"/>
    <mergeCell ref="AE835:AE862"/>
    <mergeCell ref="AV835:AV862"/>
    <mergeCell ref="F863:F871"/>
    <mergeCell ref="I863:I871"/>
    <mergeCell ref="J863:J871"/>
    <mergeCell ref="K863:K871"/>
    <mergeCell ref="AD819:AD834"/>
    <mergeCell ref="AE819:AE834"/>
    <mergeCell ref="AV819:AV834"/>
    <mergeCell ref="F835:F862"/>
    <mergeCell ref="I835:I862"/>
    <mergeCell ref="J835:J862"/>
    <mergeCell ref="K835:K862"/>
    <mergeCell ref="L835:L862"/>
    <mergeCell ref="M835:M862"/>
    <mergeCell ref="AD835:AD862"/>
    <mergeCell ref="F819:F834"/>
    <mergeCell ref="I819:I834"/>
    <mergeCell ref="J819:J834"/>
    <mergeCell ref="K819:K834"/>
    <mergeCell ref="L819:L834"/>
    <mergeCell ref="M819:M834"/>
    <mergeCell ref="F813:F818"/>
    <mergeCell ref="I813:I818"/>
    <mergeCell ref="J813:J818"/>
    <mergeCell ref="K813:K818"/>
    <mergeCell ref="AV745:AV762"/>
    <mergeCell ref="F763:F779"/>
    <mergeCell ref="I763:I779"/>
    <mergeCell ref="J763:J779"/>
    <mergeCell ref="K763:K779"/>
    <mergeCell ref="F780:F788"/>
    <mergeCell ref="I780:I788"/>
    <mergeCell ref="J780:J788"/>
    <mergeCell ref="K780:K788"/>
    <mergeCell ref="F745:F762"/>
    <mergeCell ref="I745:I762"/>
    <mergeCell ref="J745:J762"/>
    <mergeCell ref="K745:K762"/>
    <mergeCell ref="L745:L762"/>
    <mergeCell ref="M745:M762"/>
    <mergeCell ref="AD745:AD762"/>
    <mergeCell ref="AE745:AE762"/>
    <mergeCell ref="F789:F812"/>
    <mergeCell ref="I789:I812"/>
    <mergeCell ref="J789:J812"/>
    <mergeCell ref="K789:K812"/>
    <mergeCell ref="AD721:AD732"/>
    <mergeCell ref="AE721:AE732"/>
    <mergeCell ref="AV721:AV732"/>
    <mergeCell ref="F733:F744"/>
    <mergeCell ref="I733:I744"/>
    <mergeCell ref="J733:J744"/>
    <mergeCell ref="K733:K744"/>
    <mergeCell ref="L733:L744"/>
    <mergeCell ref="M733:M744"/>
    <mergeCell ref="AD733:AD744"/>
    <mergeCell ref="F721:F732"/>
    <mergeCell ref="I721:I732"/>
    <mergeCell ref="J721:J732"/>
    <mergeCell ref="K721:K732"/>
    <mergeCell ref="L721:L732"/>
    <mergeCell ref="M721:M732"/>
    <mergeCell ref="AE733:AE744"/>
    <mergeCell ref="AV733:AV744"/>
    <mergeCell ref="F695:F720"/>
    <mergeCell ref="I695:I720"/>
    <mergeCell ref="J695:J720"/>
    <mergeCell ref="K695:K720"/>
    <mergeCell ref="L695:L720"/>
    <mergeCell ref="M695:M720"/>
    <mergeCell ref="AD695:AD720"/>
    <mergeCell ref="AE695:AE720"/>
    <mergeCell ref="AV695:AV720"/>
    <mergeCell ref="F665:F694"/>
    <mergeCell ref="I665:I694"/>
    <mergeCell ref="J665:J694"/>
    <mergeCell ref="K665:K694"/>
    <mergeCell ref="L665:L694"/>
    <mergeCell ref="M665:M694"/>
    <mergeCell ref="AD665:AD694"/>
    <mergeCell ref="AE665:AE694"/>
    <mergeCell ref="AV665:AV694"/>
    <mergeCell ref="AD652:AD656"/>
    <mergeCell ref="AE652:AE656"/>
    <mergeCell ref="AV652:AV656"/>
    <mergeCell ref="F659:F664"/>
    <mergeCell ref="I659:I664"/>
    <mergeCell ref="J659:J664"/>
    <mergeCell ref="K659:K664"/>
    <mergeCell ref="L659:L664"/>
    <mergeCell ref="M659:M664"/>
    <mergeCell ref="AD659:AD664"/>
    <mergeCell ref="F652:F656"/>
    <mergeCell ref="I652:I656"/>
    <mergeCell ref="J652:J656"/>
    <mergeCell ref="K652:K656"/>
    <mergeCell ref="L652:L656"/>
    <mergeCell ref="M652:M656"/>
    <mergeCell ref="AE659:AE664"/>
    <mergeCell ref="AV659:AV664"/>
    <mergeCell ref="K641:K651"/>
    <mergeCell ref="L641:L651"/>
    <mergeCell ref="M641:M651"/>
    <mergeCell ref="AD641:AD651"/>
    <mergeCell ref="AE641:AE651"/>
    <mergeCell ref="AV641:AV651"/>
    <mergeCell ref="F636:F640"/>
    <mergeCell ref="I636:I640"/>
    <mergeCell ref="J636:J640"/>
    <mergeCell ref="F641:F651"/>
    <mergeCell ref="I641:I651"/>
    <mergeCell ref="J641:J651"/>
    <mergeCell ref="F614:F625"/>
    <mergeCell ref="I614:I625"/>
    <mergeCell ref="J614:J625"/>
    <mergeCell ref="K614:K625"/>
    <mergeCell ref="M614:M625"/>
    <mergeCell ref="F626:F635"/>
    <mergeCell ref="I626:I635"/>
    <mergeCell ref="J626:J635"/>
    <mergeCell ref="F594:F605"/>
    <mergeCell ref="I594:I605"/>
    <mergeCell ref="J594:J605"/>
    <mergeCell ref="K594:K605"/>
    <mergeCell ref="M594:M605"/>
    <mergeCell ref="F606:F613"/>
    <mergeCell ref="I606:I613"/>
    <mergeCell ref="J606:J613"/>
    <mergeCell ref="K606:K613"/>
    <mergeCell ref="F562:F586"/>
    <mergeCell ref="I562:I586"/>
    <mergeCell ref="J562:J586"/>
    <mergeCell ref="K562:K586"/>
    <mergeCell ref="M562:M586"/>
    <mergeCell ref="J587:J593"/>
    <mergeCell ref="K587:K593"/>
    <mergeCell ref="AE549:AE555"/>
    <mergeCell ref="AV549:AV555"/>
    <mergeCell ref="F556:F560"/>
    <mergeCell ref="I556:I560"/>
    <mergeCell ref="J556:J560"/>
    <mergeCell ref="K556:K560"/>
    <mergeCell ref="M556:M561"/>
    <mergeCell ref="AD542:AD548"/>
    <mergeCell ref="AE542:AE548"/>
    <mergeCell ref="AV542:AV548"/>
    <mergeCell ref="F549:F555"/>
    <mergeCell ref="I549:I555"/>
    <mergeCell ref="J549:J555"/>
    <mergeCell ref="K549:K555"/>
    <mergeCell ref="L549:L555"/>
    <mergeCell ref="M549:M555"/>
    <mergeCell ref="AD549:AD555"/>
    <mergeCell ref="F542:F548"/>
    <mergeCell ref="I542:I548"/>
    <mergeCell ref="J542:J548"/>
    <mergeCell ref="K542:K548"/>
    <mergeCell ref="L542:L548"/>
    <mergeCell ref="M542:M548"/>
    <mergeCell ref="AV508:AV534"/>
    <mergeCell ref="F535:F541"/>
    <mergeCell ref="I535:I541"/>
    <mergeCell ref="J535:J541"/>
    <mergeCell ref="K535:K541"/>
    <mergeCell ref="M535:M541"/>
    <mergeCell ref="AE498:AE507"/>
    <mergeCell ref="AV498:AV507"/>
    <mergeCell ref="F508:F534"/>
    <mergeCell ref="I508:I534"/>
    <mergeCell ref="J508:J534"/>
    <mergeCell ref="K508:K534"/>
    <mergeCell ref="L508:L534"/>
    <mergeCell ref="M508:M534"/>
    <mergeCell ref="AD508:AD534"/>
    <mergeCell ref="AE508:AE534"/>
    <mergeCell ref="AD482:AD486"/>
    <mergeCell ref="AE482:AE486"/>
    <mergeCell ref="AV482:AV486"/>
    <mergeCell ref="F498:F507"/>
    <mergeCell ref="I498:I507"/>
    <mergeCell ref="J498:J507"/>
    <mergeCell ref="K498:K507"/>
    <mergeCell ref="L498:L507"/>
    <mergeCell ref="M498:M507"/>
    <mergeCell ref="AD498:AD507"/>
    <mergeCell ref="F482:F497"/>
    <mergeCell ref="I482:I486"/>
    <mergeCell ref="J482:J486"/>
    <mergeCell ref="K482:K486"/>
    <mergeCell ref="L482:L486"/>
    <mergeCell ref="M482:M486"/>
    <mergeCell ref="AD459:AD471"/>
    <mergeCell ref="AE459:AE471"/>
    <mergeCell ref="AV459:AV471"/>
    <mergeCell ref="T461:T471"/>
    <mergeCell ref="F472:F481"/>
    <mergeCell ref="I472:I481"/>
    <mergeCell ref="J472:J481"/>
    <mergeCell ref="K472:K481"/>
    <mergeCell ref="F459:F471"/>
    <mergeCell ref="I459:I471"/>
    <mergeCell ref="J459:J471"/>
    <mergeCell ref="K459:K471"/>
    <mergeCell ref="L459:L471"/>
    <mergeCell ref="M459:M471"/>
    <mergeCell ref="F429:F434"/>
    <mergeCell ref="I429:I434"/>
    <mergeCell ref="J429:J434"/>
    <mergeCell ref="K429:K434"/>
    <mergeCell ref="M429:M434"/>
    <mergeCell ref="F435:F458"/>
    <mergeCell ref="I435:I458"/>
    <mergeCell ref="J435:J458"/>
    <mergeCell ref="K435:K458"/>
    <mergeCell ref="M435:M458"/>
    <mergeCell ref="F366:F428"/>
    <mergeCell ref="I366:I428"/>
    <mergeCell ref="J366:J428"/>
    <mergeCell ref="K366:K428"/>
    <mergeCell ref="L366:L428"/>
    <mergeCell ref="M366:M428"/>
    <mergeCell ref="AD366:AD428"/>
    <mergeCell ref="AE366:AE428"/>
    <mergeCell ref="AV366:AV428"/>
    <mergeCell ref="F356:F365"/>
    <mergeCell ref="I356:I365"/>
    <mergeCell ref="J356:J365"/>
    <mergeCell ref="K356:K365"/>
    <mergeCell ref="L356:L365"/>
    <mergeCell ref="M356:M365"/>
    <mergeCell ref="AD356:AD365"/>
    <mergeCell ref="AE356:AE365"/>
    <mergeCell ref="AV356:AV365"/>
    <mergeCell ref="AD337:AD348"/>
    <mergeCell ref="AE337:AE348"/>
    <mergeCell ref="AV337:AV348"/>
    <mergeCell ref="F349:F355"/>
    <mergeCell ref="I349:I355"/>
    <mergeCell ref="J349:J355"/>
    <mergeCell ref="K349:K355"/>
    <mergeCell ref="L349:L355"/>
    <mergeCell ref="M349:M355"/>
    <mergeCell ref="AD349:AD355"/>
    <mergeCell ref="F337:F348"/>
    <mergeCell ref="I337:I348"/>
    <mergeCell ref="J337:J348"/>
    <mergeCell ref="K337:K348"/>
    <mergeCell ref="L337:L348"/>
    <mergeCell ref="M337:M348"/>
    <mergeCell ref="AE349:AE355"/>
    <mergeCell ref="AV349:AV355"/>
    <mergeCell ref="F313:F324"/>
    <mergeCell ref="I313:I324"/>
    <mergeCell ref="J313:J324"/>
    <mergeCell ref="K313:K324"/>
    <mergeCell ref="M313:M324"/>
    <mergeCell ref="F325:F336"/>
    <mergeCell ref="I325:I336"/>
    <mergeCell ref="J325:J336"/>
    <mergeCell ref="K325:K336"/>
    <mergeCell ref="M325:M336"/>
    <mergeCell ref="AE294:AE303"/>
    <mergeCell ref="AV294:AV303"/>
    <mergeCell ref="F304:F312"/>
    <mergeCell ref="I304:I312"/>
    <mergeCell ref="J304:J312"/>
    <mergeCell ref="K304:K312"/>
    <mergeCell ref="AD286:AD293"/>
    <mergeCell ref="AE286:AE293"/>
    <mergeCell ref="AV286:AV293"/>
    <mergeCell ref="F294:F303"/>
    <mergeCell ref="I294:I303"/>
    <mergeCell ref="J294:J303"/>
    <mergeCell ref="K294:K303"/>
    <mergeCell ref="L294:L303"/>
    <mergeCell ref="M294:M303"/>
    <mergeCell ref="AD294:AD303"/>
    <mergeCell ref="AD271:AD275"/>
    <mergeCell ref="AE271:AE275"/>
    <mergeCell ref="AV271:AV275"/>
    <mergeCell ref="F286:F293"/>
    <mergeCell ref="I286:I293"/>
    <mergeCell ref="J286:J293"/>
    <mergeCell ref="K286:K293"/>
    <mergeCell ref="L286:L293"/>
    <mergeCell ref="M286:M293"/>
    <mergeCell ref="F248:F270"/>
    <mergeCell ref="I248:I270"/>
    <mergeCell ref="J248:J270"/>
    <mergeCell ref="K248:K270"/>
    <mergeCell ref="M248:M270"/>
    <mergeCell ref="F271:F285"/>
    <mergeCell ref="I271:I275"/>
    <mergeCell ref="J271:J285"/>
    <mergeCell ref="K271:K275"/>
    <mergeCell ref="L271:L275"/>
    <mergeCell ref="M271:M275"/>
    <mergeCell ref="F233:F237"/>
    <mergeCell ref="J233:J237"/>
    <mergeCell ref="K233:K237"/>
    <mergeCell ref="F238:F247"/>
    <mergeCell ref="J238:J247"/>
    <mergeCell ref="K238:K247"/>
    <mergeCell ref="F220:F224"/>
    <mergeCell ref="I220:I224"/>
    <mergeCell ref="J220:J224"/>
    <mergeCell ref="K220:K224"/>
    <mergeCell ref="F225:F232"/>
    <mergeCell ref="I225:I232"/>
    <mergeCell ref="J225:J232"/>
    <mergeCell ref="K225:K232"/>
    <mergeCell ref="F194:F219"/>
    <mergeCell ref="I194:I219"/>
    <mergeCell ref="J194:J219"/>
    <mergeCell ref="K194:K219"/>
    <mergeCell ref="L194:L219"/>
    <mergeCell ref="M194:M219"/>
    <mergeCell ref="AD194:AD219"/>
    <mergeCell ref="AE194:AE219"/>
    <mergeCell ref="AV194:AV219"/>
    <mergeCell ref="F174:F193"/>
    <mergeCell ref="I174:I193"/>
    <mergeCell ref="J174:J193"/>
    <mergeCell ref="K174:K193"/>
    <mergeCell ref="L174:L193"/>
    <mergeCell ref="M174:M193"/>
    <mergeCell ref="AD174:AD193"/>
    <mergeCell ref="AE174:AE193"/>
    <mergeCell ref="AV174:AV193"/>
    <mergeCell ref="F163:F173"/>
    <mergeCell ref="I163:I173"/>
    <mergeCell ref="J163:J173"/>
    <mergeCell ref="K163:K173"/>
    <mergeCell ref="L163:L173"/>
    <mergeCell ref="M163:M173"/>
    <mergeCell ref="AD163:AD173"/>
    <mergeCell ref="AE163:AE173"/>
    <mergeCell ref="AV163:AV173"/>
    <mergeCell ref="F137:F161"/>
    <mergeCell ref="I137:I161"/>
    <mergeCell ref="J137:J161"/>
    <mergeCell ref="K137:K161"/>
    <mergeCell ref="L137:L161"/>
    <mergeCell ref="M137:M161"/>
    <mergeCell ref="AD137:AD161"/>
    <mergeCell ref="AE137:AE161"/>
    <mergeCell ref="AV137:AV161"/>
    <mergeCell ref="F124:F136"/>
    <mergeCell ref="I124:I136"/>
    <mergeCell ref="J124:J136"/>
    <mergeCell ref="K124:K136"/>
    <mergeCell ref="L124:L136"/>
    <mergeCell ref="M124:M136"/>
    <mergeCell ref="AD124:AD136"/>
    <mergeCell ref="AE124:AE136"/>
    <mergeCell ref="AV124:AV136"/>
    <mergeCell ref="F105:F115"/>
    <mergeCell ref="I105:I115"/>
    <mergeCell ref="J105:J115"/>
    <mergeCell ref="K105:K115"/>
    <mergeCell ref="AV105:AV115"/>
    <mergeCell ref="F116:F123"/>
    <mergeCell ref="I116:I123"/>
    <mergeCell ref="J116:J123"/>
    <mergeCell ref="K116:K123"/>
    <mergeCell ref="L116:L123"/>
    <mergeCell ref="M116:M123"/>
    <mergeCell ref="AD116:AD123"/>
    <mergeCell ref="AE116:AE123"/>
    <mergeCell ref="AV116:AV123"/>
    <mergeCell ref="T118:T123"/>
    <mergeCell ref="F95:F104"/>
    <mergeCell ref="I95:I104"/>
    <mergeCell ref="J95:J104"/>
    <mergeCell ref="K95:K104"/>
    <mergeCell ref="L95:L104"/>
    <mergeCell ref="M95:M104"/>
    <mergeCell ref="AD95:AD104"/>
    <mergeCell ref="AE95:AE104"/>
    <mergeCell ref="AV95:AV104"/>
    <mergeCell ref="F81:F94"/>
    <mergeCell ref="I81:I94"/>
    <mergeCell ref="J81:J94"/>
    <mergeCell ref="K81:K94"/>
    <mergeCell ref="L81:L94"/>
    <mergeCell ref="M81:M94"/>
    <mergeCell ref="AD81:AD94"/>
    <mergeCell ref="AE81:AE94"/>
    <mergeCell ref="AV81:AV94"/>
    <mergeCell ref="AD61:AD72"/>
    <mergeCell ref="AE61:AE72"/>
    <mergeCell ref="AV61:AV72"/>
    <mergeCell ref="F73:F80"/>
    <mergeCell ref="I73:I80"/>
    <mergeCell ref="J73:J80"/>
    <mergeCell ref="K73:K80"/>
    <mergeCell ref="L73:L80"/>
    <mergeCell ref="M73:M80"/>
    <mergeCell ref="AD73:AD80"/>
    <mergeCell ref="F61:F72"/>
    <mergeCell ref="I61:I72"/>
    <mergeCell ref="J61:J72"/>
    <mergeCell ref="K61:K72"/>
    <mergeCell ref="L61:L72"/>
    <mergeCell ref="M61:M72"/>
    <mergeCell ref="AE73:AE80"/>
    <mergeCell ref="AV73:AV80"/>
    <mergeCell ref="F46:F60"/>
    <mergeCell ref="I46:I60"/>
    <mergeCell ref="J46:J60"/>
    <mergeCell ref="K46:K60"/>
    <mergeCell ref="L46:L60"/>
    <mergeCell ref="M46:M60"/>
    <mergeCell ref="AD46:AD60"/>
    <mergeCell ref="AE46:AE60"/>
    <mergeCell ref="AV46:AV60"/>
    <mergeCell ref="F37:F45"/>
    <mergeCell ref="I37:I45"/>
    <mergeCell ref="J37:J45"/>
    <mergeCell ref="K37:K45"/>
    <mergeCell ref="L37:L45"/>
    <mergeCell ref="M37:M45"/>
    <mergeCell ref="AD37:AD45"/>
    <mergeCell ref="AE37:AE45"/>
    <mergeCell ref="AV37:AV45"/>
    <mergeCell ref="F30:F36"/>
    <mergeCell ref="I30:I36"/>
    <mergeCell ref="J30:J36"/>
    <mergeCell ref="K30:K36"/>
    <mergeCell ref="L30:L36"/>
    <mergeCell ref="M30:M36"/>
    <mergeCell ref="AD30:AD36"/>
    <mergeCell ref="AE30:AE36"/>
    <mergeCell ref="AV30:AV36"/>
    <mergeCell ref="AD15:AD19"/>
    <mergeCell ref="AE15:AE19"/>
    <mergeCell ref="AV15:AV19"/>
    <mergeCell ref="T17:T19"/>
    <mergeCell ref="F20:F29"/>
    <mergeCell ref="I20:I29"/>
    <mergeCell ref="J20:J29"/>
    <mergeCell ref="K20:K29"/>
    <mergeCell ref="L20:L29"/>
    <mergeCell ref="M20:M29"/>
    <mergeCell ref="AD20:AD29"/>
    <mergeCell ref="AE20:AE29"/>
    <mergeCell ref="AV20:AV29"/>
    <mergeCell ref="AA14:AB14"/>
    <mergeCell ref="A15:A19"/>
    <mergeCell ref="F15:F19"/>
    <mergeCell ref="J15:J19"/>
    <mergeCell ref="K15:K19"/>
    <mergeCell ref="L15:L19"/>
    <mergeCell ref="M15:M19"/>
    <mergeCell ref="Q12:Q13"/>
    <mergeCell ref="R12:S13"/>
    <mergeCell ref="T12:T13"/>
    <mergeCell ref="U12:Y12"/>
    <mergeCell ref="Z12:Z13"/>
    <mergeCell ref="AA12:AB13"/>
    <mergeCell ref="J12:J13"/>
    <mergeCell ref="K12:K13"/>
    <mergeCell ref="L12:L13"/>
    <mergeCell ref="M12:M13"/>
    <mergeCell ref="N12:O13"/>
    <mergeCell ref="P12:P13"/>
    <mergeCell ref="A1724:AV1724"/>
    <mergeCell ref="A6:AV6"/>
    <mergeCell ref="A7:AV7"/>
    <mergeCell ref="A8:AV8"/>
    <mergeCell ref="A9:AV9"/>
    <mergeCell ref="A11:A13"/>
    <mergeCell ref="B11:E11"/>
    <mergeCell ref="F11:K11"/>
    <mergeCell ref="L11:M11"/>
    <mergeCell ref="N11:Q11"/>
    <mergeCell ref="R11:T11"/>
    <mergeCell ref="U11:Z11"/>
    <mergeCell ref="AA11:AC11"/>
    <mergeCell ref="AD11:AD13"/>
    <mergeCell ref="AE11:AE13"/>
    <mergeCell ref="AV11:AV13"/>
    <mergeCell ref="B12:C13"/>
    <mergeCell ref="D12:E13"/>
    <mergeCell ref="F12:F13"/>
    <mergeCell ref="G12:H13"/>
    <mergeCell ref="I12:I13"/>
    <mergeCell ref="AC12:AC13"/>
    <mergeCell ref="N14:O14"/>
    <mergeCell ref="R14:S14"/>
    <mergeCell ref="AO13:AP13"/>
    <mergeCell ref="AU11:AU14"/>
    <mergeCell ref="AO12:AS12"/>
    <mergeCell ref="AF11:AT11"/>
    <mergeCell ref="AF13:AG13"/>
    <mergeCell ref="AH13:AJ13"/>
    <mergeCell ref="AK13:AM13"/>
    <mergeCell ref="AN13:AN14"/>
    <mergeCell ref="AF12:AN12"/>
    <mergeCell ref="AQ13:AS13"/>
    <mergeCell ref="AT13:AT14"/>
  </mergeCells>
  <printOptions horizontalCentered="1"/>
  <pageMargins left="0.11811023622047245" right="0.11811023622047245" top="0.82677165354330717" bottom="0.19685039370078741" header="0.19685039370078741" footer="0.19685039370078741"/>
  <pageSetup paperSize="8" scale="50" fitToHeight="0" orientation="landscape" horizontalDpi="4294967293" verticalDpi="4294967293" r:id="rId1"/>
  <headerFooter>
    <oddHeader>&amp;C&amp;G</oddHeader>
    <oddFooter>&amp;CHal. &amp;P dari &amp;N</oddFooter>
  </headerFooter>
  <rowBreaks count="31" manualBreakCount="31">
    <brk id="60" max="16383" man="1"/>
    <brk id="115" max="46" man="1"/>
    <brk id="173" max="46" man="1"/>
    <brk id="232" max="46" man="1"/>
    <brk id="293" max="46" man="1"/>
    <brk id="355" max="46" man="1"/>
    <brk id="428" max="46" man="1"/>
    <brk id="481" max="46" man="1"/>
    <brk id="541" max="46" man="1"/>
    <brk id="593" max="46" man="1"/>
    <brk id="651" max="46" man="1"/>
    <brk id="694" max="46" man="1"/>
    <brk id="744" max="46" man="1"/>
    <brk id="788" max="46" man="1"/>
    <brk id="834" max="46" man="1"/>
    <brk id="890" max="46" man="1"/>
    <brk id="933" max="46" man="1"/>
    <brk id="985" max="46" man="1"/>
    <brk id="1040" max="16383" man="1"/>
    <brk id="1098" max="46" man="1"/>
    <brk id="1159" max="46" man="1"/>
    <brk id="1217" max="46" man="1"/>
    <brk id="1266" max="46" man="1"/>
    <brk id="1322" max="46" man="1"/>
    <brk id="1379" max="46" man="1"/>
    <brk id="1436" max="46" man="1"/>
    <brk id="1480" max="46" man="1"/>
    <brk id="1533" max="46" man="1"/>
    <brk id="1590" max="46" man="1"/>
    <brk id="1646" max="46" man="1"/>
    <brk id="1693" max="46" man="1"/>
  </row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V232"/>
  <sheetViews>
    <sheetView view="pageBreakPreview" topLeftCell="P1" zoomScale="50" zoomScaleNormal="40" zoomScaleSheetLayoutView="50" workbookViewId="0">
      <selection activeCell="AK163" sqref="AK1:AK1048576"/>
    </sheetView>
  </sheetViews>
  <sheetFormatPr defaultColWidth="9.109375" defaultRowHeight="14.4"/>
  <cols>
    <col min="1" max="1" width="5.88671875" style="4" customWidth="1"/>
    <col min="2" max="2" width="3.6640625" style="4" customWidth="1"/>
    <col min="3" max="3" width="35.109375" style="4" customWidth="1"/>
    <col min="4" max="4" width="3.88671875" style="4" hidden="1" customWidth="1"/>
    <col min="5" max="5" width="17.44140625" style="4" hidden="1" customWidth="1"/>
    <col min="6" max="6" width="9.88671875" style="4" customWidth="1"/>
    <col min="7" max="7" width="3.44140625" style="4" hidden="1" customWidth="1"/>
    <col min="8" max="8" width="19.88671875" style="4" hidden="1" customWidth="1"/>
    <col min="9" max="9" width="9.109375" style="108" customWidth="1"/>
    <col min="10" max="10" width="9.109375" style="4"/>
    <col min="11" max="11" width="16.33203125" style="4" customWidth="1"/>
    <col min="12" max="12" width="15" style="4" hidden="1" customWidth="1"/>
    <col min="13" max="13" width="0" style="4" hidden="1" customWidth="1"/>
    <col min="14" max="14" width="4.44140625" style="4" customWidth="1"/>
    <col min="15" max="15" width="26.33203125" style="4" customWidth="1"/>
    <col min="16" max="16" width="9.109375" style="4"/>
    <col min="17" max="17" width="11.33203125" style="4" customWidth="1"/>
    <col min="18" max="18" width="4.88671875" style="4" customWidth="1"/>
    <col min="19" max="19" width="12" style="4" customWidth="1"/>
    <col min="20" max="20" width="9.109375" style="4"/>
    <col min="21" max="21" width="9.109375" style="536"/>
    <col min="22" max="22" width="28.33203125" style="550" customWidth="1"/>
    <col min="23" max="23" width="9.109375" style="559" bestFit="1" customWidth="1"/>
    <col min="24" max="24" width="8.88671875" style="559" customWidth="1"/>
    <col min="25" max="25" width="8.6640625" style="559" bestFit="1" customWidth="1"/>
    <col min="26" max="26" width="10.44140625" style="4" hidden="1" customWidth="1"/>
    <col min="27" max="27" width="3.6640625" style="4" hidden="1" customWidth="1"/>
    <col min="28" max="28" width="13.88671875" style="4" hidden="1" customWidth="1"/>
    <col min="29" max="29" width="0" style="4" hidden="1" customWidth="1"/>
    <col min="30" max="30" width="15.33203125" style="4" hidden="1" customWidth="1"/>
    <col min="31" max="31" width="16.33203125" style="4" hidden="1" customWidth="1"/>
    <col min="32" max="36" width="16.33203125" style="4" customWidth="1"/>
    <col min="37" max="37" width="16.33203125" style="716" customWidth="1"/>
    <col min="38" max="47" width="16.33203125" style="4" customWidth="1"/>
    <col min="48" max="48" width="0" style="4" hidden="1" customWidth="1"/>
    <col min="49" max="16384" width="9.109375" style="4"/>
  </cols>
  <sheetData>
    <row r="1" spans="1:48">
      <c r="A1" s="1" t="s">
        <v>554</v>
      </c>
      <c r="B1" s="1"/>
      <c r="C1" s="1"/>
      <c r="D1" s="1"/>
      <c r="E1" s="1"/>
      <c r="F1" s="3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463"/>
      <c r="V1" s="463"/>
      <c r="W1" s="551"/>
      <c r="X1" s="551"/>
      <c r="Y1" s="55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71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553</v>
      </c>
      <c r="B2" s="1"/>
      <c r="C2" s="1"/>
      <c r="D2" s="1"/>
      <c r="E2" s="1"/>
      <c r="F2" s="3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463"/>
      <c r="V2" s="463"/>
      <c r="W2" s="551"/>
      <c r="X2" s="551"/>
      <c r="Y2" s="55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71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>
      <c r="A3" s="1" t="s">
        <v>552</v>
      </c>
      <c r="B3" s="1"/>
      <c r="C3" s="1"/>
      <c r="D3" s="1"/>
      <c r="E3" s="1"/>
      <c r="F3" s="3"/>
      <c r="G3" s="1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63"/>
      <c r="V3" s="463"/>
      <c r="W3" s="551"/>
      <c r="X3" s="551"/>
      <c r="Y3" s="55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71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>
      <c r="A4" s="1" t="s">
        <v>551</v>
      </c>
      <c r="B4" s="1"/>
      <c r="C4" s="1"/>
      <c r="D4" s="1"/>
      <c r="E4" s="1"/>
      <c r="F4" s="3"/>
      <c r="G4" s="1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63"/>
      <c r="V4" s="463"/>
      <c r="W4" s="551"/>
      <c r="X4" s="551"/>
      <c r="Y4" s="55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714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33.75" customHeight="1">
      <c r="A5" s="1" t="s">
        <v>550</v>
      </c>
      <c r="B5" s="1"/>
      <c r="C5" s="1"/>
      <c r="D5" s="1"/>
      <c r="E5" s="1"/>
      <c r="F5" s="3"/>
      <c r="G5" s="1"/>
      <c r="H5" s="1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63"/>
      <c r="V5" s="463"/>
      <c r="W5" s="551"/>
      <c r="X5" s="551"/>
      <c r="Y5" s="55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714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23.4">
      <c r="A6" s="914" t="s">
        <v>549</v>
      </c>
      <c r="B6" s="914"/>
      <c r="C6" s="914"/>
      <c r="D6" s="914"/>
      <c r="E6" s="914"/>
      <c r="F6" s="914"/>
      <c r="G6" s="914"/>
      <c r="H6" s="914"/>
      <c r="I6" s="914"/>
      <c r="J6" s="914"/>
      <c r="K6" s="914"/>
      <c r="L6" s="914"/>
      <c r="M6" s="914"/>
      <c r="N6" s="914"/>
      <c r="O6" s="914"/>
      <c r="P6" s="914"/>
      <c r="Q6" s="914"/>
      <c r="R6" s="914"/>
      <c r="S6" s="914"/>
      <c r="T6" s="914"/>
      <c r="U6" s="914"/>
      <c r="V6" s="914"/>
      <c r="W6" s="914"/>
      <c r="X6" s="914"/>
      <c r="Y6" s="914"/>
      <c r="Z6" s="914"/>
      <c r="AA6" s="914"/>
      <c r="AB6" s="914"/>
      <c r="AC6" s="914"/>
      <c r="AD6" s="914"/>
      <c r="AE6" s="914"/>
      <c r="AF6" s="914"/>
      <c r="AG6" s="914"/>
      <c r="AH6" s="914"/>
      <c r="AI6" s="914"/>
      <c r="AJ6" s="914"/>
      <c r="AK6" s="914"/>
      <c r="AL6" s="914"/>
      <c r="AM6" s="914"/>
      <c r="AN6" s="914"/>
      <c r="AO6" s="914"/>
      <c r="AP6" s="914"/>
      <c r="AQ6" s="914"/>
      <c r="AR6" s="914"/>
      <c r="AS6" s="914"/>
      <c r="AT6" s="914"/>
      <c r="AU6" s="914"/>
      <c r="AV6" s="914"/>
    </row>
    <row r="7" spans="1:48" ht="23.4">
      <c r="A7" s="914" t="s">
        <v>548</v>
      </c>
      <c r="B7" s="914"/>
      <c r="C7" s="914"/>
      <c r="D7" s="914"/>
      <c r="E7" s="914"/>
      <c r="F7" s="914"/>
      <c r="G7" s="914"/>
      <c r="H7" s="914"/>
      <c r="I7" s="914"/>
      <c r="J7" s="914"/>
      <c r="K7" s="914"/>
      <c r="L7" s="914"/>
      <c r="M7" s="914"/>
      <c r="N7" s="914"/>
      <c r="O7" s="914"/>
      <c r="P7" s="914"/>
      <c r="Q7" s="914"/>
      <c r="R7" s="914"/>
      <c r="S7" s="914"/>
      <c r="T7" s="914"/>
      <c r="U7" s="914"/>
      <c r="V7" s="914"/>
      <c r="W7" s="914"/>
      <c r="X7" s="914"/>
      <c r="Y7" s="914"/>
      <c r="Z7" s="914"/>
      <c r="AA7" s="914"/>
      <c r="AB7" s="914"/>
      <c r="AC7" s="914"/>
      <c r="AD7" s="914"/>
      <c r="AE7" s="914"/>
      <c r="AF7" s="914"/>
      <c r="AG7" s="914"/>
      <c r="AH7" s="914"/>
      <c r="AI7" s="914"/>
      <c r="AJ7" s="914"/>
      <c r="AK7" s="914"/>
      <c r="AL7" s="914"/>
      <c r="AM7" s="914"/>
      <c r="AN7" s="914"/>
      <c r="AO7" s="914"/>
      <c r="AP7" s="914"/>
      <c r="AQ7" s="914"/>
      <c r="AR7" s="914"/>
      <c r="AS7" s="914"/>
      <c r="AT7" s="914"/>
      <c r="AU7" s="914"/>
      <c r="AV7" s="914"/>
    </row>
    <row r="8" spans="1:48" ht="17.399999999999999">
      <c r="A8" s="915" t="s">
        <v>1811</v>
      </c>
      <c r="B8" s="915"/>
      <c r="C8" s="915"/>
      <c r="D8" s="915"/>
      <c r="E8" s="915"/>
      <c r="F8" s="915"/>
      <c r="G8" s="915"/>
      <c r="H8" s="915"/>
      <c r="I8" s="915"/>
      <c r="J8" s="915"/>
      <c r="K8" s="915"/>
      <c r="L8" s="915"/>
      <c r="M8" s="915"/>
      <c r="N8" s="915"/>
      <c r="O8" s="915"/>
      <c r="P8" s="915"/>
      <c r="Q8" s="915"/>
      <c r="R8" s="915"/>
      <c r="S8" s="915"/>
      <c r="T8" s="915"/>
      <c r="U8" s="915"/>
      <c r="V8" s="915"/>
      <c r="W8" s="915"/>
      <c r="X8" s="915"/>
      <c r="Y8" s="915"/>
      <c r="Z8" s="915"/>
      <c r="AA8" s="915"/>
      <c r="AB8" s="915"/>
      <c r="AC8" s="915"/>
      <c r="AD8" s="915"/>
      <c r="AE8" s="915"/>
      <c r="AF8" s="915"/>
      <c r="AG8" s="915"/>
      <c r="AH8" s="915"/>
      <c r="AI8" s="915"/>
      <c r="AJ8" s="915"/>
      <c r="AK8" s="915"/>
      <c r="AL8" s="915"/>
      <c r="AM8" s="915"/>
      <c r="AN8" s="915"/>
      <c r="AO8" s="915"/>
      <c r="AP8" s="915"/>
      <c r="AQ8" s="915"/>
      <c r="AR8" s="915"/>
      <c r="AS8" s="915"/>
      <c r="AT8" s="915"/>
      <c r="AU8" s="915"/>
      <c r="AV8" s="915"/>
    </row>
    <row r="9" spans="1:48" ht="17.399999999999999">
      <c r="A9" s="915" t="s">
        <v>1807</v>
      </c>
      <c r="B9" s="915"/>
      <c r="C9" s="915"/>
      <c r="D9" s="915"/>
      <c r="E9" s="915"/>
      <c r="F9" s="915"/>
      <c r="G9" s="915"/>
      <c r="H9" s="915"/>
      <c r="I9" s="915"/>
      <c r="J9" s="915"/>
      <c r="K9" s="915"/>
      <c r="L9" s="915"/>
      <c r="M9" s="915"/>
      <c r="N9" s="915"/>
      <c r="O9" s="915"/>
      <c r="P9" s="915"/>
      <c r="Q9" s="915"/>
      <c r="R9" s="915"/>
      <c r="S9" s="915"/>
      <c r="T9" s="915"/>
      <c r="U9" s="915"/>
      <c r="V9" s="915"/>
      <c r="W9" s="915"/>
      <c r="X9" s="915"/>
      <c r="Y9" s="915"/>
      <c r="Z9" s="915"/>
      <c r="AA9" s="915"/>
      <c r="AB9" s="915"/>
      <c r="AC9" s="915"/>
      <c r="AD9" s="915"/>
      <c r="AE9" s="915"/>
      <c r="AF9" s="915"/>
      <c r="AG9" s="915"/>
      <c r="AH9" s="915"/>
      <c r="AI9" s="915"/>
      <c r="AJ9" s="915"/>
      <c r="AK9" s="915"/>
      <c r="AL9" s="915"/>
      <c r="AM9" s="915"/>
      <c r="AN9" s="915"/>
      <c r="AO9" s="915"/>
      <c r="AP9" s="915"/>
      <c r="AQ9" s="915"/>
      <c r="AR9" s="915"/>
      <c r="AS9" s="915"/>
      <c r="AT9" s="915"/>
      <c r="AU9" s="915"/>
      <c r="AV9" s="915"/>
    </row>
    <row r="10" spans="1:48" ht="17.399999999999999">
      <c r="A10" s="915"/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  <c r="X10" s="915"/>
      <c r="Y10" s="915"/>
      <c r="Z10" s="915"/>
      <c r="AA10" s="915"/>
      <c r="AB10" s="915"/>
      <c r="AC10" s="915"/>
      <c r="AD10" s="915"/>
      <c r="AE10" s="915"/>
      <c r="AF10" s="915"/>
      <c r="AG10" s="915"/>
      <c r="AH10" s="915"/>
      <c r="AI10" s="915"/>
      <c r="AJ10" s="915"/>
      <c r="AK10" s="915"/>
      <c r="AL10" s="915"/>
      <c r="AM10" s="915"/>
      <c r="AN10" s="915"/>
      <c r="AO10" s="915"/>
      <c r="AP10" s="915"/>
      <c r="AQ10" s="915"/>
      <c r="AR10" s="915"/>
      <c r="AS10" s="915"/>
      <c r="AT10" s="915"/>
      <c r="AU10" s="915"/>
      <c r="AV10" s="915"/>
    </row>
    <row r="11" spans="1:48">
      <c r="A11" s="946" t="s">
        <v>547</v>
      </c>
      <c r="B11" s="946" t="s">
        <v>546</v>
      </c>
      <c r="C11" s="946"/>
      <c r="D11" s="946"/>
      <c r="E11" s="946"/>
      <c r="F11" s="946" t="s">
        <v>545</v>
      </c>
      <c r="G11" s="946"/>
      <c r="H11" s="946"/>
      <c r="I11" s="946"/>
      <c r="J11" s="946"/>
      <c r="K11" s="946"/>
      <c r="L11" s="946" t="s">
        <v>544</v>
      </c>
      <c r="M11" s="946"/>
      <c r="N11" s="946" t="s">
        <v>543</v>
      </c>
      <c r="O11" s="946"/>
      <c r="P11" s="946"/>
      <c r="Q11" s="946"/>
      <c r="R11" s="946" t="s">
        <v>542</v>
      </c>
      <c r="S11" s="946"/>
      <c r="T11" s="946"/>
      <c r="U11" s="946" t="s">
        <v>541</v>
      </c>
      <c r="V11" s="946"/>
      <c r="W11" s="946"/>
      <c r="X11" s="946"/>
      <c r="Y11" s="946"/>
      <c r="Z11" s="946"/>
      <c r="AA11" s="946" t="s">
        <v>540</v>
      </c>
      <c r="AB11" s="946"/>
      <c r="AC11" s="946"/>
      <c r="AD11" s="946" t="s">
        <v>539</v>
      </c>
      <c r="AE11" s="946" t="s">
        <v>538</v>
      </c>
      <c r="AF11" s="908" t="s">
        <v>1813</v>
      </c>
      <c r="AG11" s="913"/>
      <c r="AH11" s="913"/>
      <c r="AI11" s="913"/>
      <c r="AJ11" s="913"/>
      <c r="AK11" s="913"/>
      <c r="AL11" s="913"/>
      <c r="AM11" s="913"/>
      <c r="AN11" s="913"/>
      <c r="AO11" s="913"/>
      <c r="AP11" s="913"/>
      <c r="AQ11" s="913"/>
      <c r="AR11" s="913"/>
      <c r="AS11" s="913"/>
      <c r="AT11" s="909"/>
      <c r="AU11" s="910" t="s">
        <v>1828</v>
      </c>
      <c r="AV11" s="946" t="s">
        <v>537</v>
      </c>
    </row>
    <row r="12" spans="1:48">
      <c r="A12" s="946"/>
      <c r="B12" s="946" t="s">
        <v>536</v>
      </c>
      <c r="C12" s="946"/>
      <c r="D12" s="946" t="s">
        <v>535</v>
      </c>
      <c r="E12" s="946"/>
      <c r="F12" s="946" t="s">
        <v>534</v>
      </c>
      <c r="G12" s="946" t="s">
        <v>533</v>
      </c>
      <c r="H12" s="946"/>
      <c r="I12" s="955" t="s">
        <v>532</v>
      </c>
      <c r="J12" s="946" t="s">
        <v>531</v>
      </c>
      <c r="K12" s="946" t="s">
        <v>530</v>
      </c>
      <c r="L12" s="946" t="s">
        <v>529</v>
      </c>
      <c r="M12" s="946" t="s">
        <v>528</v>
      </c>
      <c r="N12" s="946" t="s">
        <v>525</v>
      </c>
      <c r="O12" s="946"/>
      <c r="P12" s="946" t="s">
        <v>524</v>
      </c>
      <c r="Q12" s="946" t="s">
        <v>528</v>
      </c>
      <c r="R12" s="947" t="s">
        <v>522</v>
      </c>
      <c r="S12" s="948"/>
      <c r="T12" s="946" t="s">
        <v>527</v>
      </c>
      <c r="U12" s="946" t="s">
        <v>526</v>
      </c>
      <c r="V12" s="946"/>
      <c r="W12" s="946"/>
      <c r="X12" s="946"/>
      <c r="Y12" s="946"/>
      <c r="Z12" s="946" t="s">
        <v>524</v>
      </c>
      <c r="AA12" s="946" t="s">
        <v>525</v>
      </c>
      <c r="AB12" s="946"/>
      <c r="AC12" s="946" t="s">
        <v>524</v>
      </c>
      <c r="AD12" s="946"/>
      <c r="AE12" s="946"/>
      <c r="AF12" s="908" t="s">
        <v>1814</v>
      </c>
      <c r="AG12" s="913"/>
      <c r="AH12" s="913"/>
      <c r="AI12" s="913"/>
      <c r="AJ12" s="913"/>
      <c r="AK12" s="913"/>
      <c r="AL12" s="913"/>
      <c r="AM12" s="913"/>
      <c r="AN12" s="909"/>
      <c r="AO12" s="908" t="s">
        <v>1818</v>
      </c>
      <c r="AP12" s="913"/>
      <c r="AQ12" s="913"/>
      <c r="AR12" s="913"/>
      <c r="AS12" s="909"/>
      <c r="AT12" s="492"/>
      <c r="AU12" s="911"/>
      <c r="AV12" s="946"/>
    </row>
    <row r="13" spans="1:48" ht="27.6">
      <c r="A13" s="946"/>
      <c r="B13" s="946"/>
      <c r="C13" s="946"/>
      <c r="D13" s="946"/>
      <c r="E13" s="946"/>
      <c r="F13" s="946"/>
      <c r="G13" s="946"/>
      <c r="H13" s="946"/>
      <c r="I13" s="955"/>
      <c r="J13" s="946"/>
      <c r="K13" s="946"/>
      <c r="L13" s="946"/>
      <c r="M13" s="946"/>
      <c r="N13" s="946"/>
      <c r="O13" s="946"/>
      <c r="P13" s="946"/>
      <c r="Q13" s="946"/>
      <c r="R13" s="949"/>
      <c r="S13" s="950"/>
      <c r="T13" s="946"/>
      <c r="U13" s="520" t="s">
        <v>523</v>
      </c>
      <c r="V13" s="520" t="s">
        <v>522</v>
      </c>
      <c r="W13" s="552" t="s">
        <v>521</v>
      </c>
      <c r="X13" s="552" t="s">
        <v>520</v>
      </c>
      <c r="Y13" s="552" t="s">
        <v>519</v>
      </c>
      <c r="Z13" s="946"/>
      <c r="AA13" s="946"/>
      <c r="AB13" s="946"/>
      <c r="AC13" s="946"/>
      <c r="AD13" s="946"/>
      <c r="AE13" s="946"/>
      <c r="AF13" s="908" t="s">
        <v>545</v>
      </c>
      <c r="AG13" s="909"/>
      <c r="AH13" s="908" t="s">
        <v>543</v>
      </c>
      <c r="AI13" s="913"/>
      <c r="AJ13" s="909"/>
      <c r="AK13" s="908" t="s">
        <v>542</v>
      </c>
      <c r="AL13" s="913"/>
      <c r="AM13" s="909"/>
      <c r="AN13" s="910" t="s">
        <v>1819</v>
      </c>
      <c r="AO13" s="908" t="s">
        <v>1820</v>
      </c>
      <c r="AP13" s="909"/>
      <c r="AQ13" s="908" t="s">
        <v>1823</v>
      </c>
      <c r="AR13" s="909"/>
      <c r="AS13" s="494" t="s">
        <v>1826</v>
      </c>
      <c r="AT13" s="494" t="s">
        <v>1827</v>
      </c>
      <c r="AU13" s="911"/>
      <c r="AV13" s="946"/>
    </row>
    <row r="14" spans="1:48">
      <c r="A14" s="104">
        <v>1</v>
      </c>
      <c r="B14" s="104"/>
      <c r="C14" s="104">
        <v>2</v>
      </c>
      <c r="D14" s="105"/>
      <c r="E14" s="106">
        <v>3</v>
      </c>
      <c r="F14" s="104">
        <v>4</v>
      </c>
      <c r="G14" s="105"/>
      <c r="H14" s="104">
        <v>5</v>
      </c>
      <c r="I14" s="116">
        <v>6</v>
      </c>
      <c r="J14" s="104">
        <v>7</v>
      </c>
      <c r="K14" s="104">
        <v>8</v>
      </c>
      <c r="L14" s="104">
        <v>9</v>
      </c>
      <c r="M14" s="104">
        <v>10</v>
      </c>
      <c r="N14" s="951">
        <v>11</v>
      </c>
      <c r="O14" s="951"/>
      <c r="P14" s="104">
        <v>12</v>
      </c>
      <c r="Q14" s="104">
        <v>13</v>
      </c>
      <c r="R14" s="951">
        <v>14</v>
      </c>
      <c r="S14" s="951"/>
      <c r="T14" s="104">
        <v>15</v>
      </c>
      <c r="U14" s="521">
        <v>16</v>
      </c>
      <c r="V14" s="521">
        <v>17</v>
      </c>
      <c r="W14" s="553">
        <v>18</v>
      </c>
      <c r="X14" s="553">
        <v>19</v>
      </c>
      <c r="Y14" s="553">
        <v>20</v>
      </c>
      <c r="Z14" s="104">
        <v>21</v>
      </c>
      <c r="AA14" s="951">
        <v>22</v>
      </c>
      <c r="AB14" s="951"/>
      <c r="AC14" s="104">
        <v>23</v>
      </c>
      <c r="AD14" s="104">
        <v>24</v>
      </c>
      <c r="AE14" s="104">
        <v>25</v>
      </c>
      <c r="AF14" s="491" t="s">
        <v>1815</v>
      </c>
      <c r="AG14" s="491" t="s">
        <v>1816</v>
      </c>
      <c r="AH14" s="491" t="s">
        <v>1815</v>
      </c>
      <c r="AI14" s="491" t="s">
        <v>1817</v>
      </c>
      <c r="AJ14" s="491" t="s">
        <v>1816</v>
      </c>
      <c r="AK14" s="717" t="s">
        <v>1829</v>
      </c>
      <c r="AL14" s="518" t="s">
        <v>1817</v>
      </c>
      <c r="AM14" s="491" t="s">
        <v>1816</v>
      </c>
      <c r="AN14" s="912"/>
      <c r="AO14" s="491" t="s">
        <v>1821</v>
      </c>
      <c r="AP14" s="491" t="s">
        <v>1822</v>
      </c>
      <c r="AQ14" s="491" t="s">
        <v>1824</v>
      </c>
      <c r="AR14" s="491" t="s">
        <v>1825</v>
      </c>
      <c r="AS14" s="491"/>
      <c r="AT14" s="491"/>
      <c r="AU14" s="912"/>
      <c r="AV14" s="104">
        <v>26</v>
      </c>
    </row>
    <row r="15" spans="1:48">
      <c r="A15" s="943"/>
      <c r="B15" s="40" t="s">
        <v>25</v>
      </c>
      <c r="C15" s="103" t="s">
        <v>518</v>
      </c>
      <c r="D15" s="44" t="s">
        <v>25</v>
      </c>
      <c r="E15" s="44" t="s">
        <v>518</v>
      </c>
      <c r="F15" s="943"/>
      <c r="G15" s="100" t="s">
        <v>25</v>
      </c>
      <c r="H15" s="103" t="s">
        <v>517</v>
      </c>
      <c r="I15" s="115"/>
      <c r="J15" s="921" t="s">
        <v>720</v>
      </c>
      <c r="K15" s="921" t="s">
        <v>515</v>
      </c>
      <c r="L15" s="952"/>
      <c r="M15" s="924"/>
      <c r="N15" s="102" t="s">
        <v>25</v>
      </c>
      <c r="O15" s="99" t="s">
        <v>514</v>
      </c>
      <c r="P15" s="101"/>
      <c r="Q15" s="34"/>
      <c r="R15" s="44" t="s">
        <v>25</v>
      </c>
      <c r="S15" s="44" t="s">
        <v>24</v>
      </c>
      <c r="T15" s="34"/>
      <c r="U15" s="34"/>
      <c r="V15" s="101"/>
      <c r="W15" s="540"/>
      <c r="X15" s="537"/>
      <c r="Y15" s="540"/>
      <c r="Z15" s="101"/>
      <c r="AA15" s="100" t="s">
        <v>25</v>
      </c>
      <c r="AB15" s="99" t="s">
        <v>513</v>
      </c>
      <c r="AC15" s="34"/>
      <c r="AD15" s="940"/>
      <c r="AE15" s="943"/>
      <c r="AF15" s="497"/>
      <c r="AG15" s="497"/>
      <c r="AH15" s="497"/>
      <c r="AI15" s="497"/>
      <c r="AJ15" s="497"/>
      <c r="AK15" s="718"/>
      <c r="AL15" s="497"/>
      <c r="AM15" s="497"/>
      <c r="AN15" s="497"/>
      <c r="AO15" s="497"/>
      <c r="AP15" s="497"/>
      <c r="AQ15" s="497"/>
      <c r="AR15" s="497"/>
      <c r="AS15" s="497"/>
      <c r="AT15" s="497"/>
      <c r="AU15" s="497"/>
      <c r="AV15" s="943"/>
    </row>
    <row r="16" spans="1:48">
      <c r="A16" s="944"/>
      <c r="B16" s="22" t="s">
        <v>16</v>
      </c>
      <c r="C16" s="33" t="s">
        <v>512</v>
      </c>
      <c r="D16" s="17" t="s">
        <v>16</v>
      </c>
      <c r="E16" s="18" t="s">
        <v>512</v>
      </c>
      <c r="F16" s="944"/>
      <c r="G16" s="98" t="s">
        <v>16</v>
      </c>
      <c r="H16" s="30" t="s">
        <v>511</v>
      </c>
      <c r="I16" s="114"/>
      <c r="J16" s="922"/>
      <c r="K16" s="922"/>
      <c r="L16" s="953"/>
      <c r="M16" s="925"/>
      <c r="N16" s="92" t="s">
        <v>16</v>
      </c>
      <c r="O16" s="33" t="s">
        <v>510</v>
      </c>
      <c r="P16" s="21"/>
      <c r="Q16" s="23"/>
      <c r="R16" s="18" t="s">
        <v>16</v>
      </c>
      <c r="S16" s="18" t="s">
        <v>15</v>
      </c>
      <c r="T16" s="23"/>
      <c r="U16" s="23"/>
      <c r="V16" s="21"/>
      <c r="W16" s="539"/>
      <c r="X16" s="533"/>
      <c r="Y16" s="539"/>
      <c r="Z16" s="21"/>
      <c r="AA16" s="26" t="s">
        <v>16</v>
      </c>
      <c r="AB16" s="25" t="s">
        <v>509</v>
      </c>
      <c r="AC16" s="23"/>
      <c r="AD16" s="941"/>
      <c r="AE16" s="944"/>
      <c r="AF16" s="498"/>
      <c r="AG16" s="498"/>
      <c r="AH16" s="498"/>
      <c r="AI16" s="498"/>
      <c r="AJ16" s="498"/>
      <c r="AK16" s="715"/>
      <c r="AL16" s="498"/>
      <c r="AM16" s="498"/>
      <c r="AN16" s="498"/>
      <c r="AO16" s="498"/>
      <c r="AP16" s="498"/>
      <c r="AQ16" s="498"/>
      <c r="AR16" s="498"/>
      <c r="AS16" s="498"/>
      <c r="AT16" s="498"/>
      <c r="AU16" s="498"/>
      <c r="AV16" s="944"/>
    </row>
    <row r="17" spans="1:48">
      <c r="A17" s="944"/>
      <c r="B17" s="22" t="s">
        <v>18</v>
      </c>
      <c r="C17" s="30" t="s">
        <v>508</v>
      </c>
      <c r="D17" s="18" t="s">
        <v>18</v>
      </c>
      <c r="E17" s="18" t="s">
        <v>508</v>
      </c>
      <c r="F17" s="944"/>
      <c r="G17" s="22" t="s">
        <v>18</v>
      </c>
      <c r="H17" s="30" t="s">
        <v>507</v>
      </c>
      <c r="I17" s="114"/>
      <c r="J17" s="922"/>
      <c r="K17" s="922"/>
      <c r="L17" s="953"/>
      <c r="M17" s="925"/>
      <c r="N17" s="92" t="s">
        <v>18</v>
      </c>
      <c r="O17" s="33" t="s">
        <v>506</v>
      </c>
      <c r="P17" s="21"/>
      <c r="Q17" s="23"/>
      <c r="R17" s="21"/>
      <c r="S17" s="21"/>
      <c r="T17" s="944"/>
      <c r="U17" s="498"/>
      <c r="V17" s="495"/>
      <c r="W17" s="539"/>
      <c r="X17" s="533"/>
      <c r="Y17" s="539"/>
      <c r="Z17" s="29"/>
      <c r="AA17" s="22" t="s">
        <v>18</v>
      </c>
      <c r="AB17" s="33" t="s">
        <v>505</v>
      </c>
      <c r="AC17" s="23"/>
      <c r="AD17" s="941"/>
      <c r="AE17" s="944"/>
      <c r="AF17" s="498"/>
      <c r="AG17" s="498"/>
      <c r="AH17" s="498"/>
      <c r="AI17" s="498"/>
      <c r="AJ17" s="498"/>
      <c r="AK17" s="715"/>
      <c r="AL17" s="498"/>
      <c r="AM17" s="498"/>
      <c r="AN17" s="498"/>
      <c r="AO17" s="498"/>
      <c r="AP17" s="498"/>
      <c r="AQ17" s="498"/>
      <c r="AR17" s="498"/>
      <c r="AS17" s="498"/>
      <c r="AT17" s="498"/>
      <c r="AU17" s="498"/>
      <c r="AV17" s="944"/>
    </row>
    <row r="18" spans="1:48">
      <c r="A18" s="944"/>
      <c r="B18" s="22" t="s">
        <v>12</v>
      </c>
      <c r="C18" s="30" t="s">
        <v>504</v>
      </c>
      <c r="D18" s="18" t="s">
        <v>12</v>
      </c>
      <c r="E18" s="18" t="s">
        <v>504</v>
      </c>
      <c r="F18" s="944"/>
      <c r="G18" s="26"/>
      <c r="H18" s="75"/>
      <c r="I18" s="114"/>
      <c r="J18" s="922"/>
      <c r="K18" s="922"/>
      <c r="L18" s="953"/>
      <c r="M18" s="925"/>
      <c r="N18" s="92" t="s">
        <v>12</v>
      </c>
      <c r="O18" s="33" t="s">
        <v>503</v>
      </c>
      <c r="P18" s="21"/>
      <c r="Q18" s="23"/>
      <c r="R18" s="21"/>
      <c r="S18" s="21"/>
      <c r="T18" s="944"/>
      <c r="U18" s="498"/>
      <c r="V18" s="495"/>
      <c r="W18" s="539"/>
      <c r="X18" s="533"/>
      <c r="Y18" s="539"/>
      <c r="Z18" s="29"/>
      <c r="AA18" s="22" t="s">
        <v>12</v>
      </c>
      <c r="AB18" s="33" t="s">
        <v>502</v>
      </c>
      <c r="AC18" s="23"/>
      <c r="AD18" s="941"/>
      <c r="AE18" s="944"/>
      <c r="AF18" s="498"/>
      <c r="AG18" s="498"/>
      <c r="AH18" s="498"/>
      <c r="AI18" s="498"/>
      <c r="AJ18" s="498"/>
      <c r="AK18" s="715"/>
      <c r="AL18" s="498"/>
      <c r="AM18" s="498"/>
      <c r="AN18" s="498"/>
      <c r="AO18" s="498"/>
      <c r="AP18" s="498"/>
      <c r="AQ18" s="498"/>
      <c r="AR18" s="498"/>
      <c r="AS18" s="498"/>
      <c r="AT18" s="498"/>
      <c r="AU18" s="498"/>
      <c r="AV18" s="944"/>
    </row>
    <row r="19" spans="1:48">
      <c r="A19" s="945"/>
      <c r="B19" s="7" t="s">
        <v>8</v>
      </c>
      <c r="C19" s="97" t="s">
        <v>501</v>
      </c>
      <c r="D19" s="7" t="s">
        <v>8</v>
      </c>
      <c r="E19" s="7" t="s">
        <v>501</v>
      </c>
      <c r="F19" s="945"/>
      <c r="G19" s="55"/>
      <c r="H19" s="72"/>
      <c r="I19" s="113"/>
      <c r="J19" s="923"/>
      <c r="K19" s="923"/>
      <c r="L19" s="954"/>
      <c r="M19" s="926"/>
      <c r="N19" s="96"/>
      <c r="O19" s="72"/>
      <c r="P19" s="10"/>
      <c r="Q19" s="12"/>
      <c r="R19" s="10"/>
      <c r="S19" s="10"/>
      <c r="T19" s="945"/>
      <c r="U19" s="499"/>
      <c r="V19" s="496"/>
      <c r="W19" s="541"/>
      <c r="X19" s="538"/>
      <c r="Y19" s="541"/>
      <c r="Z19" s="58"/>
      <c r="AA19" s="55"/>
      <c r="AB19" s="72"/>
      <c r="AC19" s="12"/>
      <c r="AD19" s="942"/>
      <c r="AE19" s="945"/>
      <c r="AF19" s="499"/>
      <c r="AG19" s="499"/>
      <c r="AH19" s="499"/>
      <c r="AI19" s="499"/>
      <c r="AJ19" s="499"/>
      <c r="AK19" s="719"/>
      <c r="AL19" s="499"/>
      <c r="AM19" s="499"/>
      <c r="AN19" s="499"/>
      <c r="AO19" s="499"/>
      <c r="AP19" s="499"/>
      <c r="AQ19" s="499"/>
      <c r="AR19" s="499"/>
      <c r="AS19" s="499"/>
      <c r="AT19" s="499"/>
      <c r="AU19" s="499"/>
      <c r="AV19" s="945"/>
    </row>
    <row r="20" spans="1:48">
      <c r="A20" s="95" t="s">
        <v>719</v>
      </c>
      <c r="B20" s="78" t="s">
        <v>25</v>
      </c>
      <c r="C20" s="94" t="s">
        <v>1528</v>
      </c>
      <c r="D20" s="64"/>
      <c r="E20" s="18"/>
      <c r="F20" s="917" t="s">
        <v>1527</v>
      </c>
      <c r="G20" s="93" t="s">
        <v>25</v>
      </c>
      <c r="H20" s="24" t="s">
        <v>1526</v>
      </c>
      <c r="I20" s="937" t="s">
        <v>1525</v>
      </c>
      <c r="J20" s="919"/>
      <c r="K20" s="922" t="s">
        <v>1524</v>
      </c>
      <c r="L20" s="932" t="s">
        <v>46</v>
      </c>
      <c r="M20" s="935" t="s">
        <v>46</v>
      </c>
      <c r="N20" s="64"/>
      <c r="O20" s="17"/>
      <c r="P20" s="16"/>
      <c r="Q20" s="27"/>
      <c r="R20" s="92" t="s">
        <v>16</v>
      </c>
      <c r="S20" s="91" t="s">
        <v>15</v>
      </c>
      <c r="T20" s="32">
        <v>2</v>
      </c>
      <c r="U20" s="73">
        <v>1</v>
      </c>
      <c r="V20" s="525" t="s">
        <v>1529</v>
      </c>
      <c r="W20" s="532"/>
      <c r="X20" s="557"/>
      <c r="Y20" s="532">
        <v>1141</v>
      </c>
      <c r="Z20" s="16">
        <v>1141</v>
      </c>
      <c r="AA20" s="64"/>
      <c r="AB20" s="24"/>
      <c r="AC20" s="23"/>
      <c r="AD20" s="941"/>
      <c r="AE20" s="944"/>
      <c r="AF20" s="498"/>
      <c r="AG20" s="498"/>
      <c r="AH20" s="498"/>
      <c r="AI20" s="498"/>
      <c r="AJ20" s="498"/>
      <c r="AK20" s="715">
        <v>600</v>
      </c>
      <c r="AL20" s="498"/>
      <c r="AM20" s="498"/>
      <c r="AN20" s="498"/>
      <c r="AO20" s="498"/>
      <c r="AP20" s="498"/>
      <c r="AQ20" s="498"/>
      <c r="AR20" s="498"/>
      <c r="AS20" s="498"/>
      <c r="AT20" s="498"/>
      <c r="AU20" s="498"/>
      <c r="AV20" s="922"/>
    </row>
    <row r="21" spans="1:48">
      <c r="A21" s="23"/>
      <c r="B21" s="22" t="s">
        <v>16</v>
      </c>
      <c r="C21" s="33" t="s">
        <v>1523</v>
      </c>
      <c r="D21" s="18"/>
      <c r="E21" s="17"/>
      <c r="F21" s="917"/>
      <c r="G21" s="18" t="s">
        <v>16</v>
      </c>
      <c r="H21" s="18" t="s">
        <v>19</v>
      </c>
      <c r="I21" s="937"/>
      <c r="J21" s="919"/>
      <c r="K21" s="922"/>
      <c r="L21" s="932"/>
      <c r="M21" s="935"/>
      <c r="N21" s="18"/>
      <c r="O21" s="24"/>
      <c r="P21" s="16"/>
      <c r="Q21" s="27"/>
      <c r="R21" s="22"/>
      <c r="S21" s="31"/>
      <c r="T21" s="32"/>
      <c r="U21" s="73">
        <v>2</v>
      </c>
      <c r="V21" s="525" t="s">
        <v>647</v>
      </c>
      <c r="W21" s="532"/>
      <c r="X21" s="557"/>
      <c r="Y21" s="532">
        <v>44</v>
      </c>
      <c r="Z21" s="16">
        <v>44</v>
      </c>
      <c r="AA21" s="18"/>
      <c r="AB21" s="24"/>
      <c r="AC21" s="23"/>
      <c r="AD21" s="941"/>
      <c r="AE21" s="944"/>
      <c r="AF21" s="498"/>
      <c r="AG21" s="498"/>
      <c r="AH21" s="498"/>
      <c r="AI21" s="498"/>
      <c r="AJ21" s="498"/>
      <c r="AK21" s="715">
        <v>140250</v>
      </c>
      <c r="AL21" s="498"/>
      <c r="AM21" s="498"/>
      <c r="AN21" s="498"/>
      <c r="AO21" s="498"/>
      <c r="AP21" s="498"/>
      <c r="AQ21" s="498"/>
      <c r="AR21" s="498"/>
      <c r="AS21" s="498"/>
      <c r="AT21" s="498"/>
      <c r="AU21" s="498"/>
      <c r="AV21" s="922"/>
    </row>
    <row r="22" spans="1:48">
      <c r="A22" s="23"/>
      <c r="B22" s="22" t="s">
        <v>18</v>
      </c>
      <c r="C22" s="30" t="s">
        <v>124</v>
      </c>
      <c r="D22" s="18"/>
      <c r="E22" s="18"/>
      <c r="F22" s="917"/>
      <c r="G22" s="18" t="s">
        <v>18</v>
      </c>
      <c r="H22" s="18" t="s">
        <v>19</v>
      </c>
      <c r="I22" s="937"/>
      <c r="J22" s="919"/>
      <c r="K22" s="922"/>
      <c r="L22" s="932"/>
      <c r="M22" s="935"/>
      <c r="N22" s="18"/>
      <c r="O22" s="24"/>
      <c r="P22" s="23"/>
      <c r="Q22" s="21"/>
      <c r="R22" s="92"/>
      <c r="S22" s="91"/>
      <c r="T22" s="75"/>
      <c r="U22" s="21"/>
      <c r="V22" s="23"/>
      <c r="W22" s="533"/>
      <c r="X22" s="539"/>
      <c r="Y22" s="533"/>
      <c r="Z22" s="16"/>
      <c r="AA22" s="18"/>
      <c r="AB22" s="24"/>
      <c r="AC22" s="23"/>
      <c r="AD22" s="941"/>
      <c r="AE22" s="944"/>
      <c r="AF22" s="498"/>
      <c r="AG22" s="498"/>
      <c r="AH22" s="498"/>
      <c r="AI22" s="498"/>
      <c r="AJ22" s="498"/>
      <c r="AK22" s="715"/>
      <c r="AL22" s="498"/>
      <c r="AM22" s="498"/>
      <c r="AN22" s="498"/>
      <c r="AO22" s="498"/>
      <c r="AP22" s="498"/>
      <c r="AQ22" s="498"/>
      <c r="AR22" s="498"/>
      <c r="AS22" s="498"/>
      <c r="AT22" s="498"/>
      <c r="AU22" s="498"/>
      <c r="AV22" s="922"/>
    </row>
    <row r="23" spans="1:48" ht="41.4">
      <c r="A23" s="23"/>
      <c r="B23" s="26" t="s">
        <v>12</v>
      </c>
      <c r="C23" s="25" t="s">
        <v>1522</v>
      </c>
      <c r="D23" s="18"/>
      <c r="E23" s="24"/>
      <c r="F23" s="917"/>
      <c r="G23" s="18"/>
      <c r="H23" s="21"/>
      <c r="I23" s="937"/>
      <c r="J23" s="919"/>
      <c r="K23" s="922"/>
      <c r="L23" s="932"/>
      <c r="M23" s="935"/>
      <c r="N23" s="18"/>
      <c r="O23" s="24"/>
      <c r="P23" s="23"/>
      <c r="Q23" s="21"/>
      <c r="R23" s="22"/>
      <c r="S23" s="17"/>
      <c r="T23" s="19"/>
      <c r="U23" s="522"/>
      <c r="V23" s="544"/>
      <c r="W23" s="554"/>
      <c r="X23" s="560"/>
      <c r="Y23" s="554"/>
      <c r="Z23" s="19"/>
      <c r="AA23" s="18"/>
      <c r="AB23" s="17"/>
      <c r="AC23" s="16"/>
      <c r="AD23" s="941"/>
      <c r="AE23" s="944"/>
      <c r="AF23" s="498"/>
      <c r="AG23" s="498"/>
      <c r="AH23" s="498"/>
      <c r="AI23" s="498"/>
      <c r="AJ23" s="498"/>
      <c r="AK23" s="715"/>
      <c r="AL23" s="498"/>
      <c r="AM23" s="498"/>
      <c r="AN23" s="498"/>
      <c r="AO23" s="498"/>
      <c r="AP23" s="498"/>
      <c r="AQ23" s="498"/>
      <c r="AR23" s="498"/>
      <c r="AS23" s="498"/>
      <c r="AT23" s="498"/>
      <c r="AU23" s="498"/>
      <c r="AV23" s="922"/>
    </row>
    <row r="24" spans="1:48">
      <c r="A24" s="12"/>
      <c r="B24" s="55" t="s">
        <v>8</v>
      </c>
      <c r="C24" s="90" t="s">
        <v>1521</v>
      </c>
      <c r="D24" s="7"/>
      <c r="E24" s="14"/>
      <c r="F24" s="918"/>
      <c r="G24" s="7"/>
      <c r="H24" s="10"/>
      <c r="I24" s="938"/>
      <c r="J24" s="920"/>
      <c r="K24" s="923"/>
      <c r="L24" s="933"/>
      <c r="M24" s="936"/>
      <c r="N24" s="7"/>
      <c r="O24" s="13"/>
      <c r="P24" s="12"/>
      <c r="Q24" s="10"/>
      <c r="R24" s="11"/>
      <c r="S24" s="6"/>
      <c r="T24" s="8"/>
      <c r="U24" s="523"/>
      <c r="V24" s="545"/>
      <c r="W24" s="555"/>
      <c r="X24" s="561"/>
      <c r="Y24" s="555"/>
      <c r="Z24" s="8"/>
      <c r="AA24" s="7"/>
      <c r="AB24" s="6"/>
      <c r="AC24" s="5"/>
      <c r="AD24" s="942"/>
      <c r="AE24" s="945"/>
      <c r="AF24" s="499"/>
      <c r="AG24" s="499"/>
      <c r="AH24" s="499"/>
      <c r="AI24" s="499"/>
      <c r="AJ24" s="499"/>
      <c r="AK24" s="719"/>
      <c r="AL24" s="499"/>
      <c r="AM24" s="499"/>
      <c r="AN24" s="499"/>
      <c r="AO24" s="499"/>
      <c r="AP24" s="499"/>
      <c r="AQ24" s="499"/>
      <c r="AR24" s="499"/>
      <c r="AS24" s="499"/>
      <c r="AT24" s="499"/>
      <c r="AU24" s="499"/>
      <c r="AV24" s="923"/>
    </row>
    <row r="25" spans="1:48">
      <c r="A25" s="46" t="s">
        <v>713</v>
      </c>
      <c r="B25" s="40" t="s">
        <v>25</v>
      </c>
      <c r="C25" s="45" t="s">
        <v>1520</v>
      </c>
      <c r="D25" s="36"/>
      <c r="E25" s="44"/>
      <c r="F25" s="916" t="s">
        <v>1519</v>
      </c>
      <c r="G25" s="43" t="s">
        <v>25</v>
      </c>
      <c r="H25" s="35" t="s">
        <v>1518</v>
      </c>
      <c r="I25" s="939" t="s">
        <v>1517</v>
      </c>
      <c r="J25" s="927"/>
      <c r="K25" s="921" t="s">
        <v>1516</v>
      </c>
      <c r="L25" s="931" t="s">
        <v>46</v>
      </c>
      <c r="M25" s="934" t="s">
        <v>46</v>
      </c>
      <c r="N25" s="64"/>
      <c r="O25" s="17"/>
      <c r="P25" s="37"/>
      <c r="Q25" s="49"/>
      <c r="R25" s="40" t="s">
        <v>25</v>
      </c>
      <c r="S25" s="38" t="s">
        <v>24</v>
      </c>
      <c r="T25" s="39">
        <v>2</v>
      </c>
      <c r="U25" s="524">
        <v>1</v>
      </c>
      <c r="V25" s="524" t="s">
        <v>58</v>
      </c>
      <c r="W25" s="556">
        <v>49</v>
      </c>
      <c r="X25" s="556"/>
      <c r="Y25" s="556"/>
      <c r="Z25" s="16">
        <v>105</v>
      </c>
      <c r="AA25" s="36"/>
      <c r="AB25" s="35"/>
      <c r="AC25" s="34"/>
      <c r="AD25" s="940"/>
      <c r="AE25" s="943"/>
      <c r="AF25" s="497"/>
      <c r="AG25" s="497"/>
      <c r="AH25" s="497"/>
      <c r="AI25" s="497"/>
      <c r="AJ25" s="497"/>
      <c r="AK25" s="718">
        <v>225000</v>
      </c>
      <c r="AL25" s="497"/>
      <c r="AM25" s="497"/>
      <c r="AN25" s="497"/>
      <c r="AO25" s="497"/>
      <c r="AP25" s="497"/>
      <c r="AQ25" s="497"/>
      <c r="AR25" s="497"/>
      <c r="AS25" s="497"/>
      <c r="AT25" s="497"/>
      <c r="AU25" s="497"/>
      <c r="AV25" s="921"/>
    </row>
    <row r="26" spans="1:48">
      <c r="A26" s="23"/>
      <c r="B26" s="22" t="s">
        <v>16</v>
      </c>
      <c r="C26" s="33" t="s">
        <v>1515</v>
      </c>
      <c r="D26" s="18"/>
      <c r="E26" s="17"/>
      <c r="F26" s="917"/>
      <c r="G26" s="18" t="s">
        <v>16</v>
      </c>
      <c r="H26" s="18" t="s">
        <v>19</v>
      </c>
      <c r="I26" s="937"/>
      <c r="J26" s="919"/>
      <c r="K26" s="922"/>
      <c r="L26" s="932"/>
      <c r="M26" s="935"/>
      <c r="N26" s="18"/>
      <c r="O26" s="17"/>
      <c r="P26" s="16"/>
      <c r="Q26" s="27"/>
      <c r="R26" s="22"/>
      <c r="S26" s="31"/>
      <c r="T26" s="32"/>
      <c r="U26" s="525"/>
      <c r="V26" s="525" t="s">
        <v>58</v>
      </c>
      <c r="W26" s="557"/>
      <c r="X26" s="557">
        <v>31</v>
      </c>
      <c r="Y26" s="557"/>
      <c r="Z26" s="16">
        <v>11</v>
      </c>
      <c r="AA26" s="18"/>
      <c r="AB26" s="24"/>
      <c r="AC26" s="23"/>
      <c r="AD26" s="941"/>
      <c r="AE26" s="944"/>
      <c r="AF26" s="498"/>
      <c r="AG26" s="498"/>
      <c r="AH26" s="498"/>
      <c r="AI26" s="498"/>
      <c r="AJ26" s="498"/>
      <c r="AK26" s="715">
        <v>150000</v>
      </c>
      <c r="AL26" s="498"/>
      <c r="AM26" s="498"/>
      <c r="AN26" s="498"/>
      <c r="AO26" s="498"/>
      <c r="AP26" s="498"/>
      <c r="AQ26" s="498"/>
      <c r="AR26" s="498"/>
      <c r="AS26" s="498"/>
      <c r="AT26" s="498"/>
      <c r="AU26" s="498"/>
      <c r="AV26" s="922"/>
    </row>
    <row r="27" spans="1:48">
      <c r="A27" s="23"/>
      <c r="B27" s="22" t="s">
        <v>18</v>
      </c>
      <c r="C27" s="30" t="s">
        <v>38</v>
      </c>
      <c r="D27" s="18"/>
      <c r="E27" s="18"/>
      <c r="F27" s="917"/>
      <c r="G27" s="18" t="s">
        <v>18</v>
      </c>
      <c r="H27" s="18" t="s">
        <v>19</v>
      </c>
      <c r="I27" s="937"/>
      <c r="J27" s="919"/>
      <c r="K27" s="922"/>
      <c r="L27" s="932"/>
      <c r="M27" s="935"/>
      <c r="N27" s="18"/>
      <c r="O27" s="24"/>
      <c r="P27" s="23"/>
      <c r="Q27" s="21"/>
      <c r="R27" s="22" t="s">
        <v>16</v>
      </c>
      <c r="S27" s="21" t="s">
        <v>15</v>
      </c>
      <c r="T27" s="23">
        <v>4</v>
      </c>
      <c r="U27" s="525"/>
      <c r="V27" s="525" t="s">
        <v>58</v>
      </c>
      <c r="W27" s="557"/>
      <c r="X27" s="557"/>
      <c r="Y27" s="557">
        <v>25</v>
      </c>
      <c r="Z27" s="19">
        <v>21</v>
      </c>
      <c r="AA27" s="18"/>
      <c r="AB27" s="24"/>
      <c r="AC27" s="23"/>
      <c r="AD27" s="941"/>
      <c r="AE27" s="944"/>
      <c r="AF27" s="498"/>
      <c r="AG27" s="498"/>
      <c r="AH27" s="498"/>
      <c r="AI27" s="498"/>
      <c r="AJ27" s="498"/>
      <c r="AK27" s="715">
        <v>50000</v>
      </c>
      <c r="AL27" s="498"/>
      <c r="AM27" s="498"/>
      <c r="AN27" s="498"/>
      <c r="AO27" s="498"/>
      <c r="AP27" s="498"/>
      <c r="AQ27" s="498"/>
      <c r="AR27" s="498"/>
      <c r="AS27" s="498"/>
      <c r="AT27" s="498"/>
      <c r="AU27" s="498"/>
      <c r="AV27" s="922"/>
    </row>
    <row r="28" spans="1:48" ht="41.4">
      <c r="A28" s="23"/>
      <c r="B28" s="26" t="s">
        <v>12</v>
      </c>
      <c r="C28" s="25" t="s">
        <v>432</v>
      </c>
      <c r="D28" s="18"/>
      <c r="E28" s="24"/>
      <c r="F28" s="917"/>
      <c r="G28" s="18"/>
      <c r="H28" s="21"/>
      <c r="I28" s="937"/>
      <c r="J28" s="919"/>
      <c r="K28" s="922"/>
      <c r="L28" s="932"/>
      <c r="M28" s="935"/>
      <c r="N28" s="18"/>
      <c r="O28" s="24"/>
      <c r="P28" s="23"/>
      <c r="Q28" s="21"/>
      <c r="R28" s="78"/>
      <c r="S28" s="17"/>
      <c r="T28" s="23"/>
      <c r="U28" s="525">
        <v>2</v>
      </c>
      <c r="V28" s="525" t="s">
        <v>109</v>
      </c>
      <c r="W28" s="557">
        <v>1</v>
      </c>
      <c r="X28" s="557"/>
      <c r="Y28" s="557"/>
      <c r="Z28" s="19">
        <v>3</v>
      </c>
      <c r="AA28" s="18"/>
      <c r="AB28" s="17"/>
      <c r="AC28" s="16"/>
      <c r="AD28" s="941"/>
      <c r="AE28" s="944"/>
      <c r="AF28" s="498"/>
      <c r="AG28" s="498"/>
      <c r="AH28" s="498"/>
      <c r="AI28" s="498"/>
      <c r="AJ28" s="498"/>
      <c r="AK28" s="715">
        <v>40000</v>
      </c>
      <c r="AL28" s="498"/>
      <c r="AM28" s="498"/>
      <c r="AN28" s="498"/>
      <c r="AO28" s="498"/>
      <c r="AP28" s="498"/>
      <c r="AQ28" s="498"/>
      <c r="AR28" s="498"/>
      <c r="AS28" s="498"/>
      <c r="AT28" s="498"/>
      <c r="AU28" s="498"/>
      <c r="AV28" s="922"/>
    </row>
    <row r="29" spans="1:48">
      <c r="A29" s="23"/>
      <c r="B29" s="18" t="s">
        <v>8</v>
      </c>
      <c r="C29" s="62" t="s">
        <v>1514</v>
      </c>
      <c r="D29" s="18"/>
      <c r="E29" s="24"/>
      <c r="F29" s="917"/>
      <c r="G29" s="18"/>
      <c r="H29" s="21"/>
      <c r="I29" s="937"/>
      <c r="J29" s="919"/>
      <c r="K29" s="922"/>
      <c r="L29" s="932"/>
      <c r="M29" s="935"/>
      <c r="N29" s="18"/>
      <c r="O29" s="24"/>
      <c r="P29" s="23"/>
      <c r="Q29" s="21"/>
      <c r="R29" s="78"/>
      <c r="S29" s="17"/>
      <c r="T29" s="23"/>
      <c r="U29" s="525"/>
      <c r="V29" s="525" t="s">
        <v>109</v>
      </c>
      <c r="W29" s="557"/>
      <c r="X29" s="557">
        <v>4</v>
      </c>
      <c r="Y29" s="557"/>
      <c r="Z29" s="19">
        <v>12</v>
      </c>
      <c r="AA29" s="18"/>
      <c r="AB29" s="17"/>
      <c r="AC29" s="16"/>
      <c r="AD29" s="941"/>
      <c r="AE29" s="944"/>
      <c r="AF29" s="498"/>
      <c r="AG29" s="498"/>
      <c r="AH29" s="498"/>
      <c r="AI29" s="498"/>
      <c r="AJ29" s="498"/>
      <c r="AK29" s="715">
        <v>25000</v>
      </c>
      <c r="AL29" s="498"/>
      <c r="AM29" s="498"/>
      <c r="AN29" s="498"/>
      <c r="AO29" s="498"/>
      <c r="AP29" s="498"/>
      <c r="AQ29" s="498"/>
      <c r="AR29" s="498"/>
      <c r="AS29" s="498"/>
      <c r="AT29" s="498"/>
      <c r="AU29" s="498"/>
      <c r="AV29" s="922"/>
    </row>
    <row r="30" spans="1:48">
      <c r="A30" s="23"/>
      <c r="B30" s="18"/>
      <c r="C30" s="62"/>
      <c r="D30" s="18"/>
      <c r="E30" s="24"/>
      <c r="F30" s="917"/>
      <c r="G30" s="18"/>
      <c r="H30" s="21"/>
      <c r="I30" s="937"/>
      <c r="J30" s="919"/>
      <c r="K30" s="922"/>
      <c r="L30" s="932"/>
      <c r="M30" s="935"/>
      <c r="N30" s="18"/>
      <c r="O30" s="24"/>
      <c r="P30" s="23"/>
      <c r="Q30" s="21"/>
      <c r="R30" s="78"/>
      <c r="S30" s="17"/>
      <c r="T30" s="23"/>
      <c r="U30" s="525"/>
      <c r="V30" s="525" t="s">
        <v>109</v>
      </c>
      <c r="W30" s="557"/>
      <c r="X30" s="557"/>
      <c r="Y30" s="557">
        <v>6</v>
      </c>
      <c r="Z30" s="490"/>
      <c r="AA30" s="18"/>
      <c r="AB30" s="17"/>
      <c r="AC30" s="489"/>
      <c r="AD30" s="941"/>
      <c r="AE30" s="944"/>
      <c r="AF30" s="498"/>
      <c r="AG30" s="498"/>
      <c r="AH30" s="498"/>
      <c r="AI30" s="498"/>
      <c r="AJ30" s="498"/>
      <c r="AK30" s="715">
        <v>10000</v>
      </c>
      <c r="AL30" s="498"/>
      <c r="AM30" s="498"/>
      <c r="AN30" s="498"/>
      <c r="AO30" s="498"/>
      <c r="AP30" s="498"/>
      <c r="AQ30" s="498"/>
      <c r="AR30" s="498"/>
      <c r="AS30" s="498"/>
      <c r="AT30" s="498"/>
      <c r="AU30" s="498"/>
      <c r="AV30" s="922"/>
    </row>
    <row r="31" spans="1:48">
      <c r="A31" s="23"/>
      <c r="B31" s="18"/>
      <c r="C31" s="62"/>
      <c r="D31" s="18"/>
      <c r="E31" s="24"/>
      <c r="F31" s="917"/>
      <c r="G31" s="18"/>
      <c r="H31" s="21"/>
      <c r="I31" s="937"/>
      <c r="J31" s="919"/>
      <c r="K31" s="922"/>
      <c r="L31" s="932"/>
      <c r="M31" s="935"/>
      <c r="N31" s="18"/>
      <c r="O31" s="24"/>
      <c r="P31" s="23"/>
      <c r="Q31" s="21"/>
      <c r="R31" s="78"/>
      <c r="S31" s="17"/>
      <c r="T31" s="23"/>
      <c r="U31" s="526">
        <v>1</v>
      </c>
      <c r="V31" s="546" t="s">
        <v>647</v>
      </c>
      <c r="W31" s="533"/>
      <c r="X31" s="539"/>
      <c r="Y31" s="533">
        <v>21</v>
      </c>
      <c r="Z31" s="490"/>
      <c r="AA31" s="18"/>
      <c r="AB31" s="17"/>
      <c r="AC31" s="489"/>
      <c r="AD31" s="941"/>
      <c r="AE31" s="944"/>
      <c r="AF31" s="498"/>
      <c r="AG31" s="498"/>
      <c r="AH31" s="498"/>
      <c r="AI31" s="498"/>
      <c r="AJ31" s="498"/>
      <c r="AK31" s="715">
        <v>140250</v>
      </c>
      <c r="AL31" s="498"/>
      <c r="AM31" s="498"/>
      <c r="AN31" s="498"/>
      <c r="AO31" s="498"/>
      <c r="AP31" s="498"/>
      <c r="AQ31" s="498"/>
      <c r="AR31" s="498"/>
      <c r="AS31" s="498"/>
      <c r="AT31" s="498"/>
      <c r="AU31" s="498"/>
      <c r="AV31" s="922"/>
    </row>
    <row r="32" spans="1:48">
      <c r="A32" s="23"/>
      <c r="B32" s="18"/>
      <c r="C32" s="62"/>
      <c r="D32" s="18"/>
      <c r="E32" s="24"/>
      <c r="F32" s="917"/>
      <c r="G32" s="18"/>
      <c r="H32" s="21"/>
      <c r="I32" s="937"/>
      <c r="J32" s="919"/>
      <c r="K32" s="922"/>
      <c r="L32" s="932"/>
      <c r="M32" s="935"/>
      <c r="N32" s="18"/>
      <c r="O32" s="24"/>
      <c r="P32" s="23"/>
      <c r="Q32" s="21"/>
      <c r="R32" s="78"/>
      <c r="S32" s="17"/>
      <c r="T32" s="23"/>
      <c r="U32" s="526">
        <v>2</v>
      </c>
      <c r="V32" s="546" t="s">
        <v>48</v>
      </c>
      <c r="W32" s="533">
        <v>3</v>
      </c>
      <c r="X32" s="539"/>
      <c r="Y32" s="533"/>
      <c r="Z32" s="490"/>
      <c r="AA32" s="18"/>
      <c r="AB32" s="17"/>
      <c r="AC32" s="489"/>
      <c r="AD32" s="941"/>
      <c r="AE32" s="944"/>
      <c r="AF32" s="498"/>
      <c r="AG32" s="498"/>
      <c r="AH32" s="498"/>
      <c r="AI32" s="498"/>
      <c r="AJ32" s="498"/>
      <c r="AK32" s="715">
        <v>15000</v>
      </c>
      <c r="AL32" s="498"/>
      <c r="AM32" s="498"/>
      <c r="AN32" s="498"/>
      <c r="AO32" s="498"/>
      <c r="AP32" s="498"/>
      <c r="AQ32" s="498"/>
      <c r="AR32" s="498"/>
      <c r="AS32" s="498"/>
      <c r="AT32" s="498"/>
      <c r="AU32" s="498"/>
      <c r="AV32" s="922"/>
    </row>
    <row r="33" spans="1:48">
      <c r="A33" s="23"/>
      <c r="B33" s="18"/>
      <c r="C33" s="62"/>
      <c r="D33" s="18"/>
      <c r="E33" s="24"/>
      <c r="F33" s="917"/>
      <c r="G33" s="18"/>
      <c r="H33" s="21"/>
      <c r="I33" s="937"/>
      <c r="J33" s="919"/>
      <c r="K33" s="922"/>
      <c r="L33" s="932"/>
      <c r="M33" s="935"/>
      <c r="N33" s="18"/>
      <c r="O33" s="24"/>
      <c r="P33" s="23"/>
      <c r="Q33" s="21"/>
      <c r="R33" s="78"/>
      <c r="S33" s="17"/>
      <c r="T33" s="23"/>
      <c r="U33" s="526">
        <v>3</v>
      </c>
      <c r="V33" s="546" t="s">
        <v>1422</v>
      </c>
      <c r="W33" s="533"/>
      <c r="X33" s="539">
        <v>12</v>
      </c>
      <c r="Y33" s="533"/>
      <c r="Z33" s="490"/>
      <c r="AA33" s="18"/>
      <c r="AB33" s="17"/>
      <c r="AC33" s="489"/>
      <c r="AD33" s="941"/>
      <c r="AE33" s="944"/>
      <c r="AF33" s="498"/>
      <c r="AG33" s="498"/>
      <c r="AH33" s="498"/>
      <c r="AI33" s="498"/>
      <c r="AJ33" s="498"/>
      <c r="AK33" s="715">
        <v>6500</v>
      </c>
      <c r="AL33" s="498"/>
      <c r="AM33" s="498"/>
      <c r="AN33" s="498"/>
      <c r="AO33" s="498"/>
      <c r="AP33" s="498"/>
      <c r="AQ33" s="498"/>
      <c r="AR33" s="498"/>
      <c r="AS33" s="498"/>
      <c r="AT33" s="498"/>
      <c r="AU33" s="498"/>
      <c r="AV33" s="922"/>
    </row>
    <row r="34" spans="1:48">
      <c r="A34" s="23"/>
      <c r="B34" s="18"/>
      <c r="C34" s="62"/>
      <c r="D34" s="18"/>
      <c r="E34" s="24"/>
      <c r="F34" s="917"/>
      <c r="G34" s="18"/>
      <c r="H34" s="21"/>
      <c r="I34" s="937"/>
      <c r="J34" s="919"/>
      <c r="K34" s="922"/>
      <c r="L34" s="932"/>
      <c r="M34" s="935"/>
      <c r="N34" s="18"/>
      <c r="O34" s="24"/>
      <c r="P34" s="23"/>
      <c r="Q34" s="21"/>
      <c r="R34" s="78"/>
      <c r="S34" s="17"/>
      <c r="T34" s="23"/>
      <c r="U34" s="526">
        <v>4</v>
      </c>
      <c r="V34" s="546" t="s">
        <v>80</v>
      </c>
      <c r="W34" s="533"/>
      <c r="X34" s="539">
        <v>156</v>
      </c>
      <c r="Y34" s="533"/>
      <c r="Z34" s="490"/>
      <c r="AA34" s="18"/>
      <c r="AB34" s="17"/>
      <c r="AC34" s="489"/>
      <c r="AD34" s="941"/>
      <c r="AE34" s="944"/>
      <c r="AF34" s="498"/>
      <c r="AG34" s="498"/>
      <c r="AH34" s="498"/>
      <c r="AI34" s="498"/>
      <c r="AJ34" s="498"/>
      <c r="AK34" s="715">
        <v>4000</v>
      </c>
      <c r="AL34" s="498"/>
      <c r="AM34" s="498"/>
      <c r="AN34" s="498"/>
      <c r="AO34" s="498"/>
      <c r="AP34" s="498"/>
      <c r="AQ34" s="498"/>
      <c r="AR34" s="498"/>
      <c r="AS34" s="498"/>
      <c r="AT34" s="498"/>
      <c r="AU34" s="498"/>
      <c r="AV34" s="922"/>
    </row>
    <row r="35" spans="1:48">
      <c r="A35" s="23"/>
      <c r="B35" s="26"/>
      <c r="C35" s="25"/>
      <c r="D35" s="18"/>
      <c r="E35" s="24"/>
      <c r="F35" s="917"/>
      <c r="G35" s="18"/>
      <c r="H35" s="21"/>
      <c r="I35" s="937"/>
      <c r="J35" s="919"/>
      <c r="K35" s="922"/>
      <c r="L35" s="932"/>
      <c r="M35" s="935"/>
      <c r="N35" s="18"/>
      <c r="O35" s="24"/>
      <c r="P35" s="23"/>
      <c r="Q35" s="21"/>
      <c r="R35" s="78"/>
      <c r="S35" s="17"/>
      <c r="T35" s="23"/>
      <c r="U35" s="527"/>
      <c r="V35" s="547"/>
      <c r="W35" s="538"/>
      <c r="X35" s="541"/>
      <c r="Y35" s="538"/>
      <c r="Z35" s="8">
        <v>156</v>
      </c>
      <c r="AA35" s="18"/>
      <c r="AB35" s="17"/>
      <c r="AC35" s="16"/>
      <c r="AD35" s="941"/>
      <c r="AE35" s="944"/>
      <c r="AF35" s="498"/>
      <c r="AG35" s="498"/>
      <c r="AH35" s="498"/>
      <c r="AI35" s="498"/>
      <c r="AJ35" s="498"/>
      <c r="AK35" s="715"/>
      <c r="AL35" s="498"/>
      <c r="AM35" s="498"/>
      <c r="AN35" s="498"/>
      <c r="AO35" s="498"/>
      <c r="AP35" s="498"/>
      <c r="AQ35" s="498"/>
      <c r="AR35" s="498"/>
      <c r="AS35" s="498"/>
      <c r="AT35" s="498"/>
      <c r="AU35" s="498"/>
      <c r="AV35" s="922"/>
    </row>
    <row r="36" spans="1:48">
      <c r="A36" s="46" t="s">
        <v>711</v>
      </c>
      <c r="B36" s="40" t="s">
        <v>25</v>
      </c>
      <c r="C36" s="45" t="s">
        <v>1509</v>
      </c>
      <c r="D36" s="36"/>
      <c r="E36" s="44"/>
      <c r="F36" s="916" t="s">
        <v>1513</v>
      </c>
      <c r="G36" s="43" t="s">
        <v>25</v>
      </c>
      <c r="H36" s="35" t="s">
        <v>1512</v>
      </c>
      <c r="I36" s="939" t="s">
        <v>1511</v>
      </c>
      <c r="J36" s="927"/>
      <c r="K36" s="921" t="s">
        <v>1510</v>
      </c>
      <c r="L36" s="931" t="s">
        <v>46</v>
      </c>
      <c r="M36" s="934" t="s">
        <v>46</v>
      </c>
      <c r="N36" s="40"/>
      <c r="O36" s="87" t="s">
        <v>1509</v>
      </c>
      <c r="P36" s="34"/>
      <c r="Q36" s="65"/>
      <c r="R36" s="36" t="s">
        <v>25</v>
      </c>
      <c r="S36" s="38" t="s">
        <v>24</v>
      </c>
      <c r="T36" s="39">
        <v>13</v>
      </c>
      <c r="U36" s="542">
        <v>1</v>
      </c>
      <c r="V36" s="524" t="s">
        <v>58</v>
      </c>
      <c r="W36" s="558">
        <v>81</v>
      </c>
      <c r="X36" s="556"/>
      <c r="Y36" s="562"/>
      <c r="Z36" s="16">
        <v>3745</v>
      </c>
      <c r="AA36" s="36"/>
      <c r="AB36" s="56"/>
      <c r="AC36" s="34"/>
      <c r="AD36" s="940"/>
      <c r="AE36" s="943"/>
      <c r="AF36" s="497"/>
      <c r="AG36" s="497"/>
      <c r="AH36" s="497"/>
      <c r="AI36" s="497"/>
      <c r="AJ36" s="497"/>
      <c r="AK36" s="718">
        <v>225000</v>
      </c>
      <c r="AL36" s="497"/>
      <c r="AM36" s="497"/>
      <c r="AN36" s="497"/>
      <c r="AO36" s="497"/>
      <c r="AP36" s="497"/>
      <c r="AQ36" s="497"/>
      <c r="AR36" s="497"/>
      <c r="AS36" s="497"/>
      <c r="AT36" s="497"/>
      <c r="AU36" s="497"/>
      <c r="AV36" s="921"/>
    </row>
    <row r="37" spans="1:48">
      <c r="A37" s="23"/>
      <c r="B37" s="22" t="s">
        <v>16</v>
      </c>
      <c r="C37" s="33" t="s">
        <v>1508</v>
      </c>
      <c r="D37" s="18"/>
      <c r="E37" s="17"/>
      <c r="F37" s="917"/>
      <c r="G37" s="18" t="s">
        <v>16</v>
      </c>
      <c r="H37" s="18" t="s">
        <v>19</v>
      </c>
      <c r="I37" s="937"/>
      <c r="J37" s="919"/>
      <c r="K37" s="922"/>
      <c r="L37" s="932"/>
      <c r="M37" s="935"/>
      <c r="N37" s="64" t="s">
        <v>25</v>
      </c>
      <c r="O37" s="17" t="s">
        <v>26</v>
      </c>
      <c r="P37" s="23"/>
      <c r="Q37" s="27" t="s">
        <v>1507</v>
      </c>
      <c r="R37" s="22"/>
      <c r="S37" s="31"/>
      <c r="T37" s="32"/>
      <c r="U37" s="543"/>
      <c r="V37" s="525" t="s">
        <v>58</v>
      </c>
      <c r="W37" s="532"/>
      <c r="X37" s="557">
        <v>89</v>
      </c>
      <c r="Y37" s="563"/>
      <c r="Z37" s="19">
        <v>260</v>
      </c>
      <c r="AA37" s="18"/>
      <c r="AB37" s="24"/>
      <c r="AC37" s="23"/>
      <c r="AD37" s="941"/>
      <c r="AE37" s="944"/>
      <c r="AF37" s="498"/>
      <c r="AG37" s="498"/>
      <c r="AH37" s="498"/>
      <c r="AI37" s="498"/>
      <c r="AJ37" s="498"/>
      <c r="AK37" s="715">
        <v>150000</v>
      </c>
      <c r="AL37" s="498"/>
      <c r="AM37" s="498"/>
      <c r="AN37" s="498"/>
      <c r="AO37" s="498"/>
      <c r="AP37" s="498"/>
      <c r="AQ37" s="498"/>
      <c r="AR37" s="498"/>
      <c r="AS37" s="498"/>
      <c r="AT37" s="498"/>
      <c r="AU37" s="498"/>
      <c r="AV37" s="922"/>
    </row>
    <row r="38" spans="1:48">
      <c r="A38" s="23"/>
      <c r="B38" s="22" t="s">
        <v>18</v>
      </c>
      <c r="C38" s="30" t="s">
        <v>60</v>
      </c>
      <c r="D38" s="18"/>
      <c r="E38" s="18"/>
      <c r="F38" s="917"/>
      <c r="G38" s="18" t="s">
        <v>18</v>
      </c>
      <c r="H38" s="18" t="s">
        <v>19</v>
      </c>
      <c r="I38" s="937"/>
      <c r="J38" s="919"/>
      <c r="K38" s="922"/>
      <c r="L38" s="932"/>
      <c r="M38" s="935"/>
      <c r="N38" s="18" t="s">
        <v>16</v>
      </c>
      <c r="O38" s="24" t="s">
        <v>21</v>
      </c>
      <c r="P38" s="23"/>
      <c r="Q38" s="29" t="s">
        <v>1506</v>
      </c>
      <c r="R38" s="22"/>
      <c r="S38" s="21"/>
      <c r="T38" s="23"/>
      <c r="U38" s="73"/>
      <c r="V38" s="525" t="s">
        <v>58</v>
      </c>
      <c r="W38" s="532"/>
      <c r="X38" s="557"/>
      <c r="Y38" s="532">
        <v>3575</v>
      </c>
      <c r="Z38" s="19">
        <v>264</v>
      </c>
      <c r="AA38" s="18"/>
      <c r="AB38" s="24"/>
      <c r="AC38" s="23"/>
      <c r="AD38" s="941"/>
      <c r="AE38" s="944"/>
      <c r="AF38" s="498"/>
      <c r="AG38" s="498"/>
      <c r="AH38" s="498"/>
      <c r="AI38" s="498"/>
      <c r="AJ38" s="498"/>
      <c r="AK38" s="715">
        <v>50000</v>
      </c>
      <c r="AL38" s="498"/>
      <c r="AM38" s="498"/>
      <c r="AN38" s="498"/>
      <c r="AO38" s="498"/>
      <c r="AP38" s="498"/>
      <c r="AQ38" s="498"/>
      <c r="AR38" s="498"/>
      <c r="AS38" s="498"/>
      <c r="AT38" s="498"/>
      <c r="AU38" s="498"/>
      <c r="AV38" s="922"/>
    </row>
    <row r="39" spans="1:48" ht="41.4">
      <c r="A39" s="23"/>
      <c r="B39" s="26" t="s">
        <v>12</v>
      </c>
      <c r="C39" s="25" t="s">
        <v>1505</v>
      </c>
      <c r="D39" s="21"/>
      <c r="E39" s="24"/>
      <c r="F39" s="917"/>
      <c r="G39" s="18"/>
      <c r="H39" s="21"/>
      <c r="I39" s="937"/>
      <c r="J39" s="919"/>
      <c r="K39" s="922"/>
      <c r="L39" s="932"/>
      <c r="M39" s="935"/>
      <c r="N39" s="21" t="s">
        <v>18</v>
      </c>
      <c r="O39" s="24" t="s">
        <v>1481</v>
      </c>
      <c r="P39" s="23"/>
      <c r="Q39" s="29" t="s">
        <v>1504</v>
      </c>
      <c r="R39" s="78"/>
      <c r="S39" s="17"/>
      <c r="T39" s="23"/>
      <c r="U39" s="73">
        <v>2</v>
      </c>
      <c r="V39" s="525" t="s">
        <v>109</v>
      </c>
      <c r="W39" s="532">
        <v>79</v>
      </c>
      <c r="X39" s="557"/>
      <c r="Y39" s="532"/>
      <c r="Z39" s="19">
        <v>67</v>
      </c>
      <c r="AA39" s="18"/>
      <c r="AB39" s="24"/>
      <c r="AC39" s="23"/>
      <c r="AD39" s="941"/>
      <c r="AE39" s="944"/>
      <c r="AF39" s="498"/>
      <c r="AG39" s="498"/>
      <c r="AH39" s="498"/>
      <c r="AI39" s="498"/>
      <c r="AJ39" s="498"/>
      <c r="AK39" s="715">
        <v>40000</v>
      </c>
      <c r="AL39" s="498"/>
      <c r="AM39" s="498"/>
      <c r="AN39" s="498"/>
      <c r="AO39" s="498"/>
      <c r="AP39" s="498"/>
      <c r="AQ39" s="498"/>
      <c r="AR39" s="498"/>
      <c r="AS39" s="498"/>
      <c r="AT39" s="498"/>
      <c r="AU39" s="498"/>
      <c r="AV39" s="922"/>
    </row>
    <row r="40" spans="1:48">
      <c r="A40" s="23"/>
      <c r="B40" s="18" t="s">
        <v>8</v>
      </c>
      <c r="C40" s="62" t="s">
        <v>1502</v>
      </c>
      <c r="D40" s="21"/>
      <c r="E40" s="24"/>
      <c r="F40" s="917"/>
      <c r="G40" s="18"/>
      <c r="H40" s="21"/>
      <c r="I40" s="937"/>
      <c r="J40" s="919"/>
      <c r="K40" s="922"/>
      <c r="L40" s="932"/>
      <c r="M40" s="935"/>
      <c r="N40" s="18" t="s">
        <v>12</v>
      </c>
      <c r="O40" s="17" t="s">
        <v>52</v>
      </c>
      <c r="P40" s="23"/>
      <c r="Q40" s="27" t="s">
        <v>1501</v>
      </c>
      <c r="R40" s="78"/>
      <c r="S40" s="17"/>
      <c r="T40" s="23"/>
      <c r="U40" s="73"/>
      <c r="V40" s="525" t="s">
        <v>109</v>
      </c>
      <c r="W40" s="532"/>
      <c r="X40" s="557">
        <v>76</v>
      </c>
      <c r="Y40" s="532"/>
      <c r="Z40" s="19">
        <v>5453</v>
      </c>
      <c r="AA40" s="18"/>
      <c r="AB40" s="24"/>
      <c r="AC40" s="23"/>
      <c r="AD40" s="941"/>
      <c r="AE40" s="944"/>
      <c r="AF40" s="498"/>
      <c r="AG40" s="498"/>
      <c r="AH40" s="498"/>
      <c r="AI40" s="498"/>
      <c r="AJ40" s="498"/>
      <c r="AK40" s="715">
        <v>25000</v>
      </c>
      <c r="AL40" s="498"/>
      <c r="AM40" s="498"/>
      <c r="AN40" s="498"/>
      <c r="AO40" s="498"/>
      <c r="AP40" s="498"/>
      <c r="AQ40" s="498"/>
      <c r="AR40" s="498"/>
      <c r="AS40" s="498"/>
      <c r="AT40" s="498"/>
      <c r="AU40" s="498"/>
      <c r="AV40" s="922"/>
    </row>
    <row r="41" spans="1:48">
      <c r="A41" s="23"/>
      <c r="B41" s="18"/>
      <c r="C41" s="25"/>
      <c r="D41" s="21"/>
      <c r="E41" s="24"/>
      <c r="F41" s="917"/>
      <c r="G41" s="18"/>
      <c r="H41" s="21"/>
      <c r="I41" s="937"/>
      <c r="J41" s="919"/>
      <c r="K41" s="922"/>
      <c r="L41" s="932"/>
      <c r="M41" s="935"/>
      <c r="N41" s="18" t="s">
        <v>8</v>
      </c>
      <c r="O41" s="17" t="s">
        <v>1472</v>
      </c>
      <c r="P41" s="28">
        <v>1</v>
      </c>
      <c r="Q41" s="29"/>
      <c r="R41" s="78"/>
      <c r="S41" s="17"/>
      <c r="T41" s="23"/>
      <c r="U41" s="73"/>
      <c r="V41" s="525" t="s">
        <v>109</v>
      </c>
      <c r="W41" s="532"/>
      <c r="X41" s="557"/>
      <c r="Y41" s="532">
        <v>105</v>
      </c>
      <c r="Z41" s="19">
        <v>582</v>
      </c>
      <c r="AA41" s="18"/>
      <c r="AB41" s="24"/>
      <c r="AC41" s="23"/>
      <c r="AD41" s="941"/>
      <c r="AE41" s="944"/>
      <c r="AF41" s="498"/>
      <c r="AG41" s="498"/>
      <c r="AH41" s="498"/>
      <c r="AI41" s="498"/>
      <c r="AJ41" s="498"/>
      <c r="AK41" s="715">
        <v>10000</v>
      </c>
      <c r="AL41" s="498"/>
      <c r="AM41" s="498"/>
      <c r="AN41" s="498"/>
      <c r="AO41" s="498"/>
      <c r="AP41" s="498"/>
      <c r="AQ41" s="498"/>
      <c r="AR41" s="498"/>
      <c r="AS41" s="498"/>
      <c r="AT41" s="498"/>
      <c r="AU41" s="498"/>
      <c r="AV41" s="922"/>
    </row>
    <row r="42" spans="1:48">
      <c r="A42" s="23"/>
      <c r="B42" s="18"/>
      <c r="C42" s="25"/>
      <c r="D42" s="21"/>
      <c r="E42" s="24"/>
      <c r="F42" s="917"/>
      <c r="G42" s="18"/>
      <c r="H42" s="21"/>
      <c r="I42" s="937"/>
      <c r="J42" s="919"/>
      <c r="K42" s="922"/>
      <c r="L42" s="932"/>
      <c r="M42" s="935"/>
      <c r="N42" s="18"/>
      <c r="O42" s="86" t="s">
        <v>1499</v>
      </c>
      <c r="P42" s="23"/>
      <c r="Q42" s="29"/>
      <c r="R42" s="78"/>
      <c r="S42" s="17"/>
      <c r="T42" s="23"/>
      <c r="U42" s="526">
        <v>3</v>
      </c>
      <c r="V42" s="546" t="s">
        <v>290</v>
      </c>
      <c r="W42" s="533">
        <v>17</v>
      </c>
      <c r="X42" s="539"/>
      <c r="Y42" s="533"/>
      <c r="Z42" s="19">
        <v>72</v>
      </c>
      <c r="AA42" s="18"/>
      <c r="AB42" s="24"/>
      <c r="AC42" s="23"/>
      <c r="AD42" s="941"/>
      <c r="AE42" s="944"/>
      <c r="AF42" s="498"/>
      <c r="AG42" s="498"/>
      <c r="AH42" s="498"/>
      <c r="AI42" s="498"/>
      <c r="AJ42" s="498"/>
      <c r="AK42" s="715">
        <v>47200</v>
      </c>
      <c r="AL42" s="498"/>
      <c r="AM42" s="498"/>
      <c r="AN42" s="498"/>
      <c r="AO42" s="498"/>
      <c r="AP42" s="498"/>
      <c r="AQ42" s="498"/>
      <c r="AR42" s="498"/>
      <c r="AS42" s="498"/>
      <c r="AT42" s="498"/>
      <c r="AU42" s="498"/>
      <c r="AV42" s="922"/>
    </row>
    <row r="43" spans="1:48" ht="27.6">
      <c r="A43" s="23"/>
      <c r="B43" s="18"/>
      <c r="C43" s="25"/>
      <c r="D43" s="21"/>
      <c r="E43" s="24"/>
      <c r="F43" s="917"/>
      <c r="G43" s="18"/>
      <c r="H43" s="21"/>
      <c r="I43" s="937"/>
      <c r="J43" s="919"/>
      <c r="K43" s="922"/>
      <c r="L43" s="932"/>
      <c r="M43" s="935"/>
      <c r="N43" s="18" t="s">
        <v>25</v>
      </c>
      <c r="O43" s="17" t="s">
        <v>62</v>
      </c>
      <c r="P43" s="23"/>
      <c r="Q43" s="27" t="s">
        <v>1497</v>
      </c>
      <c r="R43" s="78"/>
      <c r="S43" s="17"/>
      <c r="T43" s="23"/>
      <c r="U43" s="526"/>
      <c r="V43" s="546" t="s">
        <v>290</v>
      </c>
      <c r="W43" s="533"/>
      <c r="X43" s="539">
        <v>21</v>
      </c>
      <c r="Y43" s="533"/>
      <c r="Z43" s="19">
        <v>265</v>
      </c>
      <c r="AA43" s="18"/>
      <c r="AB43" s="24"/>
      <c r="AC43" s="23"/>
      <c r="AD43" s="941"/>
      <c r="AE43" s="944"/>
      <c r="AF43" s="498"/>
      <c r="AG43" s="498"/>
      <c r="AH43" s="498"/>
      <c r="AI43" s="498"/>
      <c r="AJ43" s="498"/>
      <c r="AK43" s="715">
        <v>31000</v>
      </c>
      <c r="AL43" s="498"/>
      <c r="AM43" s="498"/>
      <c r="AN43" s="498"/>
      <c r="AO43" s="498"/>
      <c r="AP43" s="498"/>
      <c r="AQ43" s="498"/>
      <c r="AR43" s="498"/>
      <c r="AS43" s="498"/>
      <c r="AT43" s="498"/>
      <c r="AU43" s="498"/>
      <c r="AV43" s="922"/>
    </row>
    <row r="44" spans="1:48">
      <c r="A44" s="23"/>
      <c r="B44" s="18"/>
      <c r="C44" s="25"/>
      <c r="D44" s="21"/>
      <c r="E44" s="24"/>
      <c r="F44" s="917"/>
      <c r="G44" s="18"/>
      <c r="H44" s="21"/>
      <c r="I44" s="937"/>
      <c r="J44" s="919"/>
      <c r="K44" s="922"/>
      <c r="L44" s="932"/>
      <c r="M44" s="935"/>
      <c r="N44" s="18" t="s">
        <v>16</v>
      </c>
      <c r="O44" s="17" t="s">
        <v>21</v>
      </c>
      <c r="P44" s="23"/>
      <c r="Q44" s="27" t="s">
        <v>1496</v>
      </c>
      <c r="R44" s="78"/>
      <c r="S44" s="17"/>
      <c r="T44" s="23"/>
      <c r="U44" s="526"/>
      <c r="V44" s="546" t="s">
        <v>290</v>
      </c>
      <c r="W44" s="533"/>
      <c r="X44" s="539"/>
      <c r="Y44" s="533">
        <v>226</v>
      </c>
      <c r="Z44" s="19">
        <v>58</v>
      </c>
      <c r="AA44" s="18"/>
      <c r="AB44" s="24"/>
      <c r="AC44" s="23"/>
      <c r="AD44" s="941"/>
      <c r="AE44" s="944"/>
      <c r="AF44" s="498"/>
      <c r="AG44" s="498"/>
      <c r="AH44" s="498"/>
      <c r="AI44" s="498"/>
      <c r="AJ44" s="498"/>
      <c r="AK44" s="715">
        <v>15500</v>
      </c>
      <c r="AL44" s="498"/>
      <c r="AM44" s="498"/>
      <c r="AN44" s="498"/>
      <c r="AO44" s="498"/>
      <c r="AP44" s="498"/>
      <c r="AQ44" s="498"/>
      <c r="AR44" s="498"/>
      <c r="AS44" s="498"/>
      <c r="AT44" s="498"/>
      <c r="AU44" s="498"/>
      <c r="AV44" s="922"/>
    </row>
    <row r="45" spans="1:48">
      <c r="A45" s="23"/>
      <c r="B45" s="18"/>
      <c r="C45" s="25"/>
      <c r="D45" s="21"/>
      <c r="E45" s="24"/>
      <c r="F45" s="917"/>
      <c r="G45" s="18"/>
      <c r="H45" s="21"/>
      <c r="I45" s="937"/>
      <c r="J45" s="919"/>
      <c r="K45" s="922"/>
      <c r="L45" s="932"/>
      <c r="M45" s="935"/>
      <c r="N45" s="18" t="s">
        <v>18</v>
      </c>
      <c r="O45" s="17" t="s">
        <v>59</v>
      </c>
      <c r="P45" s="23"/>
      <c r="Q45" s="27" t="s">
        <v>1494</v>
      </c>
      <c r="R45" s="78"/>
      <c r="S45" s="17"/>
      <c r="T45" s="23"/>
      <c r="U45" s="526">
        <v>4</v>
      </c>
      <c r="V45" s="546" t="s">
        <v>1503</v>
      </c>
      <c r="W45" s="533">
        <v>2</v>
      </c>
      <c r="X45" s="539"/>
      <c r="Y45" s="533"/>
      <c r="Z45" s="19">
        <v>22</v>
      </c>
      <c r="AA45" s="18"/>
      <c r="AB45" s="24"/>
      <c r="AC45" s="23"/>
      <c r="AD45" s="941"/>
      <c r="AE45" s="944"/>
      <c r="AF45" s="498"/>
      <c r="AG45" s="498"/>
      <c r="AH45" s="498"/>
      <c r="AI45" s="498"/>
      <c r="AJ45" s="498"/>
      <c r="AK45" s="715">
        <v>60000</v>
      </c>
      <c r="AL45" s="498"/>
      <c r="AM45" s="498"/>
      <c r="AN45" s="498"/>
      <c r="AO45" s="498"/>
      <c r="AP45" s="498"/>
      <c r="AQ45" s="498"/>
      <c r="AR45" s="498"/>
      <c r="AS45" s="498"/>
      <c r="AT45" s="498"/>
      <c r="AU45" s="498"/>
      <c r="AV45" s="922"/>
    </row>
    <row r="46" spans="1:48">
      <c r="A46" s="23"/>
      <c r="B46" s="18"/>
      <c r="C46" s="62"/>
      <c r="D46" s="21"/>
      <c r="E46" s="24"/>
      <c r="F46" s="917"/>
      <c r="G46" s="18"/>
      <c r="H46" s="21"/>
      <c r="I46" s="937"/>
      <c r="J46" s="919"/>
      <c r="K46" s="922"/>
      <c r="L46" s="932"/>
      <c r="M46" s="935"/>
      <c r="N46" s="18" t="s">
        <v>8</v>
      </c>
      <c r="O46" s="17" t="s">
        <v>1472</v>
      </c>
      <c r="P46" s="28">
        <v>1</v>
      </c>
      <c r="Q46" s="27"/>
      <c r="R46" s="78"/>
      <c r="S46" s="17"/>
      <c r="T46" s="23"/>
      <c r="U46" s="526"/>
      <c r="V46" s="546" t="s">
        <v>1503</v>
      </c>
      <c r="W46" s="533"/>
      <c r="X46" s="539">
        <v>52</v>
      </c>
      <c r="Y46" s="533"/>
      <c r="Z46" s="19">
        <v>1282</v>
      </c>
      <c r="AA46" s="18"/>
      <c r="AB46" s="24"/>
      <c r="AC46" s="23"/>
      <c r="AD46" s="941"/>
      <c r="AE46" s="944"/>
      <c r="AF46" s="498"/>
      <c r="AG46" s="498"/>
      <c r="AH46" s="498"/>
      <c r="AI46" s="498"/>
      <c r="AJ46" s="498"/>
      <c r="AK46" s="715">
        <v>40000</v>
      </c>
      <c r="AL46" s="498"/>
      <c r="AM46" s="498"/>
      <c r="AN46" s="498"/>
      <c r="AO46" s="498"/>
      <c r="AP46" s="498"/>
      <c r="AQ46" s="498"/>
      <c r="AR46" s="498"/>
      <c r="AS46" s="498"/>
      <c r="AT46" s="498"/>
      <c r="AU46" s="498"/>
      <c r="AV46" s="922"/>
    </row>
    <row r="47" spans="1:48">
      <c r="A47" s="23"/>
      <c r="B47" s="18"/>
      <c r="C47" s="62"/>
      <c r="D47" s="21"/>
      <c r="E47" s="24"/>
      <c r="F47" s="917"/>
      <c r="G47" s="18"/>
      <c r="H47" s="21"/>
      <c r="I47" s="937"/>
      <c r="J47" s="919"/>
      <c r="K47" s="922"/>
      <c r="L47" s="932"/>
      <c r="M47" s="935"/>
      <c r="N47" s="18" t="s">
        <v>54</v>
      </c>
      <c r="O47" s="17" t="s">
        <v>17</v>
      </c>
      <c r="P47" s="28">
        <v>1</v>
      </c>
      <c r="Q47" s="27"/>
      <c r="R47" s="78"/>
      <c r="S47" s="17"/>
      <c r="T47" s="23"/>
      <c r="U47" s="526"/>
      <c r="V47" s="546" t="s">
        <v>1503</v>
      </c>
      <c r="W47" s="533"/>
      <c r="X47" s="539"/>
      <c r="Y47" s="533">
        <v>13</v>
      </c>
      <c r="Z47" s="19"/>
      <c r="AA47" s="18"/>
      <c r="AB47" s="24"/>
      <c r="AC47" s="23"/>
      <c r="AD47" s="941"/>
      <c r="AE47" s="944"/>
      <c r="AF47" s="498"/>
      <c r="AG47" s="498"/>
      <c r="AH47" s="498"/>
      <c r="AI47" s="498"/>
      <c r="AJ47" s="498"/>
      <c r="AK47" s="715">
        <v>20000</v>
      </c>
      <c r="AL47" s="498"/>
      <c r="AM47" s="498"/>
      <c r="AN47" s="498"/>
      <c r="AO47" s="498"/>
      <c r="AP47" s="498"/>
      <c r="AQ47" s="498"/>
      <c r="AR47" s="498"/>
      <c r="AS47" s="498"/>
      <c r="AT47" s="498"/>
      <c r="AU47" s="498"/>
      <c r="AV47" s="922"/>
    </row>
    <row r="48" spans="1:48">
      <c r="A48" s="23"/>
      <c r="B48" s="18"/>
      <c r="C48" s="62"/>
      <c r="D48" s="21"/>
      <c r="E48" s="24"/>
      <c r="F48" s="917"/>
      <c r="G48" s="18"/>
      <c r="H48" s="21"/>
      <c r="I48" s="937"/>
      <c r="J48" s="919"/>
      <c r="K48" s="922"/>
      <c r="L48" s="932"/>
      <c r="M48" s="935"/>
      <c r="N48" s="18"/>
      <c r="O48" s="86" t="s">
        <v>1493</v>
      </c>
      <c r="P48" s="23"/>
      <c r="Q48" s="27"/>
      <c r="R48" s="78"/>
      <c r="S48" s="17"/>
      <c r="T48" s="23"/>
      <c r="U48" s="526">
        <v>5</v>
      </c>
      <c r="V48" s="546" t="s">
        <v>56</v>
      </c>
      <c r="W48" s="533">
        <v>2149</v>
      </c>
      <c r="X48" s="539"/>
      <c r="Y48" s="533"/>
      <c r="Z48" s="19">
        <v>53</v>
      </c>
      <c r="AA48" s="18"/>
      <c r="AB48" s="24"/>
      <c r="AC48" s="23"/>
      <c r="AD48" s="941"/>
      <c r="AE48" s="944"/>
      <c r="AF48" s="498"/>
      <c r="AG48" s="498"/>
      <c r="AH48" s="498"/>
      <c r="AI48" s="498"/>
      <c r="AJ48" s="498"/>
      <c r="AK48" s="715">
        <v>40000</v>
      </c>
      <c r="AL48" s="498"/>
      <c r="AM48" s="498"/>
      <c r="AN48" s="498"/>
      <c r="AO48" s="498"/>
      <c r="AP48" s="498"/>
      <c r="AQ48" s="498"/>
      <c r="AR48" s="498"/>
      <c r="AS48" s="498"/>
      <c r="AT48" s="498"/>
      <c r="AU48" s="498"/>
      <c r="AV48" s="922"/>
    </row>
    <row r="49" spans="1:48" ht="27.6">
      <c r="A49" s="23"/>
      <c r="B49" s="18"/>
      <c r="C49" s="62"/>
      <c r="D49" s="21"/>
      <c r="E49" s="24"/>
      <c r="F49" s="917"/>
      <c r="G49" s="18"/>
      <c r="H49" s="21"/>
      <c r="I49" s="937"/>
      <c r="J49" s="919"/>
      <c r="K49" s="922"/>
      <c r="L49" s="932"/>
      <c r="M49" s="935"/>
      <c r="N49" s="18" t="s">
        <v>25</v>
      </c>
      <c r="O49" s="17" t="s">
        <v>62</v>
      </c>
      <c r="P49" s="23"/>
      <c r="Q49" s="28" t="s">
        <v>1492</v>
      </c>
      <c r="R49" s="78"/>
      <c r="S49" s="17"/>
      <c r="T49" s="23"/>
      <c r="U49" s="526"/>
      <c r="V49" s="546" t="s">
        <v>56</v>
      </c>
      <c r="W49" s="533"/>
      <c r="X49" s="539">
        <v>115</v>
      </c>
      <c r="Y49" s="533"/>
      <c r="Z49" s="19">
        <v>394</v>
      </c>
      <c r="AA49" s="18"/>
      <c r="AB49" s="24"/>
      <c r="AC49" s="23"/>
      <c r="AD49" s="941"/>
      <c r="AE49" s="944"/>
      <c r="AF49" s="498"/>
      <c r="AG49" s="498"/>
      <c r="AH49" s="498"/>
      <c r="AI49" s="498"/>
      <c r="AJ49" s="498"/>
      <c r="AK49" s="715">
        <v>25000</v>
      </c>
      <c r="AL49" s="498"/>
      <c r="AM49" s="498"/>
      <c r="AN49" s="498"/>
      <c r="AO49" s="498"/>
      <c r="AP49" s="498"/>
      <c r="AQ49" s="498"/>
      <c r="AR49" s="498"/>
      <c r="AS49" s="498"/>
      <c r="AT49" s="498"/>
      <c r="AU49" s="498"/>
      <c r="AV49" s="922"/>
    </row>
    <row r="50" spans="1:48">
      <c r="A50" s="23"/>
      <c r="B50" s="22"/>
      <c r="C50" s="25"/>
      <c r="D50" s="21"/>
      <c r="E50" s="24"/>
      <c r="F50" s="917"/>
      <c r="G50" s="18"/>
      <c r="H50" s="21"/>
      <c r="I50" s="937"/>
      <c r="J50" s="919"/>
      <c r="K50" s="922"/>
      <c r="L50" s="932"/>
      <c r="M50" s="935"/>
      <c r="N50" s="18" t="s">
        <v>16</v>
      </c>
      <c r="O50" s="17" t="s">
        <v>21</v>
      </c>
      <c r="P50" s="28"/>
      <c r="Q50" s="27" t="s">
        <v>1491</v>
      </c>
      <c r="R50" s="78" t="s">
        <v>16</v>
      </c>
      <c r="S50" s="17" t="s">
        <v>15</v>
      </c>
      <c r="T50" s="23">
        <v>39</v>
      </c>
      <c r="U50" s="526"/>
      <c r="V50" s="546" t="s">
        <v>56</v>
      </c>
      <c r="W50" s="533"/>
      <c r="X50" s="539"/>
      <c r="Y50" s="533">
        <v>3189</v>
      </c>
      <c r="Z50" s="19">
        <v>289</v>
      </c>
      <c r="AA50" s="18"/>
      <c r="AB50" s="24"/>
      <c r="AC50" s="23"/>
      <c r="AD50" s="941"/>
      <c r="AE50" s="944"/>
      <c r="AF50" s="498"/>
      <c r="AG50" s="498"/>
      <c r="AH50" s="498"/>
      <c r="AI50" s="498"/>
      <c r="AJ50" s="498"/>
      <c r="AK50" s="715">
        <v>10000</v>
      </c>
      <c r="AL50" s="498"/>
      <c r="AM50" s="498"/>
      <c r="AN50" s="498"/>
      <c r="AO50" s="498"/>
      <c r="AP50" s="498"/>
      <c r="AQ50" s="498"/>
      <c r="AR50" s="498"/>
      <c r="AS50" s="498"/>
      <c r="AT50" s="498"/>
      <c r="AU50" s="498"/>
      <c r="AV50" s="922"/>
    </row>
    <row r="51" spans="1:48">
      <c r="A51" s="23"/>
      <c r="B51" s="22"/>
      <c r="C51" s="25"/>
      <c r="D51" s="21"/>
      <c r="E51" s="24"/>
      <c r="F51" s="917"/>
      <c r="G51" s="18"/>
      <c r="H51" s="21"/>
      <c r="I51" s="937"/>
      <c r="J51" s="919"/>
      <c r="K51" s="922"/>
      <c r="L51" s="932"/>
      <c r="M51" s="935"/>
      <c r="N51" s="18" t="s">
        <v>18</v>
      </c>
      <c r="O51" s="17" t="s">
        <v>52</v>
      </c>
      <c r="P51" s="23"/>
      <c r="Q51" s="27" t="s">
        <v>1490</v>
      </c>
      <c r="R51" s="78"/>
      <c r="S51" s="17"/>
      <c r="T51" s="23"/>
      <c r="U51" s="526">
        <v>6</v>
      </c>
      <c r="V51" s="546" t="s">
        <v>1500</v>
      </c>
      <c r="W51" s="533">
        <v>98</v>
      </c>
      <c r="X51" s="539"/>
      <c r="Y51" s="533"/>
      <c r="Z51" s="19">
        <v>379</v>
      </c>
      <c r="AA51" s="18"/>
      <c r="AB51" s="24"/>
      <c r="AC51" s="23"/>
      <c r="AD51" s="941"/>
      <c r="AE51" s="944"/>
      <c r="AF51" s="498"/>
      <c r="AG51" s="498"/>
      <c r="AH51" s="498"/>
      <c r="AI51" s="498"/>
      <c r="AJ51" s="498"/>
      <c r="AK51" s="715"/>
      <c r="AL51" s="498"/>
      <c r="AM51" s="498"/>
      <c r="AN51" s="498"/>
      <c r="AO51" s="498"/>
      <c r="AP51" s="498"/>
      <c r="AQ51" s="498"/>
      <c r="AR51" s="498"/>
      <c r="AS51" s="498"/>
      <c r="AT51" s="498"/>
      <c r="AU51" s="498"/>
      <c r="AV51" s="922"/>
    </row>
    <row r="52" spans="1:48">
      <c r="A52" s="23"/>
      <c r="B52" s="22"/>
      <c r="C52" s="25"/>
      <c r="D52" s="21"/>
      <c r="E52" s="24"/>
      <c r="F52" s="917"/>
      <c r="G52" s="18"/>
      <c r="H52" s="21"/>
      <c r="I52" s="937"/>
      <c r="J52" s="919"/>
      <c r="K52" s="922"/>
      <c r="L52" s="932"/>
      <c r="M52" s="935"/>
      <c r="N52" s="18" t="s">
        <v>8</v>
      </c>
      <c r="O52" s="17" t="s">
        <v>17</v>
      </c>
      <c r="P52" s="28">
        <v>1</v>
      </c>
      <c r="Q52" s="27"/>
      <c r="R52" s="78"/>
      <c r="S52" s="17"/>
      <c r="T52" s="23"/>
      <c r="U52" s="526"/>
      <c r="V52" s="546" t="s">
        <v>1500</v>
      </c>
      <c r="W52" s="533"/>
      <c r="X52" s="539">
        <v>225</v>
      </c>
      <c r="Y52" s="533"/>
      <c r="Z52" s="19">
        <v>565</v>
      </c>
      <c r="AA52" s="18"/>
      <c r="AB52" s="24"/>
      <c r="AC52" s="23"/>
      <c r="AD52" s="941"/>
      <c r="AE52" s="944"/>
      <c r="AF52" s="498"/>
      <c r="AG52" s="498"/>
      <c r="AH52" s="498"/>
      <c r="AI52" s="498"/>
      <c r="AJ52" s="498"/>
      <c r="AK52" s="715"/>
      <c r="AL52" s="498"/>
      <c r="AM52" s="498"/>
      <c r="AN52" s="498"/>
      <c r="AO52" s="498"/>
      <c r="AP52" s="498"/>
      <c r="AQ52" s="498"/>
      <c r="AR52" s="498"/>
      <c r="AS52" s="498"/>
      <c r="AT52" s="498"/>
      <c r="AU52" s="498"/>
      <c r="AV52" s="922"/>
    </row>
    <row r="53" spans="1:48">
      <c r="A53" s="23"/>
      <c r="B53" s="22"/>
      <c r="C53" s="25"/>
      <c r="D53" s="21"/>
      <c r="E53" s="24"/>
      <c r="F53" s="917"/>
      <c r="G53" s="18"/>
      <c r="H53" s="21"/>
      <c r="I53" s="937"/>
      <c r="J53" s="919"/>
      <c r="K53" s="922"/>
      <c r="L53" s="932"/>
      <c r="M53" s="935"/>
      <c r="N53" s="18" t="s">
        <v>54</v>
      </c>
      <c r="O53" s="17" t="s">
        <v>1472</v>
      </c>
      <c r="P53" s="28">
        <v>1</v>
      </c>
      <c r="Q53" s="27"/>
      <c r="R53" s="78"/>
      <c r="S53" s="17"/>
      <c r="T53" s="23"/>
      <c r="U53" s="526">
        <v>6</v>
      </c>
      <c r="V53" s="546" t="s">
        <v>1500</v>
      </c>
      <c r="W53" s="533"/>
      <c r="X53" s="539"/>
      <c r="Y53" s="533">
        <v>259</v>
      </c>
      <c r="Z53" s="19">
        <v>86</v>
      </c>
      <c r="AA53" s="18"/>
      <c r="AB53" s="24"/>
      <c r="AC53" s="23"/>
      <c r="AD53" s="941"/>
      <c r="AE53" s="944"/>
      <c r="AF53" s="498"/>
      <c r="AG53" s="498"/>
      <c r="AH53" s="498"/>
      <c r="AI53" s="498"/>
      <c r="AJ53" s="498"/>
      <c r="AK53" s="715"/>
      <c r="AL53" s="498"/>
      <c r="AM53" s="498"/>
      <c r="AN53" s="498"/>
      <c r="AO53" s="498"/>
      <c r="AP53" s="498"/>
      <c r="AQ53" s="498"/>
      <c r="AR53" s="498"/>
      <c r="AS53" s="498"/>
      <c r="AT53" s="498"/>
      <c r="AU53" s="498"/>
      <c r="AV53" s="922"/>
    </row>
    <row r="54" spans="1:48">
      <c r="A54" s="23"/>
      <c r="B54" s="22"/>
      <c r="C54" s="25"/>
      <c r="D54" s="21"/>
      <c r="E54" s="24"/>
      <c r="F54" s="917"/>
      <c r="G54" s="18"/>
      <c r="H54" s="21"/>
      <c r="I54" s="937"/>
      <c r="J54" s="919"/>
      <c r="K54" s="922"/>
      <c r="L54" s="932"/>
      <c r="M54" s="935"/>
      <c r="N54" s="18"/>
      <c r="O54" s="86" t="s">
        <v>1488</v>
      </c>
      <c r="P54" s="23"/>
      <c r="Q54" s="27"/>
      <c r="R54" s="78"/>
      <c r="S54" s="17"/>
      <c r="T54" s="23"/>
      <c r="U54" s="526">
        <v>7</v>
      </c>
      <c r="V54" s="546" t="s">
        <v>1498</v>
      </c>
      <c r="W54" s="533">
        <v>19</v>
      </c>
      <c r="X54" s="539"/>
      <c r="Y54" s="533"/>
      <c r="Z54" s="19">
        <v>44</v>
      </c>
      <c r="AA54" s="18"/>
      <c r="AB54" s="24"/>
      <c r="AC54" s="23"/>
      <c r="AD54" s="941"/>
      <c r="AE54" s="944"/>
      <c r="AF54" s="498"/>
      <c r="AG54" s="498"/>
      <c r="AH54" s="498"/>
      <c r="AI54" s="498"/>
      <c r="AJ54" s="498"/>
      <c r="AK54" s="715">
        <v>50000</v>
      </c>
      <c r="AL54" s="498"/>
      <c r="AM54" s="498"/>
      <c r="AN54" s="498"/>
      <c r="AO54" s="498"/>
      <c r="AP54" s="498"/>
      <c r="AQ54" s="498"/>
      <c r="AR54" s="498"/>
      <c r="AS54" s="498"/>
      <c r="AT54" s="498"/>
      <c r="AU54" s="498"/>
      <c r="AV54" s="922"/>
    </row>
    <row r="55" spans="1:48" ht="27.6">
      <c r="A55" s="23"/>
      <c r="B55" s="22"/>
      <c r="C55" s="25"/>
      <c r="D55" s="21"/>
      <c r="E55" s="24"/>
      <c r="F55" s="917"/>
      <c r="G55" s="18"/>
      <c r="H55" s="21"/>
      <c r="I55" s="937"/>
      <c r="J55" s="919"/>
      <c r="K55" s="922"/>
      <c r="L55" s="932"/>
      <c r="M55" s="935"/>
      <c r="N55" s="18" t="s">
        <v>25</v>
      </c>
      <c r="O55" s="17" t="s">
        <v>62</v>
      </c>
      <c r="P55" s="28"/>
      <c r="Q55" s="16" t="s">
        <v>1487</v>
      </c>
      <c r="R55" s="78"/>
      <c r="S55" s="17"/>
      <c r="T55" s="23"/>
      <c r="U55" s="526"/>
      <c r="V55" s="546" t="s">
        <v>1498</v>
      </c>
      <c r="W55" s="533"/>
      <c r="X55" s="539">
        <v>31</v>
      </c>
      <c r="Y55" s="533"/>
      <c r="Z55" s="19">
        <v>1</v>
      </c>
      <c r="AA55" s="18"/>
      <c r="AB55" s="24"/>
      <c r="AC55" s="23"/>
      <c r="AD55" s="941"/>
      <c r="AE55" s="944"/>
      <c r="AF55" s="498"/>
      <c r="AG55" s="498"/>
      <c r="AH55" s="498"/>
      <c r="AI55" s="498"/>
      <c r="AJ55" s="498"/>
      <c r="AK55" s="715">
        <v>35000</v>
      </c>
      <c r="AL55" s="498"/>
      <c r="AM55" s="498"/>
      <c r="AN55" s="498"/>
      <c r="AO55" s="498"/>
      <c r="AP55" s="498"/>
      <c r="AQ55" s="498"/>
      <c r="AR55" s="498"/>
      <c r="AS55" s="498"/>
      <c r="AT55" s="498"/>
      <c r="AU55" s="498"/>
      <c r="AV55" s="922"/>
    </row>
    <row r="56" spans="1:48">
      <c r="A56" s="23"/>
      <c r="B56" s="22"/>
      <c r="C56" s="25"/>
      <c r="D56" s="21"/>
      <c r="E56" s="24"/>
      <c r="F56" s="917"/>
      <c r="G56" s="18"/>
      <c r="H56" s="21"/>
      <c r="I56" s="937"/>
      <c r="J56" s="919"/>
      <c r="K56" s="922"/>
      <c r="L56" s="932"/>
      <c r="M56" s="935"/>
      <c r="N56" s="18" t="s">
        <v>16</v>
      </c>
      <c r="O56" s="17" t="s">
        <v>21</v>
      </c>
      <c r="P56" s="23"/>
      <c r="Q56" s="27" t="s">
        <v>1486</v>
      </c>
      <c r="R56" s="78"/>
      <c r="S56" s="17"/>
      <c r="T56" s="23"/>
      <c r="U56" s="526"/>
      <c r="V56" s="546" t="s">
        <v>1498</v>
      </c>
      <c r="W56" s="533"/>
      <c r="X56" s="539"/>
      <c r="Y56" s="533">
        <v>12</v>
      </c>
      <c r="Z56" s="19">
        <v>2117</v>
      </c>
      <c r="AA56" s="18"/>
      <c r="AB56" s="24"/>
      <c r="AC56" s="23"/>
      <c r="AD56" s="941"/>
      <c r="AE56" s="944"/>
      <c r="AF56" s="498"/>
      <c r="AG56" s="498"/>
      <c r="AH56" s="498"/>
      <c r="AI56" s="498"/>
      <c r="AJ56" s="498"/>
      <c r="AK56" s="715">
        <v>1000</v>
      </c>
      <c r="AL56" s="498"/>
      <c r="AM56" s="498"/>
      <c r="AN56" s="498"/>
      <c r="AO56" s="498"/>
      <c r="AP56" s="498"/>
      <c r="AQ56" s="498"/>
      <c r="AR56" s="498"/>
      <c r="AS56" s="498"/>
      <c r="AT56" s="498"/>
      <c r="AU56" s="498"/>
      <c r="AV56" s="922"/>
    </row>
    <row r="57" spans="1:48">
      <c r="A57" s="23"/>
      <c r="B57" s="22"/>
      <c r="C57" s="25"/>
      <c r="D57" s="21"/>
      <c r="E57" s="24"/>
      <c r="F57" s="917"/>
      <c r="G57" s="18"/>
      <c r="H57" s="21"/>
      <c r="I57" s="937"/>
      <c r="J57" s="919"/>
      <c r="K57" s="922"/>
      <c r="L57" s="932"/>
      <c r="M57" s="935"/>
      <c r="N57" s="18" t="s">
        <v>18</v>
      </c>
      <c r="O57" s="17" t="s">
        <v>1484</v>
      </c>
      <c r="P57" s="23"/>
      <c r="Q57" s="27" t="s">
        <v>1483</v>
      </c>
      <c r="R57" s="78"/>
      <c r="S57" s="17"/>
      <c r="T57" s="23"/>
      <c r="U57" s="526">
        <v>8</v>
      </c>
      <c r="V57" s="546" t="s">
        <v>807</v>
      </c>
      <c r="W57" s="533">
        <v>14</v>
      </c>
      <c r="X57" s="539"/>
      <c r="Y57" s="533"/>
      <c r="Z57" s="19">
        <v>2</v>
      </c>
      <c r="AA57" s="18"/>
      <c r="AB57" s="24"/>
      <c r="AC57" s="23"/>
      <c r="AD57" s="941"/>
      <c r="AE57" s="944"/>
      <c r="AF57" s="498"/>
      <c r="AG57" s="498"/>
      <c r="AH57" s="498"/>
      <c r="AI57" s="498"/>
      <c r="AJ57" s="498"/>
      <c r="AK57" s="715">
        <v>80000</v>
      </c>
      <c r="AL57" s="498"/>
      <c r="AM57" s="498"/>
      <c r="AN57" s="498"/>
      <c r="AO57" s="498"/>
      <c r="AP57" s="498"/>
      <c r="AQ57" s="498"/>
      <c r="AR57" s="498"/>
      <c r="AS57" s="498"/>
      <c r="AT57" s="498"/>
      <c r="AU57" s="498"/>
      <c r="AV57" s="922"/>
    </row>
    <row r="58" spans="1:48">
      <c r="A58" s="23"/>
      <c r="B58" s="22"/>
      <c r="C58" s="25"/>
      <c r="D58" s="21"/>
      <c r="E58" s="24"/>
      <c r="F58" s="917"/>
      <c r="G58" s="18"/>
      <c r="H58" s="21"/>
      <c r="I58" s="937"/>
      <c r="J58" s="919"/>
      <c r="K58" s="922"/>
      <c r="L58" s="932"/>
      <c r="M58" s="935"/>
      <c r="N58" s="18" t="s">
        <v>12</v>
      </c>
      <c r="O58" s="17" t="s">
        <v>21</v>
      </c>
      <c r="P58" s="23"/>
      <c r="Q58" s="27" t="s">
        <v>1482</v>
      </c>
      <c r="R58" s="78"/>
      <c r="S58" s="17"/>
      <c r="T58" s="23"/>
      <c r="U58" s="526"/>
      <c r="V58" s="546" t="s">
        <v>807</v>
      </c>
      <c r="W58" s="533"/>
      <c r="X58" s="539">
        <v>46</v>
      </c>
      <c r="Y58" s="533"/>
      <c r="Z58" s="19">
        <v>92</v>
      </c>
      <c r="AA58" s="18"/>
      <c r="AB58" s="24"/>
      <c r="AC58" s="23"/>
      <c r="AD58" s="941"/>
      <c r="AE58" s="944"/>
      <c r="AF58" s="498"/>
      <c r="AG58" s="498"/>
      <c r="AH58" s="498"/>
      <c r="AI58" s="498"/>
      <c r="AJ58" s="498"/>
      <c r="AK58" s="715">
        <v>50000</v>
      </c>
      <c r="AL58" s="498"/>
      <c r="AM58" s="498"/>
      <c r="AN58" s="498"/>
      <c r="AO58" s="498"/>
      <c r="AP58" s="498"/>
      <c r="AQ58" s="498"/>
      <c r="AR58" s="498"/>
      <c r="AS58" s="498"/>
      <c r="AT58" s="498"/>
      <c r="AU58" s="498"/>
      <c r="AV58" s="922"/>
    </row>
    <row r="59" spans="1:48">
      <c r="A59" s="23"/>
      <c r="B59" s="22"/>
      <c r="C59" s="25"/>
      <c r="D59" s="21"/>
      <c r="E59" s="24"/>
      <c r="F59" s="917"/>
      <c r="G59" s="18"/>
      <c r="H59" s="21"/>
      <c r="I59" s="937"/>
      <c r="J59" s="919"/>
      <c r="K59" s="922"/>
      <c r="L59" s="932"/>
      <c r="M59" s="935"/>
      <c r="N59" s="18" t="s">
        <v>8</v>
      </c>
      <c r="O59" s="17" t="s">
        <v>1481</v>
      </c>
      <c r="P59" s="23"/>
      <c r="Q59" s="27" t="s">
        <v>1480</v>
      </c>
      <c r="R59" s="78"/>
      <c r="S59" s="17"/>
      <c r="T59" s="23"/>
      <c r="U59" s="526"/>
      <c r="V59" s="546" t="s">
        <v>807</v>
      </c>
      <c r="W59" s="533"/>
      <c r="X59" s="539"/>
      <c r="Y59" s="533">
        <v>205</v>
      </c>
      <c r="Z59" s="19">
        <v>102</v>
      </c>
      <c r="AA59" s="18"/>
      <c r="AB59" s="24"/>
      <c r="AC59" s="23"/>
      <c r="AD59" s="941"/>
      <c r="AE59" s="944"/>
      <c r="AF59" s="498"/>
      <c r="AG59" s="498"/>
      <c r="AH59" s="498"/>
      <c r="AI59" s="498"/>
      <c r="AJ59" s="498"/>
      <c r="AK59" s="715">
        <v>20000</v>
      </c>
      <c r="AL59" s="498"/>
      <c r="AM59" s="498"/>
      <c r="AN59" s="498"/>
      <c r="AO59" s="498"/>
      <c r="AP59" s="498"/>
      <c r="AQ59" s="498"/>
      <c r="AR59" s="498"/>
      <c r="AS59" s="498"/>
      <c r="AT59" s="498"/>
      <c r="AU59" s="498"/>
      <c r="AV59" s="922"/>
    </row>
    <row r="60" spans="1:48">
      <c r="A60" s="23"/>
      <c r="B60" s="22"/>
      <c r="C60" s="25"/>
      <c r="D60" s="21"/>
      <c r="E60" s="24"/>
      <c r="F60" s="917"/>
      <c r="G60" s="18"/>
      <c r="H60" s="21"/>
      <c r="I60" s="937"/>
      <c r="J60" s="919"/>
      <c r="K60" s="922"/>
      <c r="L60" s="932"/>
      <c r="M60" s="935"/>
      <c r="N60" s="18" t="s">
        <v>54</v>
      </c>
      <c r="O60" s="17" t="s">
        <v>21</v>
      </c>
      <c r="P60" s="28"/>
      <c r="Q60" s="27" t="s">
        <v>1479</v>
      </c>
      <c r="R60" s="78"/>
      <c r="S60" s="17"/>
      <c r="T60" s="23"/>
      <c r="U60" s="526">
        <v>9</v>
      </c>
      <c r="V60" s="546" t="s">
        <v>1495</v>
      </c>
      <c r="W60" s="533">
        <v>23</v>
      </c>
      <c r="X60" s="539"/>
      <c r="Y60" s="533"/>
      <c r="Z60" s="19">
        <v>8</v>
      </c>
      <c r="AA60" s="18"/>
      <c r="AB60" s="24"/>
      <c r="AC60" s="23"/>
      <c r="AD60" s="941"/>
      <c r="AE60" s="944"/>
      <c r="AF60" s="498"/>
      <c r="AG60" s="498"/>
      <c r="AH60" s="498"/>
      <c r="AI60" s="498"/>
      <c r="AJ60" s="498"/>
      <c r="AK60" s="715">
        <v>30000</v>
      </c>
      <c r="AL60" s="498"/>
      <c r="AM60" s="498"/>
      <c r="AN60" s="498"/>
      <c r="AO60" s="498"/>
      <c r="AP60" s="498"/>
      <c r="AQ60" s="498"/>
      <c r="AR60" s="498"/>
      <c r="AS60" s="498"/>
      <c r="AT60" s="498"/>
      <c r="AU60" s="498"/>
      <c r="AV60" s="922"/>
    </row>
    <row r="61" spans="1:48">
      <c r="A61" s="23"/>
      <c r="B61" s="22"/>
      <c r="C61" s="25"/>
      <c r="D61" s="21"/>
      <c r="E61" s="24"/>
      <c r="F61" s="917"/>
      <c r="G61" s="18"/>
      <c r="H61" s="21"/>
      <c r="I61" s="937"/>
      <c r="J61" s="919"/>
      <c r="K61" s="922"/>
      <c r="L61" s="932"/>
      <c r="M61" s="935"/>
      <c r="N61" s="18" t="s">
        <v>53</v>
      </c>
      <c r="O61" s="17" t="s">
        <v>52</v>
      </c>
      <c r="P61" s="28"/>
      <c r="Q61" s="27" t="s">
        <v>1478</v>
      </c>
      <c r="R61" s="78"/>
      <c r="S61" s="17"/>
      <c r="T61" s="23"/>
      <c r="U61" s="526"/>
      <c r="V61" s="546" t="s">
        <v>1495</v>
      </c>
      <c r="W61" s="533"/>
      <c r="X61" s="539">
        <v>26</v>
      </c>
      <c r="Y61" s="533"/>
      <c r="Z61" s="19">
        <v>5</v>
      </c>
      <c r="AA61" s="18"/>
      <c r="AB61" s="24"/>
      <c r="AC61" s="23"/>
      <c r="AD61" s="941"/>
      <c r="AE61" s="944"/>
      <c r="AF61" s="498"/>
      <c r="AG61" s="498"/>
      <c r="AH61" s="498"/>
      <c r="AI61" s="498"/>
      <c r="AJ61" s="498"/>
      <c r="AK61" s="715">
        <v>20000</v>
      </c>
      <c r="AL61" s="498"/>
      <c r="AM61" s="498"/>
      <c r="AN61" s="498"/>
      <c r="AO61" s="498"/>
      <c r="AP61" s="498"/>
      <c r="AQ61" s="498"/>
      <c r="AR61" s="498"/>
      <c r="AS61" s="498"/>
      <c r="AT61" s="498"/>
      <c r="AU61" s="498"/>
      <c r="AV61" s="922"/>
    </row>
    <row r="62" spans="1:48">
      <c r="A62" s="23"/>
      <c r="B62" s="22"/>
      <c r="C62" s="25"/>
      <c r="D62" s="21"/>
      <c r="E62" s="24"/>
      <c r="F62" s="917"/>
      <c r="G62" s="18"/>
      <c r="H62" s="21"/>
      <c r="I62" s="937"/>
      <c r="J62" s="919"/>
      <c r="K62" s="922"/>
      <c r="L62" s="932"/>
      <c r="M62" s="935"/>
      <c r="N62" s="18" t="s">
        <v>51</v>
      </c>
      <c r="O62" s="17" t="s">
        <v>59</v>
      </c>
      <c r="P62" s="23"/>
      <c r="Q62" s="27" t="s">
        <v>1477</v>
      </c>
      <c r="R62" s="78"/>
      <c r="S62" s="17"/>
      <c r="T62" s="23"/>
      <c r="U62" s="526"/>
      <c r="V62" s="546" t="s">
        <v>1495</v>
      </c>
      <c r="W62" s="533"/>
      <c r="X62" s="539"/>
      <c r="Y62" s="533">
        <v>9</v>
      </c>
      <c r="Z62" s="19">
        <v>11</v>
      </c>
      <c r="AA62" s="18"/>
      <c r="AB62" s="24"/>
      <c r="AC62" s="23"/>
      <c r="AD62" s="941"/>
      <c r="AE62" s="944"/>
      <c r="AF62" s="498"/>
      <c r="AG62" s="498"/>
      <c r="AH62" s="498"/>
      <c r="AI62" s="498"/>
      <c r="AJ62" s="498"/>
      <c r="AK62" s="715">
        <v>10000</v>
      </c>
      <c r="AL62" s="498"/>
      <c r="AM62" s="498"/>
      <c r="AN62" s="498"/>
      <c r="AO62" s="498"/>
      <c r="AP62" s="498"/>
      <c r="AQ62" s="498"/>
      <c r="AR62" s="498"/>
      <c r="AS62" s="498"/>
      <c r="AT62" s="498"/>
      <c r="AU62" s="498"/>
      <c r="AV62" s="922"/>
    </row>
    <row r="63" spans="1:48">
      <c r="A63" s="23"/>
      <c r="B63" s="22"/>
      <c r="C63" s="25"/>
      <c r="D63" s="21"/>
      <c r="E63" s="24"/>
      <c r="F63" s="917"/>
      <c r="G63" s="18"/>
      <c r="H63" s="21"/>
      <c r="I63" s="937"/>
      <c r="J63" s="919"/>
      <c r="K63" s="922"/>
      <c r="L63" s="932"/>
      <c r="M63" s="935"/>
      <c r="N63" s="18" t="s">
        <v>154</v>
      </c>
      <c r="O63" s="17" t="s">
        <v>733</v>
      </c>
      <c r="P63" s="28">
        <v>1</v>
      </c>
      <c r="Q63" s="16"/>
      <c r="R63" s="78"/>
      <c r="S63" s="17"/>
      <c r="T63" s="23"/>
      <c r="U63" s="526">
        <v>10</v>
      </c>
      <c r="V63" s="546" t="s">
        <v>91</v>
      </c>
      <c r="W63" s="533">
        <v>9</v>
      </c>
      <c r="X63" s="539"/>
      <c r="Y63" s="533"/>
      <c r="Z63" s="19">
        <v>27</v>
      </c>
      <c r="AA63" s="18"/>
      <c r="AB63" s="24"/>
      <c r="AC63" s="23"/>
      <c r="AD63" s="941"/>
      <c r="AE63" s="944"/>
      <c r="AF63" s="498"/>
      <c r="AG63" s="498"/>
      <c r="AH63" s="498"/>
      <c r="AI63" s="498"/>
      <c r="AJ63" s="498"/>
      <c r="AK63" s="715">
        <v>30000</v>
      </c>
      <c r="AL63" s="498"/>
      <c r="AM63" s="498"/>
      <c r="AN63" s="498"/>
      <c r="AO63" s="498"/>
      <c r="AP63" s="498"/>
      <c r="AQ63" s="498"/>
      <c r="AR63" s="498"/>
      <c r="AS63" s="498"/>
      <c r="AT63" s="498"/>
      <c r="AU63" s="498"/>
      <c r="AV63" s="922"/>
    </row>
    <row r="64" spans="1:48">
      <c r="A64" s="23"/>
      <c r="B64" s="22"/>
      <c r="C64" s="25"/>
      <c r="D64" s="21"/>
      <c r="E64" s="24"/>
      <c r="F64" s="917"/>
      <c r="G64" s="18"/>
      <c r="H64" s="21"/>
      <c r="I64" s="937"/>
      <c r="J64" s="919"/>
      <c r="K64" s="922"/>
      <c r="L64" s="932"/>
      <c r="M64" s="935"/>
      <c r="N64" s="18" t="s">
        <v>172</v>
      </c>
      <c r="O64" s="17" t="s">
        <v>1472</v>
      </c>
      <c r="P64" s="28">
        <v>1</v>
      </c>
      <c r="Q64" s="27"/>
      <c r="R64" s="78"/>
      <c r="S64" s="17"/>
      <c r="T64" s="23"/>
      <c r="U64" s="526"/>
      <c r="V64" s="546" t="s">
        <v>91</v>
      </c>
      <c r="W64" s="533"/>
      <c r="X64" s="539">
        <v>5</v>
      </c>
      <c r="Y64" s="533"/>
      <c r="Z64" s="19">
        <v>2</v>
      </c>
      <c r="AA64" s="18"/>
      <c r="AB64" s="24"/>
      <c r="AC64" s="23"/>
      <c r="AD64" s="941"/>
      <c r="AE64" s="944"/>
      <c r="AF64" s="498"/>
      <c r="AG64" s="498"/>
      <c r="AH64" s="498"/>
      <c r="AI64" s="498"/>
      <c r="AJ64" s="498"/>
      <c r="AK64" s="715">
        <v>5000</v>
      </c>
      <c r="AL64" s="498"/>
      <c r="AM64" s="498"/>
      <c r="AN64" s="498"/>
      <c r="AO64" s="498"/>
      <c r="AP64" s="498"/>
      <c r="AQ64" s="498"/>
      <c r="AR64" s="498"/>
      <c r="AS64" s="498"/>
      <c r="AT64" s="498"/>
      <c r="AU64" s="498"/>
      <c r="AV64" s="922"/>
    </row>
    <row r="65" spans="1:48">
      <c r="A65" s="23"/>
      <c r="B65" s="22"/>
      <c r="C65" s="25"/>
      <c r="D65" s="21"/>
      <c r="E65" s="24"/>
      <c r="F65" s="917"/>
      <c r="G65" s="18"/>
      <c r="H65" s="21"/>
      <c r="I65" s="937"/>
      <c r="J65" s="919"/>
      <c r="K65" s="922"/>
      <c r="L65" s="932"/>
      <c r="M65" s="935"/>
      <c r="N65" s="18"/>
      <c r="O65" s="86" t="s">
        <v>1476</v>
      </c>
      <c r="P65" s="23"/>
      <c r="Q65" s="27"/>
      <c r="R65" s="78"/>
      <c r="S65" s="17"/>
      <c r="T65" s="23"/>
      <c r="U65" s="526">
        <v>10</v>
      </c>
      <c r="V65" s="546" t="s">
        <v>91</v>
      </c>
      <c r="W65" s="533"/>
      <c r="X65" s="539"/>
      <c r="Y65" s="533">
        <v>8</v>
      </c>
      <c r="Z65" s="19">
        <v>2</v>
      </c>
      <c r="AA65" s="18"/>
      <c r="AB65" s="24"/>
      <c r="AC65" s="23"/>
      <c r="AD65" s="941"/>
      <c r="AE65" s="944"/>
      <c r="AF65" s="498"/>
      <c r="AG65" s="498"/>
      <c r="AH65" s="498"/>
      <c r="AI65" s="498"/>
      <c r="AJ65" s="498"/>
      <c r="AK65" s="715">
        <v>8000</v>
      </c>
      <c r="AL65" s="498"/>
      <c r="AM65" s="498"/>
      <c r="AN65" s="498"/>
      <c r="AO65" s="498"/>
      <c r="AP65" s="498"/>
      <c r="AQ65" s="498"/>
      <c r="AR65" s="498"/>
      <c r="AS65" s="498"/>
      <c r="AT65" s="498"/>
      <c r="AU65" s="498"/>
      <c r="AV65" s="922"/>
    </row>
    <row r="66" spans="1:48">
      <c r="A66" s="23"/>
      <c r="B66" s="22"/>
      <c r="C66" s="25"/>
      <c r="D66" s="21"/>
      <c r="E66" s="24"/>
      <c r="F66" s="917"/>
      <c r="G66" s="18"/>
      <c r="H66" s="21"/>
      <c r="I66" s="937"/>
      <c r="J66" s="919"/>
      <c r="K66" s="922"/>
      <c r="L66" s="932"/>
      <c r="M66" s="935"/>
      <c r="N66" s="18" t="s">
        <v>25</v>
      </c>
      <c r="O66" s="17" t="s">
        <v>26</v>
      </c>
      <c r="P66" s="23"/>
      <c r="Q66" s="27" t="s">
        <v>1475</v>
      </c>
      <c r="R66" s="78"/>
      <c r="S66" s="17"/>
      <c r="T66" s="23"/>
      <c r="U66" s="526">
        <v>11</v>
      </c>
      <c r="V66" s="546" t="s">
        <v>90</v>
      </c>
      <c r="W66" s="533">
        <v>228</v>
      </c>
      <c r="X66" s="539"/>
      <c r="Y66" s="533"/>
      <c r="Z66" s="19">
        <v>2</v>
      </c>
      <c r="AA66" s="18"/>
      <c r="AB66" s="24"/>
      <c r="AC66" s="23"/>
      <c r="AD66" s="941"/>
      <c r="AE66" s="944"/>
      <c r="AF66" s="498"/>
      <c r="AG66" s="498"/>
      <c r="AH66" s="498"/>
      <c r="AI66" s="498"/>
      <c r="AJ66" s="498"/>
      <c r="AK66" s="715">
        <v>10000</v>
      </c>
      <c r="AL66" s="498"/>
      <c r="AM66" s="498"/>
      <c r="AN66" s="498"/>
      <c r="AO66" s="498"/>
      <c r="AP66" s="498"/>
      <c r="AQ66" s="498"/>
      <c r="AR66" s="498"/>
      <c r="AS66" s="498"/>
      <c r="AT66" s="498"/>
      <c r="AU66" s="498"/>
      <c r="AV66" s="922"/>
    </row>
    <row r="67" spans="1:48">
      <c r="A67" s="23"/>
      <c r="B67" s="22"/>
      <c r="C67" s="25"/>
      <c r="D67" s="21"/>
      <c r="E67" s="24"/>
      <c r="F67" s="917"/>
      <c r="G67" s="18"/>
      <c r="H67" s="21"/>
      <c r="I67" s="937"/>
      <c r="J67" s="919"/>
      <c r="K67" s="922"/>
      <c r="L67" s="932"/>
      <c r="M67" s="935"/>
      <c r="N67" s="18" t="s">
        <v>16</v>
      </c>
      <c r="O67" s="17" t="s">
        <v>21</v>
      </c>
      <c r="P67" s="23"/>
      <c r="Q67" s="27" t="s">
        <v>1473</v>
      </c>
      <c r="R67" s="78"/>
      <c r="S67" s="17"/>
      <c r="T67" s="23"/>
      <c r="U67" s="526"/>
      <c r="V67" s="546" t="s">
        <v>90</v>
      </c>
      <c r="W67" s="533"/>
      <c r="X67" s="539">
        <v>259</v>
      </c>
      <c r="Y67" s="533"/>
      <c r="Z67" s="19">
        <v>25</v>
      </c>
      <c r="AA67" s="18"/>
      <c r="AB67" s="24"/>
      <c r="AC67" s="23"/>
      <c r="AD67" s="941"/>
      <c r="AE67" s="944"/>
      <c r="AF67" s="498"/>
      <c r="AG67" s="498"/>
      <c r="AH67" s="498"/>
      <c r="AI67" s="498"/>
      <c r="AJ67" s="498"/>
      <c r="AK67" s="715">
        <v>5000</v>
      </c>
      <c r="AL67" s="498"/>
      <c r="AM67" s="498"/>
      <c r="AN67" s="498"/>
      <c r="AO67" s="498"/>
      <c r="AP67" s="498"/>
      <c r="AQ67" s="498"/>
      <c r="AR67" s="498"/>
      <c r="AS67" s="498"/>
      <c r="AT67" s="498"/>
      <c r="AU67" s="498"/>
      <c r="AV67" s="922"/>
    </row>
    <row r="68" spans="1:48">
      <c r="A68" s="23"/>
      <c r="B68" s="22"/>
      <c r="C68" s="25"/>
      <c r="D68" s="21"/>
      <c r="E68" s="24"/>
      <c r="F68" s="917"/>
      <c r="G68" s="18"/>
      <c r="H68" s="21"/>
      <c r="I68" s="937"/>
      <c r="J68" s="919"/>
      <c r="K68" s="922"/>
      <c r="L68" s="932"/>
      <c r="M68" s="935"/>
      <c r="N68" s="18" t="s">
        <v>159</v>
      </c>
      <c r="O68" s="17" t="s">
        <v>1472</v>
      </c>
      <c r="P68" s="28">
        <v>1</v>
      </c>
      <c r="Q68" s="27"/>
      <c r="R68" s="78"/>
      <c r="S68" s="17"/>
      <c r="T68" s="23"/>
      <c r="U68" s="526"/>
      <c r="V68" s="546" t="s">
        <v>90</v>
      </c>
      <c r="W68" s="533"/>
      <c r="X68" s="539"/>
      <c r="Y68" s="533">
        <v>795</v>
      </c>
      <c r="Z68" s="19">
        <v>110</v>
      </c>
      <c r="AA68" s="18"/>
      <c r="AB68" s="24"/>
      <c r="AC68" s="23"/>
      <c r="AD68" s="941"/>
      <c r="AE68" s="944"/>
      <c r="AF68" s="498"/>
      <c r="AG68" s="498"/>
      <c r="AH68" s="498"/>
      <c r="AI68" s="498"/>
      <c r="AJ68" s="498"/>
      <c r="AK68" s="715">
        <v>2500</v>
      </c>
      <c r="AL68" s="498"/>
      <c r="AM68" s="498"/>
      <c r="AN68" s="498"/>
      <c r="AO68" s="498"/>
      <c r="AP68" s="498"/>
      <c r="AQ68" s="498"/>
      <c r="AR68" s="498"/>
      <c r="AS68" s="498"/>
      <c r="AT68" s="498"/>
      <c r="AU68" s="498"/>
      <c r="AV68" s="922"/>
    </row>
    <row r="69" spans="1:48">
      <c r="A69" s="23"/>
      <c r="B69" s="22"/>
      <c r="C69" s="25"/>
      <c r="D69" s="21"/>
      <c r="E69" s="24"/>
      <c r="F69" s="917"/>
      <c r="G69" s="18"/>
      <c r="H69" s="21"/>
      <c r="I69" s="937"/>
      <c r="J69" s="919"/>
      <c r="K69" s="922"/>
      <c r="L69" s="932"/>
      <c r="M69" s="935"/>
      <c r="N69" s="18"/>
      <c r="O69" s="86" t="s">
        <v>1471</v>
      </c>
      <c r="P69" s="23"/>
      <c r="Q69" s="27"/>
      <c r="R69" s="78"/>
      <c r="S69" s="17"/>
      <c r="T69" s="23"/>
      <c r="U69" s="526">
        <v>12</v>
      </c>
      <c r="V69" s="546" t="s">
        <v>61</v>
      </c>
      <c r="W69" s="533">
        <v>9</v>
      </c>
      <c r="X69" s="539"/>
      <c r="Y69" s="533"/>
      <c r="Z69" s="19">
        <v>379</v>
      </c>
      <c r="AA69" s="18"/>
      <c r="AB69" s="24"/>
      <c r="AC69" s="23"/>
      <c r="AD69" s="941"/>
      <c r="AE69" s="944"/>
      <c r="AF69" s="498"/>
      <c r="AG69" s="498"/>
      <c r="AH69" s="498"/>
      <c r="AI69" s="498"/>
      <c r="AJ69" s="498"/>
      <c r="AK69" s="715">
        <v>25000</v>
      </c>
      <c r="AL69" s="498"/>
      <c r="AM69" s="498"/>
      <c r="AN69" s="498"/>
      <c r="AO69" s="498"/>
      <c r="AP69" s="498"/>
      <c r="AQ69" s="498"/>
      <c r="AR69" s="498"/>
      <c r="AS69" s="498"/>
      <c r="AT69" s="498"/>
      <c r="AU69" s="498"/>
      <c r="AV69" s="922"/>
    </row>
    <row r="70" spans="1:48" ht="27.6">
      <c r="A70" s="23"/>
      <c r="B70" s="22"/>
      <c r="C70" s="25"/>
      <c r="D70" s="21"/>
      <c r="E70" s="24"/>
      <c r="F70" s="917"/>
      <c r="G70" s="18"/>
      <c r="H70" s="21"/>
      <c r="I70" s="937"/>
      <c r="J70" s="919"/>
      <c r="K70" s="922"/>
      <c r="L70" s="932"/>
      <c r="M70" s="935"/>
      <c r="N70" s="18" t="s">
        <v>25</v>
      </c>
      <c r="O70" s="17" t="s">
        <v>62</v>
      </c>
      <c r="P70" s="23"/>
      <c r="Q70" s="27" t="s">
        <v>1470</v>
      </c>
      <c r="R70" s="78"/>
      <c r="S70" s="17"/>
      <c r="T70" s="23"/>
      <c r="U70" s="526">
        <v>12</v>
      </c>
      <c r="V70" s="546" t="s">
        <v>61</v>
      </c>
      <c r="W70" s="533"/>
      <c r="X70" s="539">
        <v>15</v>
      </c>
      <c r="Y70" s="533"/>
      <c r="Z70" s="19">
        <v>195</v>
      </c>
      <c r="AA70" s="18"/>
      <c r="AB70" s="24"/>
      <c r="AC70" s="23"/>
      <c r="AD70" s="941"/>
      <c r="AE70" s="944"/>
      <c r="AF70" s="498"/>
      <c r="AG70" s="498"/>
      <c r="AH70" s="498"/>
      <c r="AI70" s="498"/>
      <c r="AJ70" s="498"/>
      <c r="AK70" s="715">
        <v>16500</v>
      </c>
      <c r="AL70" s="498"/>
      <c r="AM70" s="498"/>
      <c r="AN70" s="498"/>
      <c r="AO70" s="498"/>
      <c r="AP70" s="498"/>
      <c r="AQ70" s="498"/>
      <c r="AR70" s="498"/>
      <c r="AS70" s="498"/>
      <c r="AT70" s="498"/>
      <c r="AU70" s="498"/>
      <c r="AV70" s="922"/>
    </row>
    <row r="71" spans="1:48">
      <c r="A71" s="23"/>
      <c r="B71" s="22"/>
      <c r="C71" s="25"/>
      <c r="D71" s="21"/>
      <c r="E71" s="24"/>
      <c r="F71" s="917"/>
      <c r="G71" s="18"/>
      <c r="H71" s="21"/>
      <c r="I71" s="937"/>
      <c r="J71" s="919"/>
      <c r="K71" s="922"/>
      <c r="L71" s="932"/>
      <c r="M71" s="935"/>
      <c r="N71" s="18" t="s">
        <v>16</v>
      </c>
      <c r="O71" s="17" t="s">
        <v>21</v>
      </c>
      <c r="P71" s="28"/>
      <c r="Q71" s="27" t="s">
        <v>1468</v>
      </c>
      <c r="R71" s="78"/>
      <c r="S71" s="17"/>
      <c r="T71" s="23"/>
      <c r="U71" s="526">
        <v>12</v>
      </c>
      <c r="V71" s="546" t="s">
        <v>61</v>
      </c>
      <c r="W71" s="533"/>
      <c r="X71" s="539"/>
      <c r="Y71" s="533">
        <v>29</v>
      </c>
      <c r="Z71" s="19">
        <v>599</v>
      </c>
      <c r="AA71" s="18"/>
      <c r="AB71" s="24"/>
      <c r="AC71" s="23"/>
      <c r="AD71" s="941"/>
      <c r="AE71" s="944"/>
      <c r="AF71" s="498"/>
      <c r="AG71" s="498"/>
      <c r="AH71" s="498"/>
      <c r="AI71" s="498"/>
      <c r="AJ71" s="498"/>
      <c r="AK71" s="715">
        <v>8250</v>
      </c>
      <c r="AL71" s="498"/>
      <c r="AM71" s="498"/>
      <c r="AN71" s="498"/>
      <c r="AO71" s="498"/>
      <c r="AP71" s="498"/>
      <c r="AQ71" s="498"/>
      <c r="AR71" s="498"/>
      <c r="AS71" s="498"/>
      <c r="AT71" s="498"/>
      <c r="AU71" s="498"/>
      <c r="AV71" s="922"/>
    </row>
    <row r="72" spans="1:48">
      <c r="A72" s="23"/>
      <c r="B72" s="22"/>
      <c r="C72" s="25"/>
      <c r="D72" s="21"/>
      <c r="E72" s="24"/>
      <c r="F72" s="917"/>
      <c r="G72" s="18"/>
      <c r="H72" s="21"/>
      <c r="I72" s="937"/>
      <c r="J72" s="919"/>
      <c r="K72" s="922"/>
      <c r="L72" s="932"/>
      <c r="M72" s="935"/>
      <c r="N72" s="18"/>
      <c r="O72" s="17"/>
      <c r="P72" s="28"/>
      <c r="Q72" s="27"/>
      <c r="R72" s="78"/>
      <c r="S72" s="17"/>
      <c r="T72" s="23"/>
      <c r="U72" s="526">
        <v>13</v>
      </c>
      <c r="V72" s="546" t="s">
        <v>88</v>
      </c>
      <c r="W72" s="533">
        <v>29</v>
      </c>
      <c r="X72" s="539"/>
      <c r="Y72" s="533"/>
      <c r="Z72" s="19">
        <v>392</v>
      </c>
      <c r="AA72" s="18"/>
      <c r="AB72" s="24"/>
      <c r="AC72" s="23"/>
      <c r="AD72" s="941"/>
      <c r="AE72" s="944"/>
      <c r="AF72" s="498"/>
      <c r="AG72" s="498"/>
      <c r="AH72" s="498"/>
      <c r="AI72" s="498"/>
      <c r="AJ72" s="498"/>
      <c r="AK72" s="715">
        <v>73000</v>
      </c>
      <c r="AL72" s="498"/>
      <c r="AM72" s="498"/>
      <c r="AN72" s="498"/>
      <c r="AO72" s="498"/>
      <c r="AP72" s="498"/>
      <c r="AQ72" s="498"/>
      <c r="AR72" s="498"/>
      <c r="AS72" s="498"/>
      <c r="AT72" s="498"/>
      <c r="AU72" s="498"/>
      <c r="AV72" s="922"/>
    </row>
    <row r="73" spans="1:48">
      <c r="A73" s="23"/>
      <c r="B73" s="22"/>
      <c r="C73" s="25"/>
      <c r="D73" s="21"/>
      <c r="E73" s="24"/>
      <c r="F73" s="917"/>
      <c r="G73" s="18"/>
      <c r="H73" s="21"/>
      <c r="I73" s="937"/>
      <c r="J73" s="919"/>
      <c r="K73" s="922"/>
      <c r="L73" s="932"/>
      <c r="M73" s="935"/>
      <c r="N73" s="18"/>
      <c r="O73" s="86"/>
      <c r="P73" s="23"/>
      <c r="Q73" s="27"/>
      <c r="R73" s="78"/>
      <c r="S73" s="17"/>
      <c r="T73" s="23"/>
      <c r="U73" s="526"/>
      <c r="V73" s="546" t="s">
        <v>88</v>
      </c>
      <c r="W73" s="533"/>
      <c r="X73" s="539">
        <v>48</v>
      </c>
      <c r="Y73" s="533"/>
      <c r="Z73" s="19">
        <v>528</v>
      </c>
      <c r="AA73" s="18"/>
      <c r="AB73" s="24"/>
      <c r="AC73" s="23"/>
      <c r="AD73" s="941"/>
      <c r="AE73" s="944"/>
      <c r="AF73" s="498"/>
      <c r="AG73" s="498"/>
      <c r="AH73" s="498"/>
      <c r="AI73" s="498"/>
      <c r="AJ73" s="498"/>
      <c r="AK73" s="715">
        <v>55000</v>
      </c>
      <c r="AL73" s="498"/>
      <c r="AM73" s="498"/>
      <c r="AN73" s="498"/>
      <c r="AO73" s="498"/>
      <c r="AP73" s="498"/>
      <c r="AQ73" s="498"/>
      <c r="AR73" s="498"/>
      <c r="AS73" s="498"/>
      <c r="AT73" s="498"/>
      <c r="AU73" s="498"/>
      <c r="AV73" s="922"/>
    </row>
    <row r="74" spans="1:48">
      <c r="A74" s="23"/>
      <c r="B74" s="22"/>
      <c r="C74" s="25"/>
      <c r="D74" s="21"/>
      <c r="E74" s="24"/>
      <c r="F74" s="917"/>
      <c r="G74" s="18"/>
      <c r="H74" s="21"/>
      <c r="I74" s="937"/>
      <c r="J74" s="919"/>
      <c r="K74" s="922"/>
      <c r="L74" s="932"/>
      <c r="M74" s="935"/>
      <c r="N74" s="18"/>
      <c r="O74" s="17"/>
      <c r="P74" s="23"/>
      <c r="Q74" s="27"/>
      <c r="R74" s="78"/>
      <c r="S74" s="17"/>
      <c r="T74" s="23"/>
      <c r="U74" s="526"/>
      <c r="V74" s="546" t="s">
        <v>88</v>
      </c>
      <c r="W74" s="533"/>
      <c r="X74" s="539"/>
      <c r="Y74" s="533">
        <v>317</v>
      </c>
      <c r="Z74" s="19">
        <v>86</v>
      </c>
      <c r="AA74" s="18"/>
      <c r="AB74" s="24"/>
      <c r="AC74" s="23"/>
      <c r="AD74" s="941"/>
      <c r="AE74" s="944"/>
      <c r="AF74" s="498"/>
      <c r="AG74" s="498"/>
      <c r="AH74" s="498"/>
      <c r="AI74" s="498"/>
      <c r="AJ74" s="498"/>
      <c r="AK74" s="715">
        <v>20000</v>
      </c>
      <c r="AL74" s="498"/>
      <c r="AM74" s="498"/>
      <c r="AN74" s="498"/>
      <c r="AO74" s="498"/>
      <c r="AP74" s="498"/>
      <c r="AQ74" s="498"/>
      <c r="AR74" s="498"/>
      <c r="AS74" s="498"/>
      <c r="AT74" s="498"/>
      <c r="AU74" s="498"/>
      <c r="AV74" s="922"/>
    </row>
    <row r="75" spans="1:48">
      <c r="A75" s="23"/>
      <c r="B75" s="22"/>
      <c r="C75" s="25"/>
      <c r="D75" s="21"/>
      <c r="E75" s="24"/>
      <c r="F75" s="917"/>
      <c r="G75" s="18"/>
      <c r="H75" s="21"/>
      <c r="I75" s="937"/>
      <c r="J75" s="919"/>
      <c r="K75" s="922"/>
      <c r="L75" s="932"/>
      <c r="M75" s="935"/>
      <c r="N75" s="18"/>
      <c r="O75" s="17"/>
      <c r="P75" s="23"/>
      <c r="Q75" s="27"/>
      <c r="R75" s="78"/>
      <c r="S75" s="17"/>
      <c r="T75" s="23"/>
      <c r="U75" s="526">
        <v>1</v>
      </c>
      <c r="V75" s="546" t="s">
        <v>647</v>
      </c>
      <c r="W75" s="533">
        <v>61</v>
      </c>
      <c r="X75" s="539"/>
      <c r="Y75" s="533"/>
      <c r="Z75" s="19">
        <v>20</v>
      </c>
      <c r="AA75" s="18"/>
      <c r="AB75" s="24"/>
      <c r="AC75" s="23"/>
      <c r="AD75" s="941"/>
      <c r="AE75" s="944"/>
      <c r="AF75" s="498"/>
      <c r="AG75" s="498"/>
      <c r="AH75" s="498"/>
      <c r="AI75" s="498"/>
      <c r="AJ75" s="498"/>
      <c r="AK75" s="715">
        <v>450000</v>
      </c>
      <c r="AL75" s="498"/>
      <c r="AM75" s="498"/>
      <c r="AN75" s="498"/>
      <c r="AO75" s="498"/>
      <c r="AP75" s="498"/>
      <c r="AQ75" s="498"/>
      <c r="AR75" s="498"/>
      <c r="AS75" s="498"/>
      <c r="AT75" s="498"/>
      <c r="AU75" s="498"/>
      <c r="AV75" s="922"/>
    </row>
    <row r="76" spans="1:48">
      <c r="A76" s="23"/>
      <c r="B76" s="22"/>
      <c r="C76" s="25"/>
      <c r="D76" s="21"/>
      <c r="E76" s="24"/>
      <c r="F76" s="917"/>
      <c r="G76" s="18"/>
      <c r="H76" s="21"/>
      <c r="I76" s="937"/>
      <c r="J76" s="919"/>
      <c r="K76" s="922"/>
      <c r="L76" s="932"/>
      <c r="M76" s="935"/>
      <c r="N76" s="18"/>
      <c r="O76" s="17"/>
      <c r="P76" s="28"/>
      <c r="Q76" s="27"/>
      <c r="R76" s="78"/>
      <c r="S76" s="17"/>
      <c r="T76" s="23"/>
      <c r="U76" s="526"/>
      <c r="V76" s="546" t="s">
        <v>647</v>
      </c>
      <c r="W76" s="533"/>
      <c r="X76" s="539">
        <v>72</v>
      </c>
      <c r="Y76" s="533"/>
      <c r="Z76" s="19">
        <v>942</v>
      </c>
      <c r="AA76" s="18"/>
      <c r="AB76" s="24"/>
      <c r="AC76" s="23"/>
      <c r="AD76" s="941"/>
      <c r="AE76" s="944"/>
      <c r="AF76" s="498"/>
      <c r="AG76" s="498"/>
      <c r="AH76" s="498"/>
      <c r="AI76" s="498"/>
      <c r="AJ76" s="498"/>
      <c r="AK76" s="715">
        <v>280500</v>
      </c>
      <c r="AL76" s="498"/>
      <c r="AM76" s="498"/>
      <c r="AN76" s="498"/>
      <c r="AO76" s="498"/>
      <c r="AP76" s="498"/>
      <c r="AQ76" s="498"/>
      <c r="AR76" s="498"/>
      <c r="AS76" s="498"/>
      <c r="AT76" s="498"/>
      <c r="AU76" s="498"/>
      <c r="AV76" s="922"/>
    </row>
    <row r="77" spans="1:48">
      <c r="A77" s="23"/>
      <c r="B77" s="22"/>
      <c r="C77" s="25"/>
      <c r="D77" s="21"/>
      <c r="E77" s="24"/>
      <c r="F77" s="917"/>
      <c r="G77" s="18"/>
      <c r="H77" s="21"/>
      <c r="I77" s="937"/>
      <c r="J77" s="919"/>
      <c r="K77" s="922"/>
      <c r="L77" s="932"/>
      <c r="M77" s="935"/>
      <c r="N77" s="18"/>
      <c r="O77" s="17"/>
      <c r="P77" s="28"/>
      <c r="Q77" s="27"/>
      <c r="R77" s="78"/>
      <c r="S77" s="17"/>
      <c r="T77" s="23"/>
      <c r="U77" s="526"/>
      <c r="V77" s="546" t="s">
        <v>647</v>
      </c>
      <c r="W77" s="533"/>
      <c r="X77" s="539"/>
      <c r="Y77" s="533">
        <v>156</v>
      </c>
      <c r="Z77" s="19">
        <v>98</v>
      </c>
      <c r="AA77" s="18"/>
      <c r="AB77" s="24"/>
      <c r="AC77" s="23"/>
      <c r="AD77" s="941"/>
      <c r="AE77" s="944"/>
      <c r="AF77" s="498"/>
      <c r="AG77" s="498"/>
      <c r="AH77" s="498"/>
      <c r="AI77" s="498"/>
      <c r="AJ77" s="498"/>
      <c r="AK77" s="715">
        <v>140250</v>
      </c>
      <c r="AL77" s="498"/>
      <c r="AM77" s="498"/>
      <c r="AN77" s="498"/>
      <c r="AO77" s="498"/>
      <c r="AP77" s="498"/>
      <c r="AQ77" s="498"/>
      <c r="AR77" s="498"/>
      <c r="AS77" s="498"/>
      <c r="AT77" s="498"/>
      <c r="AU77" s="498"/>
      <c r="AV77" s="922"/>
    </row>
    <row r="78" spans="1:48">
      <c r="A78" s="23"/>
      <c r="B78" s="22"/>
      <c r="C78" s="25"/>
      <c r="D78" s="21"/>
      <c r="E78" s="24"/>
      <c r="F78" s="917"/>
      <c r="G78" s="18"/>
      <c r="H78" s="21"/>
      <c r="I78" s="937"/>
      <c r="J78" s="919"/>
      <c r="K78" s="922"/>
      <c r="L78" s="932"/>
      <c r="M78" s="935"/>
      <c r="N78" s="18"/>
      <c r="O78" s="17"/>
      <c r="P78" s="28"/>
      <c r="Q78" s="27"/>
      <c r="R78" s="78"/>
      <c r="S78" s="17"/>
      <c r="T78" s="23"/>
      <c r="U78" s="526">
        <v>2</v>
      </c>
      <c r="V78" s="546" t="s">
        <v>919</v>
      </c>
      <c r="W78" s="533"/>
      <c r="X78" s="539"/>
      <c r="Y78" s="533">
        <v>379</v>
      </c>
      <c r="Z78" s="19">
        <v>27</v>
      </c>
      <c r="AA78" s="18"/>
      <c r="AB78" s="24"/>
      <c r="AC78" s="23"/>
      <c r="AD78" s="941"/>
      <c r="AE78" s="944"/>
      <c r="AF78" s="498"/>
      <c r="AG78" s="498"/>
      <c r="AH78" s="498"/>
      <c r="AI78" s="498"/>
      <c r="AJ78" s="498"/>
      <c r="AK78" s="715">
        <v>450000</v>
      </c>
      <c r="AL78" s="498"/>
      <c r="AM78" s="498"/>
      <c r="AN78" s="498"/>
      <c r="AO78" s="498"/>
      <c r="AP78" s="498"/>
      <c r="AQ78" s="498"/>
      <c r="AR78" s="498"/>
      <c r="AS78" s="498"/>
      <c r="AT78" s="498"/>
      <c r="AU78" s="498"/>
      <c r="AV78" s="922"/>
    </row>
    <row r="79" spans="1:48">
      <c r="A79" s="23"/>
      <c r="B79" s="22"/>
      <c r="C79" s="25"/>
      <c r="D79" s="21"/>
      <c r="E79" s="24"/>
      <c r="F79" s="917"/>
      <c r="G79" s="18"/>
      <c r="H79" s="21"/>
      <c r="I79" s="937"/>
      <c r="J79" s="919"/>
      <c r="K79" s="922"/>
      <c r="L79" s="932"/>
      <c r="M79" s="935"/>
      <c r="N79" s="18"/>
      <c r="O79" s="17"/>
      <c r="P79" s="28"/>
      <c r="Q79" s="27"/>
      <c r="R79" s="78"/>
      <c r="S79" s="17"/>
      <c r="T79" s="23"/>
      <c r="U79" s="526">
        <v>3</v>
      </c>
      <c r="V79" s="546" t="s">
        <v>1489</v>
      </c>
      <c r="W79" s="533">
        <v>481</v>
      </c>
      <c r="X79" s="539"/>
      <c r="Y79" s="533"/>
      <c r="Z79" s="19">
        <v>132</v>
      </c>
      <c r="AA79" s="18"/>
      <c r="AB79" s="24"/>
      <c r="AC79" s="23"/>
      <c r="AD79" s="941"/>
      <c r="AE79" s="944"/>
      <c r="AF79" s="498"/>
      <c r="AG79" s="498"/>
      <c r="AH79" s="498"/>
      <c r="AI79" s="498"/>
      <c r="AJ79" s="498"/>
      <c r="AK79" s="715">
        <v>6000</v>
      </c>
      <c r="AL79" s="498"/>
      <c r="AM79" s="498"/>
      <c r="AN79" s="498"/>
      <c r="AO79" s="498"/>
      <c r="AP79" s="498"/>
      <c r="AQ79" s="498"/>
      <c r="AR79" s="498"/>
      <c r="AS79" s="498"/>
      <c r="AT79" s="498"/>
      <c r="AU79" s="498"/>
      <c r="AV79" s="922"/>
    </row>
    <row r="80" spans="1:48">
      <c r="A80" s="23"/>
      <c r="B80" s="22"/>
      <c r="C80" s="25"/>
      <c r="D80" s="21"/>
      <c r="E80" s="24"/>
      <c r="F80" s="917"/>
      <c r="G80" s="18"/>
      <c r="H80" s="21"/>
      <c r="I80" s="937"/>
      <c r="J80" s="919"/>
      <c r="K80" s="922"/>
      <c r="L80" s="932"/>
      <c r="M80" s="935"/>
      <c r="N80" s="18"/>
      <c r="O80" s="17"/>
      <c r="P80" s="28"/>
      <c r="Q80" s="27"/>
      <c r="R80" s="78"/>
      <c r="S80" s="17"/>
      <c r="T80" s="23"/>
      <c r="U80" s="526">
        <v>3</v>
      </c>
      <c r="V80" s="546" t="s">
        <v>1489</v>
      </c>
      <c r="W80" s="533"/>
      <c r="X80" s="539"/>
      <c r="Y80" s="533">
        <v>84</v>
      </c>
      <c r="Z80" s="19">
        <v>273</v>
      </c>
      <c r="AA80" s="18"/>
      <c r="AB80" s="24"/>
      <c r="AC80" s="23"/>
      <c r="AD80" s="941"/>
      <c r="AE80" s="944"/>
      <c r="AF80" s="498"/>
      <c r="AG80" s="498"/>
      <c r="AH80" s="498"/>
      <c r="AI80" s="498"/>
      <c r="AJ80" s="498"/>
      <c r="AK80" s="715">
        <v>1500</v>
      </c>
      <c r="AL80" s="498"/>
      <c r="AM80" s="498"/>
      <c r="AN80" s="498"/>
      <c r="AO80" s="498"/>
      <c r="AP80" s="498"/>
      <c r="AQ80" s="498"/>
      <c r="AR80" s="498"/>
      <c r="AS80" s="498"/>
      <c r="AT80" s="498"/>
      <c r="AU80" s="498"/>
      <c r="AV80" s="922"/>
    </row>
    <row r="81" spans="1:48">
      <c r="A81" s="23"/>
      <c r="B81" s="22"/>
      <c r="C81" s="25"/>
      <c r="D81" s="21"/>
      <c r="E81" s="24"/>
      <c r="F81" s="917"/>
      <c r="G81" s="18"/>
      <c r="H81" s="21"/>
      <c r="I81" s="937"/>
      <c r="J81" s="919"/>
      <c r="K81" s="922"/>
      <c r="L81" s="932"/>
      <c r="M81" s="935"/>
      <c r="N81" s="18"/>
      <c r="O81" s="17"/>
      <c r="P81" s="28"/>
      <c r="Q81" s="27"/>
      <c r="R81" s="78"/>
      <c r="S81" s="17"/>
      <c r="T81" s="23"/>
      <c r="U81" s="526">
        <v>4</v>
      </c>
      <c r="V81" s="546" t="s">
        <v>144</v>
      </c>
      <c r="W81" s="533"/>
      <c r="X81" s="539">
        <v>61</v>
      </c>
      <c r="Y81" s="533"/>
      <c r="Z81" s="19">
        <v>201</v>
      </c>
      <c r="AA81" s="18"/>
      <c r="AB81" s="24"/>
      <c r="AC81" s="23"/>
      <c r="AD81" s="941"/>
      <c r="AE81" s="944"/>
      <c r="AF81" s="498"/>
      <c r="AG81" s="498"/>
      <c r="AH81" s="498"/>
      <c r="AI81" s="498"/>
      <c r="AJ81" s="498"/>
      <c r="AK81" s="715">
        <v>13250</v>
      </c>
      <c r="AL81" s="498"/>
      <c r="AM81" s="498"/>
      <c r="AN81" s="498"/>
      <c r="AO81" s="498"/>
      <c r="AP81" s="498"/>
      <c r="AQ81" s="498"/>
      <c r="AR81" s="498"/>
      <c r="AS81" s="498"/>
      <c r="AT81" s="498"/>
      <c r="AU81" s="498"/>
      <c r="AV81" s="922"/>
    </row>
    <row r="82" spans="1:48">
      <c r="A82" s="23"/>
      <c r="B82" s="22"/>
      <c r="C82" s="25"/>
      <c r="D82" s="21"/>
      <c r="E82" s="24"/>
      <c r="F82" s="917"/>
      <c r="G82" s="18"/>
      <c r="H82" s="21"/>
      <c r="I82" s="937"/>
      <c r="J82" s="919"/>
      <c r="K82" s="922"/>
      <c r="L82" s="932"/>
      <c r="M82" s="935"/>
      <c r="N82" s="18"/>
      <c r="O82" s="17"/>
      <c r="P82" s="28"/>
      <c r="Q82" s="27"/>
      <c r="R82" s="78"/>
      <c r="S82" s="17"/>
      <c r="T82" s="23"/>
      <c r="U82" s="526">
        <v>4</v>
      </c>
      <c r="V82" s="546" t="s">
        <v>144</v>
      </c>
      <c r="W82" s="533"/>
      <c r="X82" s="539"/>
      <c r="Y82" s="533">
        <v>25</v>
      </c>
      <c r="Z82" s="19">
        <v>322</v>
      </c>
      <c r="AA82" s="18"/>
      <c r="AB82" s="24"/>
      <c r="AC82" s="23"/>
      <c r="AD82" s="941"/>
      <c r="AE82" s="944"/>
      <c r="AF82" s="498"/>
      <c r="AG82" s="498"/>
      <c r="AH82" s="498"/>
      <c r="AI82" s="498"/>
      <c r="AJ82" s="498"/>
      <c r="AK82" s="715">
        <v>6600</v>
      </c>
      <c r="AL82" s="498"/>
      <c r="AM82" s="498"/>
      <c r="AN82" s="498"/>
      <c r="AO82" s="498"/>
      <c r="AP82" s="498"/>
      <c r="AQ82" s="498"/>
      <c r="AR82" s="498"/>
      <c r="AS82" s="498"/>
      <c r="AT82" s="498"/>
      <c r="AU82" s="498"/>
      <c r="AV82" s="922"/>
    </row>
    <row r="83" spans="1:48">
      <c r="A83" s="23"/>
      <c r="B83" s="22"/>
      <c r="C83" s="25"/>
      <c r="D83" s="21"/>
      <c r="E83" s="24"/>
      <c r="F83" s="917"/>
      <c r="G83" s="18"/>
      <c r="H83" s="21"/>
      <c r="I83" s="937"/>
      <c r="J83" s="919"/>
      <c r="K83" s="922"/>
      <c r="L83" s="932"/>
      <c r="M83" s="935"/>
      <c r="N83" s="18"/>
      <c r="O83" s="17"/>
      <c r="P83" s="28"/>
      <c r="Q83" s="27"/>
      <c r="R83" s="78"/>
      <c r="S83" s="17"/>
      <c r="T83" s="23"/>
      <c r="U83" s="526">
        <v>5</v>
      </c>
      <c r="V83" s="546" t="s">
        <v>139</v>
      </c>
      <c r="W83" s="533"/>
      <c r="X83" s="539">
        <v>27</v>
      </c>
      <c r="Y83" s="533"/>
      <c r="Z83" s="19">
        <v>432</v>
      </c>
      <c r="AA83" s="18"/>
      <c r="AB83" s="24"/>
      <c r="AC83" s="23"/>
      <c r="AD83" s="941"/>
      <c r="AE83" s="944"/>
      <c r="AF83" s="498"/>
      <c r="AG83" s="498"/>
      <c r="AH83" s="498"/>
      <c r="AI83" s="498"/>
      <c r="AJ83" s="498"/>
      <c r="AK83" s="715">
        <v>49500</v>
      </c>
      <c r="AL83" s="498"/>
      <c r="AM83" s="498"/>
      <c r="AN83" s="498"/>
      <c r="AO83" s="498"/>
      <c r="AP83" s="498"/>
      <c r="AQ83" s="498"/>
      <c r="AR83" s="498"/>
      <c r="AS83" s="498"/>
      <c r="AT83" s="498"/>
      <c r="AU83" s="498"/>
      <c r="AV83" s="922"/>
    </row>
    <row r="84" spans="1:48">
      <c r="A84" s="23"/>
      <c r="B84" s="22"/>
      <c r="C84" s="25"/>
      <c r="D84" s="21"/>
      <c r="E84" s="24"/>
      <c r="F84" s="917"/>
      <c r="G84" s="18"/>
      <c r="H84" s="21"/>
      <c r="I84" s="937"/>
      <c r="J84" s="919"/>
      <c r="K84" s="922"/>
      <c r="L84" s="932"/>
      <c r="M84" s="935"/>
      <c r="N84" s="18"/>
      <c r="O84" s="17"/>
      <c r="P84" s="28"/>
      <c r="Q84" s="27"/>
      <c r="R84" s="78"/>
      <c r="S84" s="17"/>
      <c r="T84" s="23"/>
      <c r="U84" s="526">
        <v>5</v>
      </c>
      <c r="V84" s="546" t="s">
        <v>139</v>
      </c>
      <c r="W84" s="533"/>
      <c r="X84" s="539"/>
      <c r="Y84" s="533">
        <v>17</v>
      </c>
      <c r="Z84" s="19">
        <v>1505</v>
      </c>
      <c r="AA84" s="18"/>
      <c r="AB84" s="24"/>
      <c r="AC84" s="23"/>
      <c r="AD84" s="941"/>
      <c r="AE84" s="944"/>
      <c r="AF84" s="498"/>
      <c r="AG84" s="498"/>
      <c r="AH84" s="498"/>
      <c r="AI84" s="498"/>
      <c r="AJ84" s="498"/>
      <c r="AK84" s="715">
        <v>24750</v>
      </c>
      <c r="AL84" s="498"/>
      <c r="AM84" s="498"/>
      <c r="AN84" s="498"/>
      <c r="AO84" s="498"/>
      <c r="AP84" s="498"/>
      <c r="AQ84" s="498"/>
      <c r="AR84" s="498"/>
      <c r="AS84" s="498"/>
      <c r="AT84" s="498"/>
      <c r="AU84" s="498"/>
      <c r="AV84" s="922"/>
    </row>
    <row r="85" spans="1:48">
      <c r="A85" s="23"/>
      <c r="B85" s="22"/>
      <c r="C85" s="25"/>
      <c r="D85" s="21"/>
      <c r="E85" s="24"/>
      <c r="F85" s="917"/>
      <c r="G85" s="18"/>
      <c r="H85" s="21"/>
      <c r="I85" s="937"/>
      <c r="J85" s="919"/>
      <c r="K85" s="922"/>
      <c r="L85" s="932"/>
      <c r="M85" s="935"/>
      <c r="N85" s="18"/>
      <c r="O85" s="17"/>
      <c r="P85" s="28"/>
      <c r="Q85" s="27"/>
      <c r="R85" s="78"/>
      <c r="S85" s="17"/>
      <c r="T85" s="23"/>
      <c r="U85" s="526">
        <v>6</v>
      </c>
      <c r="V85" s="546" t="s">
        <v>872</v>
      </c>
      <c r="W85" s="533"/>
      <c r="X85" s="539">
        <v>1</v>
      </c>
      <c r="Y85" s="533"/>
      <c r="Z85" s="19">
        <v>292</v>
      </c>
      <c r="AA85" s="18"/>
      <c r="AB85" s="24"/>
      <c r="AC85" s="23"/>
      <c r="AD85" s="941"/>
      <c r="AE85" s="944"/>
      <c r="AF85" s="498"/>
      <c r="AG85" s="498"/>
      <c r="AH85" s="498"/>
      <c r="AI85" s="498"/>
      <c r="AJ85" s="498"/>
      <c r="AK85" s="715"/>
      <c r="AL85" s="498"/>
      <c r="AM85" s="498"/>
      <c r="AN85" s="498"/>
      <c r="AO85" s="498"/>
      <c r="AP85" s="498"/>
      <c r="AQ85" s="498"/>
      <c r="AR85" s="498"/>
      <c r="AS85" s="498"/>
      <c r="AT85" s="498"/>
      <c r="AU85" s="498"/>
      <c r="AV85" s="922"/>
    </row>
    <row r="86" spans="1:48">
      <c r="A86" s="23"/>
      <c r="B86" s="22"/>
      <c r="C86" s="25"/>
      <c r="D86" s="21"/>
      <c r="E86" s="24"/>
      <c r="F86" s="917"/>
      <c r="G86" s="18"/>
      <c r="H86" s="21"/>
      <c r="I86" s="937"/>
      <c r="J86" s="919"/>
      <c r="K86" s="922"/>
      <c r="L86" s="932"/>
      <c r="M86" s="935"/>
      <c r="N86" s="18"/>
      <c r="O86" s="17"/>
      <c r="P86" s="28"/>
      <c r="Q86" s="27"/>
      <c r="R86" s="78"/>
      <c r="S86" s="17"/>
      <c r="T86" s="23"/>
      <c r="U86" s="526">
        <v>7</v>
      </c>
      <c r="V86" s="546" t="s">
        <v>1485</v>
      </c>
      <c r="W86" s="533">
        <v>2117</v>
      </c>
      <c r="X86" s="539"/>
      <c r="Y86" s="533"/>
      <c r="Z86" s="19">
        <v>469</v>
      </c>
      <c r="AA86" s="18"/>
      <c r="AB86" s="24"/>
      <c r="AC86" s="23"/>
      <c r="AD86" s="941"/>
      <c r="AE86" s="944"/>
      <c r="AF86" s="498"/>
      <c r="AG86" s="498"/>
      <c r="AH86" s="498"/>
      <c r="AI86" s="498"/>
      <c r="AJ86" s="498"/>
      <c r="AK86" s="715">
        <v>3000</v>
      </c>
      <c r="AL86" s="498"/>
      <c r="AM86" s="498"/>
      <c r="AN86" s="498"/>
      <c r="AO86" s="498"/>
      <c r="AP86" s="498"/>
      <c r="AQ86" s="498"/>
      <c r="AR86" s="498"/>
      <c r="AS86" s="498"/>
      <c r="AT86" s="498"/>
      <c r="AU86" s="498"/>
      <c r="AV86" s="922"/>
    </row>
    <row r="87" spans="1:48">
      <c r="A87" s="23"/>
      <c r="B87" s="22"/>
      <c r="C87" s="25"/>
      <c r="D87" s="21"/>
      <c r="E87" s="24"/>
      <c r="F87" s="917"/>
      <c r="G87" s="18"/>
      <c r="H87" s="21"/>
      <c r="I87" s="937"/>
      <c r="J87" s="919"/>
      <c r="K87" s="922"/>
      <c r="L87" s="932"/>
      <c r="M87" s="935"/>
      <c r="N87" s="18"/>
      <c r="O87" s="17"/>
      <c r="P87" s="28"/>
      <c r="Q87" s="27"/>
      <c r="R87" s="78"/>
      <c r="S87" s="17"/>
      <c r="T87" s="23"/>
      <c r="U87" s="526">
        <v>8</v>
      </c>
      <c r="V87" s="546" t="s">
        <v>82</v>
      </c>
      <c r="W87" s="533">
        <v>2</v>
      </c>
      <c r="X87" s="539"/>
      <c r="Y87" s="533"/>
      <c r="Z87" s="19">
        <v>309</v>
      </c>
      <c r="AA87" s="18"/>
      <c r="AB87" s="24"/>
      <c r="AC87" s="23"/>
      <c r="AD87" s="941"/>
      <c r="AE87" s="944"/>
      <c r="AF87" s="498"/>
      <c r="AG87" s="498"/>
      <c r="AH87" s="498"/>
      <c r="AI87" s="498"/>
      <c r="AJ87" s="498"/>
      <c r="AK87" s="715">
        <v>125000</v>
      </c>
      <c r="AL87" s="498"/>
      <c r="AM87" s="498"/>
      <c r="AN87" s="498"/>
      <c r="AO87" s="498"/>
      <c r="AP87" s="498"/>
      <c r="AQ87" s="498"/>
      <c r="AR87" s="498"/>
      <c r="AS87" s="498"/>
      <c r="AT87" s="498"/>
      <c r="AU87" s="498"/>
      <c r="AV87" s="922"/>
    </row>
    <row r="88" spans="1:48">
      <c r="A88" s="23"/>
      <c r="B88" s="22"/>
      <c r="C88" s="25"/>
      <c r="D88" s="21"/>
      <c r="E88" s="24"/>
      <c r="F88" s="917"/>
      <c r="G88" s="18"/>
      <c r="H88" s="21"/>
      <c r="I88" s="937"/>
      <c r="J88" s="919"/>
      <c r="K88" s="922"/>
      <c r="L88" s="932"/>
      <c r="M88" s="935"/>
      <c r="N88" s="18"/>
      <c r="O88" s="17"/>
      <c r="P88" s="498"/>
      <c r="Q88" s="488"/>
      <c r="R88" s="78"/>
      <c r="S88" s="17"/>
      <c r="T88" s="23"/>
      <c r="U88" s="526">
        <v>9</v>
      </c>
      <c r="V88" s="546" t="s">
        <v>1400</v>
      </c>
      <c r="W88" s="533"/>
      <c r="X88" s="539">
        <v>12</v>
      </c>
      <c r="Y88" s="533"/>
      <c r="Z88" s="490"/>
      <c r="AA88" s="18"/>
      <c r="AB88" s="24"/>
      <c r="AC88" s="23"/>
      <c r="AD88" s="941"/>
      <c r="AE88" s="944"/>
      <c r="AF88" s="498"/>
      <c r="AG88" s="498"/>
      <c r="AH88" s="498"/>
      <c r="AI88" s="498"/>
      <c r="AJ88" s="498"/>
      <c r="AK88" s="715">
        <v>82500</v>
      </c>
      <c r="AL88" s="498"/>
      <c r="AM88" s="498"/>
      <c r="AN88" s="498"/>
      <c r="AO88" s="498"/>
      <c r="AP88" s="498"/>
      <c r="AQ88" s="498"/>
      <c r="AR88" s="498"/>
      <c r="AS88" s="498"/>
      <c r="AT88" s="498"/>
      <c r="AU88" s="498"/>
      <c r="AV88" s="922"/>
    </row>
    <row r="89" spans="1:48">
      <c r="A89" s="23"/>
      <c r="B89" s="22"/>
      <c r="C89" s="25"/>
      <c r="D89" s="21"/>
      <c r="E89" s="24"/>
      <c r="F89" s="917"/>
      <c r="G89" s="18"/>
      <c r="H89" s="21"/>
      <c r="I89" s="937"/>
      <c r="J89" s="919"/>
      <c r="K89" s="922"/>
      <c r="L89" s="932"/>
      <c r="M89" s="935"/>
      <c r="N89" s="18"/>
      <c r="O89" s="17"/>
      <c r="P89" s="498"/>
      <c r="Q89" s="488"/>
      <c r="R89" s="78"/>
      <c r="S89" s="17"/>
      <c r="T89" s="23"/>
      <c r="U89" s="526"/>
      <c r="V89" s="546" t="s">
        <v>1400</v>
      </c>
      <c r="W89" s="533"/>
      <c r="X89" s="539"/>
      <c r="Y89" s="533">
        <v>80</v>
      </c>
      <c r="Z89" s="490"/>
      <c r="AA89" s="18"/>
      <c r="AB89" s="24"/>
      <c r="AC89" s="23"/>
      <c r="AD89" s="941"/>
      <c r="AE89" s="944"/>
      <c r="AF89" s="498"/>
      <c r="AG89" s="498"/>
      <c r="AH89" s="498"/>
      <c r="AI89" s="498"/>
      <c r="AJ89" s="498"/>
      <c r="AK89" s="715">
        <v>41250</v>
      </c>
      <c r="AL89" s="498"/>
      <c r="AM89" s="498"/>
      <c r="AN89" s="498"/>
      <c r="AO89" s="498"/>
      <c r="AP89" s="498"/>
      <c r="AQ89" s="498"/>
      <c r="AR89" s="498"/>
      <c r="AS89" s="498"/>
      <c r="AT89" s="498"/>
      <c r="AU89" s="498"/>
      <c r="AV89" s="922"/>
    </row>
    <row r="90" spans="1:48">
      <c r="A90" s="23"/>
      <c r="B90" s="22"/>
      <c r="C90" s="25"/>
      <c r="D90" s="21"/>
      <c r="E90" s="24"/>
      <c r="F90" s="917"/>
      <c r="G90" s="18"/>
      <c r="H90" s="21"/>
      <c r="I90" s="937"/>
      <c r="J90" s="919"/>
      <c r="K90" s="922"/>
      <c r="L90" s="932"/>
      <c r="M90" s="935"/>
      <c r="N90" s="18"/>
      <c r="O90" s="17"/>
      <c r="P90" s="498"/>
      <c r="Q90" s="488"/>
      <c r="R90" s="78"/>
      <c r="S90" s="17"/>
      <c r="T90" s="23"/>
      <c r="U90" s="526">
        <v>10</v>
      </c>
      <c r="V90" s="546" t="s">
        <v>142</v>
      </c>
      <c r="W90" s="533"/>
      <c r="X90" s="539">
        <v>102</v>
      </c>
      <c r="Y90" s="533"/>
      <c r="Z90" s="490"/>
      <c r="AA90" s="18"/>
      <c r="AB90" s="24"/>
      <c r="AC90" s="23"/>
      <c r="AD90" s="941"/>
      <c r="AE90" s="944"/>
      <c r="AF90" s="498"/>
      <c r="AG90" s="498"/>
      <c r="AH90" s="498"/>
      <c r="AI90" s="498"/>
      <c r="AJ90" s="498"/>
      <c r="AK90" s="715">
        <v>165000</v>
      </c>
      <c r="AL90" s="498"/>
      <c r="AM90" s="498"/>
      <c r="AN90" s="498"/>
      <c r="AO90" s="498"/>
      <c r="AP90" s="498"/>
      <c r="AQ90" s="498"/>
      <c r="AR90" s="498"/>
      <c r="AS90" s="498"/>
      <c r="AT90" s="498"/>
      <c r="AU90" s="498"/>
      <c r="AV90" s="922"/>
    </row>
    <row r="91" spans="1:48">
      <c r="A91" s="23"/>
      <c r="B91" s="22"/>
      <c r="C91" s="25"/>
      <c r="D91" s="21"/>
      <c r="E91" s="24"/>
      <c r="F91" s="917"/>
      <c r="G91" s="18"/>
      <c r="H91" s="21"/>
      <c r="I91" s="937"/>
      <c r="J91" s="919"/>
      <c r="K91" s="922"/>
      <c r="L91" s="932"/>
      <c r="M91" s="935"/>
      <c r="N91" s="18"/>
      <c r="O91" s="17"/>
      <c r="P91" s="498"/>
      <c r="Q91" s="488"/>
      <c r="R91" s="78"/>
      <c r="S91" s="17"/>
      <c r="T91" s="23"/>
      <c r="U91" s="526">
        <v>11</v>
      </c>
      <c r="V91" s="546" t="s">
        <v>1413</v>
      </c>
      <c r="W91" s="533"/>
      <c r="X91" s="539">
        <v>8</v>
      </c>
      <c r="Y91" s="533"/>
      <c r="Z91" s="490"/>
      <c r="AA91" s="18"/>
      <c r="AB91" s="24"/>
      <c r="AC91" s="23"/>
      <c r="AD91" s="941"/>
      <c r="AE91" s="944"/>
      <c r="AF91" s="498"/>
      <c r="AG91" s="498"/>
      <c r="AH91" s="498"/>
      <c r="AI91" s="498"/>
      <c r="AJ91" s="498"/>
      <c r="AK91" s="715">
        <v>132000</v>
      </c>
      <c r="AL91" s="498"/>
      <c r="AM91" s="498"/>
      <c r="AN91" s="498"/>
      <c r="AO91" s="498"/>
      <c r="AP91" s="498"/>
      <c r="AQ91" s="498"/>
      <c r="AR91" s="498"/>
      <c r="AS91" s="498"/>
      <c r="AT91" s="498"/>
      <c r="AU91" s="498"/>
      <c r="AV91" s="922"/>
    </row>
    <row r="92" spans="1:48">
      <c r="A92" s="23"/>
      <c r="B92" s="22"/>
      <c r="C92" s="25"/>
      <c r="D92" s="21"/>
      <c r="E92" s="24"/>
      <c r="F92" s="917"/>
      <c r="G92" s="18"/>
      <c r="H92" s="21"/>
      <c r="I92" s="937"/>
      <c r="J92" s="919"/>
      <c r="K92" s="922"/>
      <c r="L92" s="932"/>
      <c r="M92" s="935"/>
      <c r="N92" s="18"/>
      <c r="O92" s="17"/>
      <c r="P92" s="498"/>
      <c r="Q92" s="488"/>
      <c r="R92" s="78"/>
      <c r="S92" s="17"/>
      <c r="T92" s="23"/>
      <c r="U92" s="526">
        <v>12</v>
      </c>
      <c r="V92" s="546" t="s">
        <v>313</v>
      </c>
      <c r="W92" s="533">
        <v>5</v>
      </c>
      <c r="X92" s="539"/>
      <c r="Y92" s="533"/>
      <c r="Z92" s="490"/>
      <c r="AA92" s="18"/>
      <c r="AB92" s="24"/>
      <c r="AC92" s="23"/>
      <c r="AD92" s="941"/>
      <c r="AE92" s="944"/>
      <c r="AF92" s="498"/>
      <c r="AG92" s="498"/>
      <c r="AH92" s="498"/>
      <c r="AI92" s="498"/>
      <c r="AJ92" s="498"/>
      <c r="AK92" s="715">
        <v>160000</v>
      </c>
      <c r="AL92" s="498"/>
      <c r="AM92" s="498"/>
      <c r="AN92" s="498"/>
      <c r="AO92" s="498"/>
      <c r="AP92" s="498"/>
      <c r="AQ92" s="498"/>
      <c r="AR92" s="498"/>
      <c r="AS92" s="498"/>
      <c r="AT92" s="498"/>
      <c r="AU92" s="498"/>
      <c r="AV92" s="922"/>
    </row>
    <row r="93" spans="1:48">
      <c r="A93" s="23"/>
      <c r="B93" s="22"/>
      <c r="C93" s="25"/>
      <c r="D93" s="21"/>
      <c r="E93" s="24"/>
      <c r="F93" s="917"/>
      <c r="G93" s="18"/>
      <c r="H93" s="21"/>
      <c r="I93" s="937"/>
      <c r="J93" s="919"/>
      <c r="K93" s="922"/>
      <c r="L93" s="932"/>
      <c r="M93" s="935"/>
      <c r="N93" s="18"/>
      <c r="O93" s="17"/>
      <c r="P93" s="498"/>
      <c r="Q93" s="488"/>
      <c r="R93" s="78"/>
      <c r="S93" s="17"/>
      <c r="T93" s="23"/>
      <c r="U93" s="526">
        <v>13</v>
      </c>
      <c r="V93" s="546" t="s">
        <v>3</v>
      </c>
      <c r="W93" s="533">
        <v>11</v>
      </c>
      <c r="X93" s="539"/>
      <c r="Y93" s="533"/>
      <c r="Z93" s="490"/>
      <c r="AA93" s="18"/>
      <c r="AB93" s="24"/>
      <c r="AC93" s="23"/>
      <c r="AD93" s="941"/>
      <c r="AE93" s="944"/>
      <c r="AF93" s="498"/>
      <c r="AG93" s="498"/>
      <c r="AH93" s="498"/>
      <c r="AI93" s="498"/>
      <c r="AJ93" s="498"/>
      <c r="AK93" s="715">
        <v>85000</v>
      </c>
      <c r="AL93" s="498"/>
      <c r="AM93" s="498"/>
      <c r="AN93" s="498"/>
      <c r="AO93" s="498"/>
      <c r="AP93" s="498"/>
      <c r="AQ93" s="498"/>
      <c r="AR93" s="498"/>
      <c r="AS93" s="498"/>
      <c r="AT93" s="498"/>
      <c r="AU93" s="498"/>
      <c r="AV93" s="922"/>
    </row>
    <row r="94" spans="1:48">
      <c r="A94" s="23"/>
      <c r="B94" s="22"/>
      <c r="C94" s="25"/>
      <c r="D94" s="21"/>
      <c r="E94" s="24"/>
      <c r="F94" s="917"/>
      <c r="G94" s="18"/>
      <c r="H94" s="21"/>
      <c r="I94" s="937"/>
      <c r="J94" s="919"/>
      <c r="K94" s="922"/>
      <c r="L94" s="932"/>
      <c r="M94" s="935"/>
      <c r="N94" s="18"/>
      <c r="O94" s="17"/>
      <c r="P94" s="498"/>
      <c r="Q94" s="488"/>
      <c r="R94" s="78"/>
      <c r="S94" s="17"/>
      <c r="T94" s="23"/>
      <c r="U94" s="526">
        <v>14</v>
      </c>
      <c r="V94" s="546" t="s">
        <v>1412</v>
      </c>
      <c r="W94" s="533"/>
      <c r="X94" s="539">
        <v>27</v>
      </c>
      <c r="Y94" s="533"/>
      <c r="Z94" s="490"/>
      <c r="AA94" s="18"/>
      <c r="AB94" s="24"/>
      <c r="AC94" s="23"/>
      <c r="AD94" s="941"/>
      <c r="AE94" s="944"/>
      <c r="AF94" s="498"/>
      <c r="AG94" s="498"/>
      <c r="AH94" s="498"/>
      <c r="AI94" s="498"/>
      <c r="AJ94" s="498"/>
      <c r="AK94" s="715">
        <v>82500</v>
      </c>
      <c r="AL94" s="498"/>
      <c r="AM94" s="498"/>
      <c r="AN94" s="498"/>
      <c r="AO94" s="498"/>
      <c r="AP94" s="498"/>
      <c r="AQ94" s="498"/>
      <c r="AR94" s="498"/>
      <c r="AS94" s="498"/>
      <c r="AT94" s="498"/>
      <c r="AU94" s="498"/>
      <c r="AV94" s="922"/>
    </row>
    <row r="95" spans="1:48">
      <c r="A95" s="23"/>
      <c r="B95" s="22"/>
      <c r="C95" s="25"/>
      <c r="D95" s="21"/>
      <c r="E95" s="24"/>
      <c r="F95" s="917"/>
      <c r="G95" s="18"/>
      <c r="H95" s="21"/>
      <c r="I95" s="937"/>
      <c r="J95" s="919"/>
      <c r="K95" s="922"/>
      <c r="L95" s="932"/>
      <c r="M95" s="935"/>
      <c r="N95" s="18"/>
      <c r="O95" s="17"/>
      <c r="P95" s="498"/>
      <c r="Q95" s="488"/>
      <c r="R95" s="78"/>
      <c r="S95" s="17"/>
      <c r="T95" s="23"/>
      <c r="U95" s="526">
        <v>15</v>
      </c>
      <c r="V95" s="546" t="s">
        <v>1423</v>
      </c>
      <c r="W95" s="533">
        <v>2</v>
      </c>
      <c r="X95" s="539"/>
      <c r="Y95" s="533"/>
      <c r="Z95" s="490"/>
      <c r="AA95" s="18"/>
      <c r="AB95" s="24"/>
      <c r="AC95" s="23"/>
      <c r="AD95" s="941"/>
      <c r="AE95" s="944"/>
      <c r="AF95" s="498"/>
      <c r="AG95" s="498"/>
      <c r="AH95" s="498"/>
      <c r="AI95" s="498"/>
      <c r="AJ95" s="498"/>
      <c r="AK95" s="715">
        <v>150000</v>
      </c>
      <c r="AL95" s="498"/>
      <c r="AM95" s="498"/>
      <c r="AN95" s="498"/>
      <c r="AO95" s="498"/>
      <c r="AP95" s="498"/>
      <c r="AQ95" s="498"/>
      <c r="AR95" s="498"/>
      <c r="AS95" s="498"/>
      <c r="AT95" s="498"/>
      <c r="AU95" s="498"/>
      <c r="AV95" s="922"/>
    </row>
    <row r="96" spans="1:48">
      <c r="A96" s="23"/>
      <c r="B96" s="22"/>
      <c r="C96" s="25"/>
      <c r="D96" s="21"/>
      <c r="E96" s="24"/>
      <c r="F96" s="917"/>
      <c r="G96" s="18"/>
      <c r="H96" s="21"/>
      <c r="I96" s="937"/>
      <c r="J96" s="919"/>
      <c r="K96" s="922"/>
      <c r="L96" s="932"/>
      <c r="M96" s="935"/>
      <c r="N96" s="18"/>
      <c r="O96" s="17"/>
      <c r="P96" s="498"/>
      <c r="Q96" s="488"/>
      <c r="R96" s="78"/>
      <c r="S96" s="17"/>
      <c r="T96" s="23"/>
      <c r="U96" s="526">
        <v>16</v>
      </c>
      <c r="V96" s="546" t="s">
        <v>495</v>
      </c>
      <c r="W96" s="533">
        <v>2</v>
      </c>
      <c r="X96" s="539"/>
      <c r="Y96" s="533"/>
      <c r="Z96" s="490"/>
      <c r="AA96" s="18"/>
      <c r="AB96" s="24"/>
      <c r="AC96" s="23"/>
      <c r="AD96" s="941"/>
      <c r="AE96" s="944"/>
      <c r="AF96" s="498"/>
      <c r="AG96" s="498"/>
      <c r="AH96" s="498"/>
      <c r="AI96" s="498"/>
      <c r="AJ96" s="498"/>
      <c r="AK96" s="715">
        <v>100000</v>
      </c>
      <c r="AL96" s="498"/>
      <c r="AM96" s="498"/>
      <c r="AN96" s="498"/>
      <c r="AO96" s="498"/>
      <c r="AP96" s="498"/>
      <c r="AQ96" s="498"/>
      <c r="AR96" s="498"/>
      <c r="AS96" s="498"/>
      <c r="AT96" s="498"/>
      <c r="AU96" s="498"/>
      <c r="AV96" s="922"/>
    </row>
    <row r="97" spans="1:48">
      <c r="A97" s="23"/>
      <c r="B97" s="22"/>
      <c r="C97" s="25"/>
      <c r="D97" s="21"/>
      <c r="E97" s="24"/>
      <c r="F97" s="917"/>
      <c r="G97" s="18"/>
      <c r="H97" s="21"/>
      <c r="I97" s="937"/>
      <c r="J97" s="919"/>
      <c r="K97" s="922"/>
      <c r="L97" s="932"/>
      <c r="M97" s="935"/>
      <c r="N97" s="18"/>
      <c r="O97" s="17"/>
      <c r="P97" s="498"/>
      <c r="Q97" s="488"/>
      <c r="R97" s="78"/>
      <c r="S97" s="17"/>
      <c r="T97" s="23"/>
      <c r="U97" s="526">
        <v>17</v>
      </c>
      <c r="V97" s="546" t="s">
        <v>1474</v>
      </c>
      <c r="W97" s="533"/>
      <c r="X97" s="539"/>
      <c r="Y97" s="533">
        <v>2</v>
      </c>
      <c r="Z97" s="490"/>
      <c r="AA97" s="18"/>
      <c r="AB97" s="24"/>
      <c r="AC97" s="23"/>
      <c r="AD97" s="941"/>
      <c r="AE97" s="944"/>
      <c r="AF97" s="498"/>
      <c r="AG97" s="498"/>
      <c r="AH97" s="498"/>
      <c r="AI97" s="498"/>
      <c r="AJ97" s="498"/>
      <c r="AK97" s="715">
        <v>33000</v>
      </c>
      <c r="AL97" s="498"/>
      <c r="AM97" s="498"/>
      <c r="AN97" s="498"/>
      <c r="AO97" s="498"/>
      <c r="AP97" s="498"/>
      <c r="AQ97" s="498"/>
      <c r="AR97" s="498"/>
      <c r="AS97" s="498"/>
      <c r="AT97" s="498"/>
      <c r="AU97" s="498"/>
      <c r="AV97" s="922"/>
    </row>
    <row r="98" spans="1:48">
      <c r="A98" s="23"/>
      <c r="B98" s="22"/>
      <c r="C98" s="25"/>
      <c r="D98" s="21"/>
      <c r="E98" s="24"/>
      <c r="F98" s="917"/>
      <c r="G98" s="18"/>
      <c r="H98" s="21"/>
      <c r="I98" s="937"/>
      <c r="J98" s="919"/>
      <c r="K98" s="922"/>
      <c r="L98" s="932"/>
      <c r="M98" s="935"/>
      <c r="N98" s="18"/>
      <c r="O98" s="17"/>
      <c r="P98" s="498"/>
      <c r="Q98" s="488"/>
      <c r="R98" s="78"/>
      <c r="S98" s="17"/>
      <c r="T98" s="23"/>
      <c r="U98" s="526">
        <v>18</v>
      </c>
      <c r="V98" s="546" t="s">
        <v>218</v>
      </c>
      <c r="W98" s="533">
        <v>25</v>
      </c>
      <c r="X98" s="539"/>
      <c r="Y98" s="533"/>
      <c r="Z98" s="490"/>
      <c r="AA98" s="18"/>
      <c r="AB98" s="24"/>
      <c r="AC98" s="23"/>
      <c r="AD98" s="941"/>
      <c r="AE98" s="944"/>
      <c r="AF98" s="498"/>
      <c r="AG98" s="498"/>
      <c r="AH98" s="498"/>
      <c r="AI98" s="498"/>
      <c r="AJ98" s="498"/>
      <c r="AK98" s="715">
        <v>6000</v>
      </c>
      <c r="AL98" s="498"/>
      <c r="AM98" s="498"/>
      <c r="AN98" s="498"/>
      <c r="AO98" s="498"/>
      <c r="AP98" s="498"/>
      <c r="AQ98" s="498"/>
      <c r="AR98" s="498"/>
      <c r="AS98" s="498"/>
      <c r="AT98" s="498"/>
      <c r="AU98" s="498"/>
      <c r="AV98" s="922"/>
    </row>
    <row r="99" spans="1:48">
      <c r="A99" s="23"/>
      <c r="B99" s="22"/>
      <c r="C99" s="25"/>
      <c r="D99" s="21"/>
      <c r="E99" s="24"/>
      <c r="F99" s="917"/>
      <c r="G99" s="18"/>
      <c r="H99" s="21"/>
      <c r="I99" s="937"/>
      <c r="J99" s="919"/>
      <c r="K99" s="922"/>
      <c r="L99" s="932"/>
      <c r="M99" s="935"/>
      <c r="N99" s="18"/>
      <c r="O99" s="17"/>
      <c r="P99" s="498"/>
      <c r="Q99" s="488"/>
      <c r="R99" s="78"/>
      <c r="S99" s="17"/>
      <c r="T99" s="23"/>
      <c r="U99" s="526">
        <v>19</v>
      </c>
      <c r="V99" s="546" t="s">
        <v>322</v>
      </c>
      <c r="W99" s="533">
        <v>110</v>
      </c>
      <c r="X99" s="539"/>
      <c r="Y99" s="533"/>
      <c r="Z99" s="490"/>
      <c r="AA99" s="18"/>
      <c r="AB99" s="24"/>
      <c r="AC99" s="23"/>
      <c r="AD99" s="941"/>
      <c r="AE99" s="944"/>
      <c r="AF99" s="498"/>
      <c r="AG99" s="498"/>
      <c r="AH99" s="498"/>
      <c r="AI99" s="498"/>
      <c r="AJ99" s="498"/>
      <c r="AK99" s="715">
        <v>5000</v>
      </c>
      <c r="AL99" s="498"/>
      <c r="AM99" s="498"/>
      <c r="AN99" s="498"/>
      <c r="AO99" s="498"/>
      <c r="AP99" s="498"/>
      <c r="AQ99" s="498"/>
      <c r="AR99" s="498"/>
      <c r="AS99" s="498"/>
      <c r="AT99" s="498"/>
      <c r="AU99" s="498"/>
      <c r="AV99" s="922"/>
    </row>
    <row r="100" spans="1:48">
      <c r="A100" s="23"/>
      <c r="B100" s="22"/>
      <c r="C100" s="25"/>
      <c r="D100" s="21"/>
      <c r="E100" s="24"/>
      <c r="F100" s="917"/>
      <c r="G100" s="18"/>
      <c r="H100" s="21"/>
      <c r="I100" s="937"/>
      <c r="J100" s="919"/>
      <c r="K100" s="922"/>
      <c r="L100" s="932"/>
      <c r="M100" s="935"/>
      <c r="N100" s="18"/>
      <c r="O100" s="17"/>
      <c r="P100" s="498"/>
      <c r="Q100" s="488"/>
      <c r="R100" s="78"/>
      <c r="S100" s="17"/>
      <c r="T100" s="23"/>
      <c r="U100" s="526">
        <v>20</v>
      </c>
      <c r="V100" s="546" t="s">
        <v>1401</v>
      </c>
      <c r="W100" s="533">
        <v>99</v>
      </c>
      <c r="X100" s="539"/>
      <c r="Y100" s="533"/>
      <c r="Z100" s="490"/>
      <c r="AA100" s="18"/>
      <c r="AB100" s="24"/>
      <c r="AC100" s="23"/>
      <c r="AD100" s="941"/>
      <c r="AE100" s="944"/>
      <c r="AF100" s="498"/>
      <c r="AG100" s="498"/>
      <c r="AH100" s="498"/>
      <c r="AI100" s="498"/>
      <c r="AJ100" s="498"/>
      <c r="AK100" s="715">
        <v>15000</v>
      </c>
      <c r="AL100" s="498"/>
      <c r="AM100" s="498"/>
      <c r="AN100" s="498"/>
      <c r="AO100" s="498"/>
      <c r="AP100" s="498"/>
      <c r="AQ100" s="498"/>
      <c r="AR100" s="498"/>
      <c r="AS100" s="498"/>
      <c r="AT100" s="498"/>
      <c r="AU100" s="498"/>
      <c r="AV100" s="922"/>
    </row>
    <row r="101" spans="1:48">
      <c r="A101" s="23"/>
      <c r="B101" s="22"/>
      <c r="C101" s="25"/>
      <c r="D101" s="21"/>
      <c r="E101" s="24"/>
      <c r="F101" s="917"/>
      <c r="G101" s="18"/>
      <c r="H101" s="21"/>
      <c r="I101" s="937"/>
      <c r="J101" s="919"/>
      <c r="K101" s="922"/>
      <c r="L101" s="932"/>
      <c r="M101" s="935"/>
      <c r="N101" s="18"/>
      <c r="O101" s="17"/>
      <c r="P101" s="498"/>
      <c r="Q101" s="488"/>
      <c r="R101" s="78"/>
      <c r="S101" s="17"/>
      <c r="T101" s="23"/>
      <c r="U101" s="526"/>
      <c r="V101" s="546" t="s">
        <v>1401</v>
      </c>
      <c r="W101" s="533"/>
      <c r="X101" s="539">
        <v>115</v>
      </c>
      <c r="Y101" s="533"/>
      <c r="Z101" s="490"/>
      <c r="AA101" s="18"/>
      <c r="AB101" s="24"/>
      <c r="AC101" s="23"/>
      <c r="AD101" s="941"/>
      <c r="AE101" s="944"/>
      <c r="AF101" s="498"/>
      <c r="AG101" s="498"/>
      <c r="AH101" s="498"/>
      <c r="AI101" s="498"/>
      <c r="AJ101" s="498"/>
      <c r="AK101" s="715">
        <v>10000</v>
      </c>
      <c r="AL101" s="498"/>
      <c r="AM101" s="498"/>
      <c r="AN101" s="498"/>
      <c r="AO101" s="498"/>
      <c r="AP101" s="498"/>
      <c r="AQ101" s="498"/>
      <c r="AR101" s="498"/>
      <c r="AS101" s="498"/>
      <c r="AT101" s="498"/>
      <c r="AU101" s="498"/>
      <c r="AV101" s="922"/>
    </row>
    <row r="102" spans="1:48">
      <c r="A102" s="23"/>
      <c r="B102" s="22"/>
      <c r="C102" s="25"/>
      <c r="D102" s="21"/>
      <c r="E102" s="24"/>
      <c r="F102" s="917"/>
      <c r="G102" s="18"/>
      <c r="H102" s="21"/>
      <c r="I102" s="937"/>
      <c r="J102" s="919"/>
      <c r="K102" s="922"/>
      <c r="L102" s="932"/>
      <c r="M102" s="935"/>
      <c r="N102" s="18"/>
      <c r="O102" s="17"/>
      <c r="P102" s="498"/>
      <c r="Q102" s="488"/>
      <c r="R102" s="78"/>
      <c r="S102" s="17"/>
      <c r="T102" s="23"/>
      <c r="U102" s="526"/>
      <c r="V102" s="546" t="s">
        <v>1401</v>
      </c>
      <c r="W102" s="533"/>
      <c r="X102" s="539"/>
      <c r="Y102" s="533">
        <v>165</v>
      </c>
      <c r="Z102" s="490"/>
      <c r="AA102" s="18"/>
      <c r="AB102" s="24"/>
      <c r="AC102" s="23"/>
      <c r="AD102" s="941"/>
      <c r="AE102" s="944"/>
      <c r="AF102" s="498"/>
      <c r="AG102" s="498"/>
      <c r="AH102" s="498"/>
      <c r="AI102" s="498"/>
      <c r="AJ102" s="498"/>
      <c r="AK102" s="715">
        <v>5000</v>
      </c>
      <c r="AL102" s="498"/>
      <c r="AM102" s="498"/>
      <c r="AN102" s="498"/>
      <c r="AO102" s="498"/>
      <c r="AP102" s="498"/>
      <c r="AQ102" s="498"/>
      <c r="AR102" s="498"/>
      <c r="AS102" s="498"/>
      <c r="AT102" s="498"/>
      <c r="AU102" s="498"/>
      <c r="AV102" s="922"/>
    </row>
    <row r="103" spans="1:48">
      <c r="A103" s="23"/>
      <c r="B103" s="22"/>
      <c r="C103" s="25"/>
      <c r="D103" s="21"/>
      <c r="E103" s="24"/>
      <c r="F103" s="917"/>
      <c r="G103" s="18"/>
      <c r="H103" s="21"/>
      <c r="I103" s="937"/>
      <c r="J103" s="919"/>
      <c r="K103" s="922"/>
      <c r="L103" s="932"/>
      <c r="M103" s="935"/>
      <c r="N103" s="18"/>
      <c r="O103" s="17"/>
      <c r="P103" s="498"/>
      <c r="Q103" s="488"/>
      <c r="R103" s="78"/>
      <c r="S103" s="17"/>
      <c r="T103" s="23"/>
      <c r="U103" s="526">
        <v>21</v>
      </c>
      <c r="V103" s="546" t="s">
        <v>1469</v>
      </c>
      <c r="W103" s="533">
        <v>43</v>
      </c>
      <c r="X103" s="539"/>
      <c r="Y103" s="533"/>
      <c r="Z103" s="490"/>
      <c r="AA103" s="18"/>
      <c r="AB103" s="24"/>
      <c r="AC103" s="23"/>
      <c r="AD103" s="941"/>
      <c r="AE103" s="944"/>
      <c r="AF103" s="498"/>
      <c r="AG103" s="498"/>
      <c r="AH103" s="498"/>
      <c r="AI103" s="498"/>
      <c r="AJ103" s="498"/>
      <c r="AK103" s="715">
        <v>15000</v>
      </c>
      <c r="AL103" s="498"/>
      <c r="AM103" s="498"/>
      <c r="AN103" s="498"/>
      <c r="AO103" s="498"/>
      <c r="AP103" s="498"/>
      <c r="AQ103" s="498"/>
      <c r="AR103" s="498"/>
      <c r="AS103" s="498"/>
      <c r="AT103" s="498"/>
      <c r="AU103" s="498"/>
      <c r="AV103" s="922"/>
    </row>
    <row r="104" spans="1:48">
      <c r="A104" s="23"/>
      <c r="B104" s="22"/>
      <c r="C104" s="25"/>
      <c r="D104" s="21"/>
      <c r="E104" s="24"/>
      <c r="F104" s="917"/>
      <c r="G104" s="18"/>
      <c r="H104" s="21"/>
      <c r="I104" s="937"/>
      <c r="J104" s="919"/>
      <c r="K104" s="922"/>
      <c r="L104" s="932"/>
      <c r="M104" s="935"/>
      <c r="N104" s="18"/>
      <c r="O104" s="17"/>
      <c r="P104" s="498"/>
      <c r="Q104" s="488"/>
      <c r="R104" s="78"/>
      <c r="S104" s="17"/>
      <c r="T104" s="23"/>
      <c r="U104" s="526"/>
      <c r="V104" s="546" t="s">
        <v>1469</v>
      </c>
      <c r="W104" s="533"/>
      <c r="X104" s="539">
        <v>63</v>
      </c>
      <c r="Y104" s="533"/>
      <c r="Z104" s="490"/>
      <c r="AA104" s="18"/>
      <c r="AB104" s="24"/>
      <c r="AC104" s="23"/>
      <c r="AD104" s="941"/>
      <c r="AE104" s="944"/>
      <c r="AF104" s="498"/>
      <c r="AG104" s="498"/>
      <c r="AH104" s="498"/>
      <c r="AI104" s="498"/>
      <c r="AJ104" s="498"/>
      <c r="AK104" s="715">
        <v>10000</v>
      </c>
      <c r="AL104" s="498"/>
      <c r="AM104" s="498"/>
      <c r="AN104" s="498"/>
      <c r="AO104" s="498"/>
      <c r="AP104" s="498"/>
      <c r="AQ104" s="498"/>
      <c r="AR104" s="498"/>
      <c r="AS104" s="498"/>
      <c r="AT104" s="498"/>
      <c r="AU104" s="498"/>
      <c r="AV104" s="922"/>
    </row>
    <row r="105" spans="1:48">
      <c r="A105" s="23"/>
      <c r="B105" s="22"/>
      <c r="C105" s="25"/>
      <c r="D105" s="21"/>
      <c r="E105" s="24"/>
      <c r="F105" s="917"/>
      <c r="G105" s="18"/>
      <c r="H105" s="21"/>
      <c r="I105" s="937"/>
      <c r="J105" s="919"/>
      <c r="K105" s="922"/>
      <c r="L105" s="932"/>
      <c r="M105" s="935"/>
      <c r="N105" s="18"/>
      <c r="O105" s="17"/>
      <c r="P105" s="498"/>
      <c r="Q105" s="488"/>
      <c r="R105" s="78"/>
      <c r="S105" s="17"/>
      <c r="T105" s="23"/>
      <c r="U105" s="526"/>
      <c r="V105" s="546" t="s">
        <v>1469</v>
      </c>
      <c r="W105" s="533"/>
      <c r="X105" s="539"/>
      <c r="Y105" s="533">
        <v>89</v>
      </c>
      <c r="Z105" s="490"/>
      <c r="AA105" s="18"/>
      <c r="AB105" s="24"/>
      <c r="AC105" s="23"/>
      <c r="AD105" s="941"/>
      <c r="AE105" s="944"/>
      <c r="AF105" s="498"/>
      <c r="AG105" s="498"/>
      <c r="AH105" s="498"/>
      <c r="AI105" s="498"/>
      <c r="AJ105" s="498"/>
      <c r="AK105" s="715">
        <v>5000</v>
      </c>
      <c r="AL105" s="498"/>
      <c r="AM105" s="498"/>
      <c r="AN105" s="498"/>
      <c r="AO105" s="498"/>
      <c r="AP105" s="498"/>
      <c r="AQ105" s="498"/>
      <c r="AR105" s="498"/>
      <c r="AS105" s="498"/>
      <c r="AT105" s="498"/>
      <c r="AU105" s="498"/>
      <c r="AV105" s="922"/>
    </row>
    <row r="106" spans="1:48">
      <c r="A106" s="23"/>
      <c r="B106" s="22"/>
      <c r="C106" s="25"/>
      <c r="D106" s="21"/>
      <c r="E106" s="24"/>
      <c r="F106" s="917"/>
      <c r="G106" s="18"/>
      <c r="H106" s="21"/>
      <c r="I106" s="937"/>
      <c r="J106" s="919"/>
      <c r="K106" s="922"/>
      <c r="L106" s="932"/>
      <c r="M106" s="935"/>
      <c r="N106" s="18"/>
      <c r="O106" s="17"/>
      <c r="P106" s="498"/>
      <c r="Q106" s="488"/>
      <c r="R106" s="78"/>
      <c r="S106" s="17"/>
      <c r="T106" s="23"/>
      <c r="U106" s="526">
        <v>22</v>
      </c>
      <c r="V106" s="546" t="s">
        <v>826</v>
      </c>
      <c r="W106" s="533">
        <v>599</v>
      </c>
      <c r="X106" s="539"/>
      <c r="Y106" s="533"/>
      <c r="Z106" s="490"/>
      <c r="AA106" s="18"/>
      <c r="AB106" s="24"/>
      <c r="AC106" s="23"/>
      <c r="AD106" s="941"/>
      <c r="AE106" s="944"/>
      <c r="AF106" s="498"/>
      <c r="AG106" s="498"/>
      <c r="AH106" s="498"/>
      <c r="AI106" s="498"/>
      <c r="AJ106" s="498"/>
      <c r="AK106" s="715">
        <v>2645</v>
      </c>
      <c r="AL106" s="498"/>
      <c r="AM106" s="498"/>
      <c r="AN106" s="498"/>
      <c r="AO106" s="498"/>
      <c r="AP106" s="498"/>
      <c r="AQ106" s="498"/>
      <c r="AR106" s="498"/>
      <c r="AS106" s="498"/>
      <c r="AT106" s="498"/>
      <c r="AU106" s="498"/>
      <c r="AV106" s="922"/>
    </row>
    <row r="107" spans="1:48">
      <c r="A107" s="23"/>
      <c r="B107" s="22"/>
      <c r="C107" s="25"/>
      <c r="D107" s="21"/>
      <c r="E107" s="24"/>
      <c r="F107" s="917"/>
      <c r="G107" s="18"/>
      <c r="H107" s="21"/>
      <c r="I107" s="937"/>
      <c r="J107" s="919"/>
      <c r="K107" s="922"/>
      <c r="L107" s="932"/>
      <c r="M107" s="935"/>
      <c r="N107" s="18"/>
      <c r="O107" s="17"/>
      <c r="P107" s="498"/>
      <c r="Q107" s="488"/>
      <c r="R107" s="78"/>
      <c r="S107" s="17"/>
      <c r="T107" s="23"/>
      <c r="U107" s="526">
        <v>23</v>
      </c>
      <c r="V107" s="546" t="s">
        <v>1138</v>
      </c>
      <c r="W107" s="533">
        <v>392</v>
      </c>
      <c r="X107" s="539"/>
      <c r="Y107" s="533"/>
      <c r="Z107" s="490"/>
      <c r="AA107" s="18"/>
      <c r="AB107" s="24"/>
      <c r="AC107" s="23"/>
      <c r="AD107" s="941"/>
      <c r="AE107" s="944"/>
      <c r="AF107" s="498"/>
      <c r="AG107" s="498"/>
      <c r="AH107" s="498"/>
      <c r="AI107" s="498"/>
      <c r="AJ107" s="498"/>
      <c r="AK107" s="715">
        <v>800</v>
      </c>
      <c r="AL107" s="498"/>
      <c r="AM107" s="498"/>
      <c r="AN107" s="498"/>
      <c r="AO107" s="498"/>
      <c r="AP107" s="498"/>
      <c r="AQ107" s="498"/>
      <c r="AR107" s="498"/>
      <c r="AS107" s="498"/>
      <c r="AT107" s="498"/>
      <c r="AU107" s="498"/>
      <c r="AV107" s="922"/>
    </row>
    <row r="108" spans="1:48">
      <c r="A108" s="23"/>
      <c r="B108" s="22"/>
      <c r="C108" s="25"/>
      <c r="D108" s="21"/>
      <c r="E108" s="24"/>
      <c r="F108" s="917"/>
      <c r="G108" s="18"/>
      <c r="H108" s="21"/>
      <c r="I108" s="937"/>
      <c r="J108" s="919"/>
      <c r="K108" s="922"/>
      <c r="L108" s="932"/>
      <c r="M108" s="935"/>
      <c r="N108" s="18"/>
      <c r="O108" s="17"/>
      <c r="P108" s="498"/>
      <c r="Q108" s="488"/>
      <c r="R108" s="78"/>
      <c r="S108" s="17"/>
      <c r="T108" s="23"/>
      <c r="U108" s="526">
        <v>24</v>
      </c>
      <c r="V108" s="546" t="s">
        <v>4</v>
      </c>
      <c r="W108" s="533">
        <v>528</v>
      </c>
      <c r="X108" s="539"/>
      <c r="Y108" s="533"/>
      <c r="Z108" s="490"/>
      <c r="AA108" s="18"/>
      <c r="AB108" s="24"/>
      <c r="AC108" s="23"/>
      <c r="AD108" s="941"/>
      <c r="AE108" s="944"/>
      <c r="AF108" s="498"/>
      <c r="AG108" s="498"/>
      <c r="AH108" s="498"/>
      <c r="AI108" s="498"/>
      <c r="AJ108" s="498"/>
      <c r="AK108" s="715">
        <v>250</v>
      </c>
      <c r="AL108" s="498"/>
      <c r="AM108" s="498"/>
      <c r="AN108" s="498"/>
      <c r="AO108" s="498"/>
      <c r="AP108" s="498"/>
      <c r="AQ108" s="498"/>
      <c r="AR108" s="498"/>
      <c r="AS108" s="498"/>
      <c r="AT108" s="498"/>
      <c r="AU108" s="498"/>
      <c r="AV108" s="922"/>
    </row>
    <row r="109" spans="1:48">
      <c r="A109" s="23"/>
      <c r="B109" s="22"/>
      <c r="C109" s="25"/>
      <c r="D109" s="21"/>
      <c r="E109" s="24"/>
      <c r="F109" s="917"/>
      <c r="G109" s="18"/>
      <c r="H109" s="21"/>
      <c r="I109" s="937"/>
      <c r="J109" s="919"/>
      <c r="K109" s="922"/>
      <c r="L109" s="932"/>
      <c r="M109" s="935"/>
      <c r="N109" s="18"/>
      <c r="O109" s="17"/>
      <c r="P109" s="498"/>
      <c r="Q109" s="488"/>
      <c r="R109" s="78"/>
      <c r="S109" s="17"/>
      <c r="T109" s="23"/>
      <c r="U109" s="526">
        <v>25</v>
      </c>
      <c r="V109" s="546" t="s">
        <v>1467</v>
      </c>
      <c r="W109" s="533">
        <v>86</v>
      </c>
      <c r="X109" s="539"/>
      <c r="Y109" s="533"/>
      <c r="Z109" s="490"/>
      <c r="AA109" s="18"/>
      <c r="AB109" s="24"/>
      <c r="AC109" s="23"/>
      <c r="AD109" s="941"/>
      <c r="AE109" s="944"/>
      <c r="AF109" s="498"/>
      <c r="AG109" s="498"/>
      <c r="AH109" s="498"/>
      <c r="AI109" s="498"/>
      <c r="AJ109" s="498"/>
      <c r="AK109" s="715">
        <v>2500</v>
      </c>
      <c r="AL109" s="498"/>
      <c r="AM109" s="498"/>
      <c r="AN109" s="498"/>
      <c r="AO109" s="498"/>
      <c r="AP109" s="498"/>
      <c r="AQ109" s="498"/>
      <c r="AR109" s="498"/>
      <c r="AS109" s="498"/>
      <c r="AT109" s="498"/>
      <c r="AU109" s="498"/>
      <c r="AV109" s="922"/>
    </row>
    <row r="110" spans="1:48">
      <c r="A110" s="23"/>
      <c r="B110" s="22"/>
      <c r="C110" s="25"/>
      <c r="D110" s="21"/>
      <c r="E110" s="24"/>
      <c r="F110" s="917"/>
      <c r="G110" s="18"/>
      <c r="H110" s="21"/>
      <c r="I110" s="937"/>
      <c r="J110" s="919"/>
      <c r="K110" s="922"/>
      <c r="L110" s="932"/>
      <c r="M110" s="935"/>
      <c r="N110" s="18"/>
      <c r="O110" s="17"/>
      <c r="P110" s="498"/>
      <c r="Q110" s="488"/>
      <c r="R110" s="78"/>
      <c r="S110" s="17"/>
      <c r="T110" s="23"/>
      <c r="U110" s="526">
        <v>26</v>
      </c>
      <c r="V110" s="546" t="s">
        <v>305</v>
      </c>
      <c r="W110" s="533">
        <v>20</v>
      </c>
      <c r="X110" s="539"/>
      <c r="Y110" s="533"/>
      <c r="Z110" s="490"/>
      <c r="AA110" s="18"/>
      <c r="AB110" s="24"/>
      <c r="AC110" s="23"/>
      <c r="AD110" s="941"/>
      <c r="AE110" s="944"/>
      <c r="AF110" s="498"/>
      <c r="AG110" s="498"/>
      <c r="AH110" s="498"/>
      <c r="AI110" s="498"/>
      <c r="AJ110" s="498"/>
      <c r="AK110" s="715">
        <v>4000</v>
      </c>
      <c r="AL110" s="498"/>
      <c r="AM110" s="498"/>
      <c r="AN110" s="498"/>
      <c r="AO110" s="498"/>
      <c r="AP110" s="498"/>
      <c r="AQ110" s="498"/>
      <c r="AR110" s="498"/>
      <c r="AS110" s="498"/>
      <c r="AT110" s="498"/>
      <c r="AU110" s="498"/>
      <c r="AV110" s="922"/>
    </row>
    <row r="111" spans="1:48">
      <c r="A111" s="23"/>
      <c r="B111" s="22"/>
      <c r="C111" s="25"/>
      <c r="D111" s="21"/>
      <c r="E111" s="24"/>
      <c r="F111" s="917"/>
      <c r="G111" s="18"/>
      <c r="H111" s="21"/>
      <c r="I111" s="937"/>
      <c r="J111" s="919"/>
      <c r="K111" s="922"/>
      <c r="L111" s="932"/>
      <c r="M111" s="935"/>
      <c r="N111" s="18"/>
      <c r="O111" s="17"/>
      <c r="P111" s="498"/>
      <c r="Q111" s="488"/>
      <c r="R111" s="78"/>
      <c r="S111" s="17"/>
      <c r="T111" s="23"/>
      <c r="U111" s="526">
        <v>27</v>
      </c>
      <c r="V111" s="546" t="s">
        <v>1466</v>
      </c>
      <c r="W111" s="533">
        <v>537</v>
      </c>
      <c r="X111" s="539"/>
      <c r="Y111" s="533"/>
      <c r="Z111" s="490"/>
      <c r="AA111" s="18"/>
      <c r="AB111" s="24"/>
      <c r="AC111" s="23"/>
      <c r="AD111" s="941"/>
      <c r="AE111" s="944"/>
      <c r="AF111" s="498"/>
      <c r="AG111" s="498"/>
      <c r="AH111" s="498"/>
      <c r="AI111" s="498"/>
      <c r="AJ111" s="498"/>
      <c r="AK111" s="715">
        <v>6000</v>
      </c>
      <c r="AL111" s="498"/>
      <c r="AM111" s="498"/>
      <c r="AN111" s="498"/>
      <c r="AO111" s="498"/>
      <c r="AP111" s="498"/>
      <c r="AQ111" s="498"/>
      <c r="AR111" s="498"/>
      <c r="AS111" s="498"/>
      <c r="AT111" s="498"/>
      <c r="AU111" s="498"/>
      <c r="AV111" s="922"/>
    </row>
    <row r="112" spans="1:48">
      <c r="A112" s="23"/>
      <c r="B112" s="22"/>
      <c r="C112" s="25"/>
      <c r="D112" s="21"/>
      <c r="E112" s="24"/>
      <c r="F112" s="917"/>
      <c r="G112" s="18"/>
      <c r="H112" s="21"/>
      <c r="I112" s="937"/>
      <c r="J112" s="919"/>
      <c r="K112" s="922"/>
      <c r="L112" s="932"/>
      <c r="M112" s="935"/>
      <c r="N112" s="18"/>
      <c r="O112" s="17"/>
      <c r="P112" s="498"/>
      <c r="Q112" s="488"/>
      <c r="R112" s="78"/>
      <c r="S112" s="17"/>
      <c r="T112" s="23"/>
      <c r="U112" s="526"/>
      <c r="V112" s="546" t="s">
        <v>1466</v>
      </c>
      <c r="W112" s="533"/>
      <c r="X112" s="539">
        <v>273</v>
      </c>
      <c r="Y112" s="533"/>
      <c r="Z112" s="490"/>
      <c r="AA112" s="18"/>
      <c r="AB112" s="24"/>
      <c r="AC112" s="23"/>
      <c r="AD112" s="941"/>
      <c r="AE112" s="944"/>
      <c r="AF112" s="498"/>
      <c r="AG112" s="498"/>
      <c r="AH112" s="498"/>
      <c r="AI112" s="498"/>
      <c r="AJ112" s="498"/>
      <c r="AK112" s="715">
        <v>4000</v>
      </c>
      <c r="AL112" s="498"/>
      <c r="AM112" s="498"/>
      <c r="AN112" s="498"/>
      <c r="AO112" s="498"/>
      <c r="AP112" s="498"/>
      <c r="AQ112" s="498"/>
      <c r="AR112" s="498"/>
      <c r="AS112" s="498"/>
      <c r="AT112" s="498"/>
      <c r="AU112" s="498"/>
      <c r="AV112" s="922"/>
    </row>
    <row r="113" spans="1:48">
      <c r="A113" s="23"/>
      <c r="B113" s="22"/>
      <c r="C113" s="25"/>
      <c r="D113" s="21"/>
      <c r="E113" s="24"/>
      <c r="F113" s="917"/>
      <c r="G113" s="18"/>
      <c r="H113" s="21"/>
      <c r="I113" s="937"/>
      <c r="J113" s="919"/>
      <c r="K113" s="922"/>
      <c r="L113" s="932"/>
      <c r="M113" s="935"/>
      <c r="N113" s="18"/>
      <c r="O113" s="17"/>
      <c r="P113" s="498"/>
      <c r="Q113" s="488"/>
      <c r="R113" s="78"/>
      <c r="S113" s="17"/>
      <c r="T113" s="23"/>
      <c r="U113" s="526"/>
      <c r="V113" s="546" t="s">
        <v>1466</v>
      </c>
      <c r="W113" s="533"/>
      <c r="X113" s="539"/>
      <c r="Y113" s="533">
        <v>132</v>
      </c>
      <c r="Z113" s="490"/>
      <c r="AA113" s="18"/>
      <c r="AB113" s="24"/>
      <c r="AC113" s="23"/>
      <c r="AD113" s="941"/>
      <c r="AE113" s="944"/>
      <c r="AF113" s="498"/>
      <c r="AG113" s="498"/>
      <c r="AH113" s="498"/>
      <c r="AI113" s="498"/>
      <c r="AJ113" s="498"/>
      <c r="AK113" s="715">
        <v>1500</v>
      </c>
      <c r="AL113" s="498"/>
      <c r="AM113" s="498"/>
      <c r="AN113" s="498"/>
      <c r="AO113" s="498"/>
      <c r="AP113" s="498"/>
      <c r="AQ113" s="498"/>
      <c r="AR113" s="498"/>
      <c r="AS113" s="498"/>
      <c r="AT113" s="498"/>
      <c r="AU113" s="498"/>
      <c r="AV113" s="922"/>
    </row>
    <row r="114" spans="1:48">
      <c r="A114" s="23"/>
      <c r="B114" s="22"/>
      <c r="C114" s="25"/>
      <c r="D114" s="21"/>
      <c r="E114" s="24"/>
      <c r="F114" s="917"/>
      <c r="G114" s="18"/>
      <c r="H114" s="21"/>
      <c r="I114" s="937"/>
      <c r="J114" s="919"/>
      <c r="K114" s="922"/>
      <c r="L114" s="932"/>
      <c r="M114" s="935"/>
      <c r="N114" s="18"/>
      <c r="O114" s="17"/>
      <c r="P114" s="498"/>
      <c r="Q114" s="488"/>
      <c r="R114" s="78"/>
      <c r="S114" s="17"/>
      <c r="T114" s="23"/>
      <c r="U114" s="526">
        <v>28</v>
      </c>
      <c r="V114" s="546" t="s">
        <v>34</v>
      </c>
      <c r="W114" s="533">
        <v>5</v>
      </c>
      <c r="X114" s="539"/>
      <c r="Y114" s="533"/>
      <c r="Z114" s="490"/>
      <c r="AA114" s="18"/>
      <c r="AB114" s="24"/>
      <c r="AC114" s="23"/>
      <c r="AD114" s="941"/>
      <c r="AE114" s="944"/>
      <c r="AF114" s="498"/>
      <c r="AG114" s="498"/>
      <c r="AH114" s="498"/>
      <c r="AI114" s="498"/>
      <c r="AJ114" s="498"/>
      <c r="AK114" s="715">
        <v>125000</v>
      </c>
      <c r="AL114" s="498"/>
      <c r="AM114" s="498"/>
      <c r="AN114" s="498"/>
      <c r="AO114" s="498"/>
      <c r="AP114" s="498"/>
      <c r="AQ114" s="498"/>
      <c r="AR114" s="498"/>
      <c r="AS114" s="498"/>
      <c r="AT114" s="498"/>
      <c r="AU114" s="498"/>
      <c r="AV114" s="922"/>
    </row>
    <row r="115" spans="1:48">
      <c r="A115" s="23"/>
      <c r="B115" s="22"/>
      <c r="C115" s="25"/>
      <c r="D115" s="21"/>
      <c r="E115" s="24"/>
      <c r="F115" s="917"/>
      <c r="G115" s="18"/>
      <c r="H115" s="21"/>
      <c r="I115" s="937"/>
      <c r="J115" s="919"/>
      <c r="K115" s="922"/>
      <c r="L115" s="932"/>
      <c r="M115" s="935"/>
      <c r="N115" s="18"/>
      <c r="O115" s="17"/>
      <c r="P115" s="498"/>
      <c r="Q115" s="488"/>
      <c r="R115" s="78"/>
      <c r="S115" s="17"/>
      <c r="T115" s="23"/>
      <c r="U115" s="526"/>
      <c r="V115" s="546" t="s">
        <v>34</v>
      </c>
      <c r="W115" s="533"/>
      <c r="X115" s="539">
        <v>75</v>
      </c>
      <c r="Y115" s="533"/>
      <c r="Z115" s="490"/>
      <c r="AA115" s="18"/>
      <c r="AB115" s="24"/>
      <c r="AC115" s="23"/>
      <c r="AD115" s="941"/>
      <c r="AE115" s="944"/>
      <c r="AF115" s="498"/>
      <c r="AG115" s="498"/>
      <c r="AH115" s="498"/>
      <c r="AI115" s="498"/>
      <c r="AJ115" s="498"/>
      <c r="AK115" s="715">
        <v>82500</v>
      </c>
      <c r="AL115" s="498"/>
      <c r="AM115" s="498"/>
      <c r="AN115" s="498"/>
      <c r="AO115" s="498"/>
      <c r="AP115" s="498"/>
      <c r="AQ115" s="498"/>
      <c r="AR115" s="498"/>
      <c r="AS115" s="498"/>
      <c r="AT115" s="498"/>
      <c r="AU115" s="498"/>
      <c r="AV115" s="922"/>
    </row>
    <row r="116" spans="1:48">
      <c r="A116" s="23"/>
      <c r="B116" s="22"/>
      <c r="C116" s="25"/>
      <c r="D116" s="21"/>
      <c r="E116" s="24"/>
      <c r="F116" s="917"/>
      <c r="G116" s="18"/>
      <c r="H116" s="21"/>
      <c r="I116" s="937"/>
      <c r="J116" s="919"/>
      <c r="K116" s="922"/>
      <c r="L116" s="932"/>
      <c r="M116" s="935"/>
      <c r="N116" s="18"/>
      <c r="O116" s="17"/>
      <c r="P116" s="498"/>
      <c r="Q116" s="488"/>
      <c r="R116" s="78"/>
      <c r="S116" s="17"/>
      <c r="T116" s="23"/>
      <c r="U116" s="526"/>
      <c r="V116" s="546" t="s">
        <v>34</v>
      </c>
      <c r="W116" s="533"/>
      <c r="X116" s="539"/>
      <c r="Y116" s="533">
        <v>18</v>
      </c>
      <c r="Z116" s="490"/>
      <c r="AA116" s="18"/>
      <c r="AB116" s="24"/>
      <c r="AC116" s="23"/>
      <c r="AD116" s="941"/>
      <c r="AE116" s="944"/>
      <c r="AF116" s="498"/>
      <c r="AG116" s="498"/>
      <c r="AH116" s="498"/>
      <c r="AI116" s="498"/>
      <c r="AJ116" s="498"/>
      <c r="AK116" s="715">
        <v>41250</v>
      </c>
      <c r="AL116" s="498"/>
      <c r="AM116" s="498"/>
      <c r="AN116" s="498"/>
      <c r="AO116" s="498"/>
      <c r="AP116" s="498"/>
      <c r="AQ116" s="498"/>
      <c r="AR116" s="498"/>
      <c r="AS116" s="498"/>
      <c r="AT116" s="498"/>
      <c r="AU116" s="498"/>
      <c r="AV116" s="922"/>
    </row>
    <row r="117" spans="1:48">
      <c r="A117" s="23"/>
      <c r="B117" s="22"/>
      <c r="C117" s="25"/>
      <c r="D117" s="21"/>
      <c r="E117" s="24"/>
      <c r="F117" s="917"/>
      <c r="G117" s="18"/>
      <c r="H117" s="21"/>
      <c r="I117" s="937"/>
      <c r="J117" s="919"/>
      <c r="K117" s="922"/>
      <c r="L117" s="932"/>
      <c r="M117" s="935"/>
      <c r="N117" s="18"/>
      <c r="O117" s="17"/>
      <c r="P117" s="498"/>
      <c r="Q117" s="488"/>
      <c r="R117" s="78"/>
      <c r="S117" s="17"/>
      <c r="T117" s="23"/>
      <c r="U117" s="526">
        <v>29</v>
      </c>
      <c r="V117" s="546" t="s">
        <v>413</v>
      </c>
      <c r="W117" s="533">
        <v>3</v>
      </c>
      <c r="X117" s="539"/>
      <c r="Y117" s="533"/>
      <c r="Z117" s="490"/>
      <c r="AA117" s="18"/>
      <c r="AB117" s="24"/>
      <c r="AC117" s="23"/>
      <c r="AD117" s="941"/>
      <c r="AE117" s="944"/>
      <c r="AF117" s="498"/>
      <c r="AG117" s="498"/>
      <c r="AH117" s="498"/>
      <c r="AI117" s="498"/>
      <c r="AJ117" s="498"/>
      <c r="AK117" s="715">
        <v>90000</v>
      </c>
      <c r="AL117" s="498"/>
      <c r="AM117" s="498"/>
      <c r="AN117" s="498"/>
      <c r="AO117" s="498"/>
      <c r="AP117" s="498"/>
      <c r="AQ117" s="498"/>
      <c r="AR117" s="498"/>
      <c r="AS117" s="498"/>
      <c r="AT117" s="498"/>
      <c r="AU117" s="498"/>
      <c r="AV117" s="922"/>
    </row>
    <row r="118" spans="1:48">
      <c r="A118" s="23"/>
      <c r="B118" s="22"/>
      <c r="C118" s="25"/>
      <c r="D118" s="21"/>
      <c r="E118" s="24"/>
      <c r="F118" s="917"/>
      <c r="G118" s="18"/>
      <c r="H118" s="21"/>
      <c r="I118" s="937"/>
      <c r="J118" s="919"/>
      <c r="K118" s="922"/>
      <c r="L118" s="932"/>
      <c r="M118" s="935"/>
      <c r="N118" s="18"/>
      <c r="O118" s="17"/>
      <c r="P118" s="498"/>
      <c r="Q118" s="488"/>
      <c r="R118" s="78"/>
      <c r="S118" s="17"/>
      <c r="T118" s="23"/>
      <c r="U118" s="526"/>
      <c r="V118" s="546" t="s">
        <v>413</v>
      </c>
      <c r="W118" s="533"/>
      <c r="X118" s="539">
        <v>9</v>
      </c>
      <c r="Y118" s="533"/>
      <c r="Z118" s="490"/>
      <c r="AA118" s="18"/>
      <c r="AB118" s="24"/>
      <c r="AC118" s="23"/>
      <c r="AD118" s="941"/>
      <c r="AE118" s="944"/>
      <c r="AF118" s="498"/>
      <c r="AG118" s="498"/>
      <c r="AH118" s="498"/>
      <c r="AI118" s="498"/>
      <c r="AJ118" s="498"/>
      <c r="AK118" s="715">
        <v>60000</v>
      </c>
      <c r="AL118" s="498"/>
      <c r="AM118" s="498"/>
      <c r="AN118" s="498"/>
      <c r="AO118" s="498"/>
      <c r="AP118" s="498"/>
      <c r="AQ118" s="498"/>
      <c r="AR118" s="498"/>
      <c r="AS118" s="498"/>
      <c r="AT118" s="498"/>
      <c r="AU118" s="498"/>
      <c r="AV118" s="922"/>
    </row>
    <row r="119" spans="1:48">
      <c r="A119" s="23"/>
      <c r="B119" s="22"/>
      <c r="C119" s="25"/>
      <c r="D119" s="21"/>
      <c r="E119" s="24"/>
      <c r="F119" s="917"/>
      <c r="G119" s="18"/>
      <c r="H119" s="21"/>
      <c r="I119" s="937"/>
      <c r="J119" s="919"/>
      <c r="K119" s="922"/>
      <c r="L119" s="932"/>
      <c r="M119" s="935"/>
      <c r="N119" s="18"/>
      <c r="O119" s="17"/>
      <c r="P119" s="498"/>
      <c r="Q119" s="488"/>
      <c r="R119" s="78"/>
      <c r="S119" s="17"/>
      <c r="T119" s="23"/>
      <c r="U119" s="526"/>
      <c r="V119" s="546" t="s">
        <v>413</v>
      </c>
      <c r="W119" s="533"/>
      <c r="X119" s="539"/>
      <c r="Y119" s="533">
        <v>15</v>
      </c>
      <c r="Z119" s="490"/>
      <c r="AA119" s="18"/>
      <c r="AB119" s="24"/>
      <c r="AC119" s="23"/>
      <c r="AD119" s="941"/>
      <c r="AE119" s="944"/>
      <c r="AF119" s="498"/>
      <c r="AG119" s="498"/>
      <c r="AH119" s="498"/>
      <c r="AI119" s="498"/>
      <c r="AJ119" s="498"/>
      <c r="AK119" s="715">
        <v>15000</v>
      </c>
      <c r="AL119" s="498"/>
      <c r="AM119" s="498"/>
      <c r="AN119" s="498"/>
      <c r="AO119" s="498"/>
      <c r="AP119" s="498"/>
      <c r="AQ119" s="498"/>
      <c r="AR119" s="498"/>
      <c r="AS119" s="498"/>
      <c r="AT119" s="498"/>
      <c r="AU119" s="498"/>
      <c r="AV119" s="922"/>
    </row>
    <row r="120" spans="1:48">
      <c r="A120" s="23"/>
      <c r="B120" s="22"/>
      <c r="C120" s="25"/>
      <c r="D120" s="21"/>
      <c r="E120" s="24"/>
      <c r="F120" s="917"/>
      <c r="G120" s="18"/>
      <c r="H120" s="21"/>
      <c r="I120" s="937"/>
      <c r="J120" s="919"/>
      <c r="K120" s="922"/>
      <c r="L120" s="932"/>
      <c r="M120" s="935"/>
      <c r="N120" s="18"/>
      <c r="O120" s="17"/>
      <c r="P120" s="498"/>
      <c r="Q120" s="488"/>
      <c r="R120" s="78"/>
      <c r="S120" s="17"/>
      <c r="T120" s="23"/>
      <c r="U120" s="526">
        <v>30</v>
      </c>
      <c r="V120" s="546" t="s">
        <v>32</v>
      </c>
      <c r="W120" s="533">
        <v>11</v>
      </c>
      <c r="X120" s="539"/>
      <c r="Y120" s="533"/>
      <c r="Z120" s="490"/>
      <c r="AA120" s="18"/>
      <c r="AB120" s="24"/>
      <c r="AC120" s="23"/>
      <c r="AD120" s="941"/>
      <c r="AE120" s="944"/>
      <c r="AF120" s="498"/>
      <c r="AG120" s="498"/>
      <c r="AH120" s="498"/>
      <c r="AI120" s="498"/>
      <c r="AJ120" s="498"/>
      <c r="AK120" s="715">
        <v>25300</v>
      </c>
      <c r="AL120" s="498"/>
      <c r="AM120" s="498"/>
      <c r="AN120" s="498"/>
      <c r="AO120" s="498"/>
      <c r="AP120" s="498"/>
      <c r="AQ120" s="498"/>
      <c r="AR120" s="498"/>
      <c r="AS120" s="498"/>
      <c r="AT120" s="498"/>
      <c r="AU120" s="498"/>
      <c r="AV120" s="922"/>
    </row>
    <row r="121" spans="1:48">
      <c r="A121" s="23"/>
      <c r="B121" s="22"/>
      <c r="C121" s="25"/>
      <c r="D121" s="21"/>
      <c r="E121" s="24"/>
      <c r="F121" s="917"/>
      <c r="G121" s="18"/>
      <c r="H121" s="21"/>
      <c r="I121" s="937"/>
      <c r="J121" s="919"/>
      <c r="K121" s="922"/>
      <c r="L121" s="932"/>
      <c r="M121" s="935"/>
      <c r="N121" s="18"/>
      <c r="O121" s="17"/>
      <c r="P121" s="498"/>
      <c r="Q121" s="488"/>
      <c r="R121" s="78"/>
      <c r="S121" s="17"/>
      <c r="T121" s="23"/>
      <c r="U121" s="526"/>
      <c r="V121" s="546" t="s">
        <v>32</v>
      </c>
      <c r="W121" s="533"/>
      <c r="X121" s="539">
        <v>21</v>
      </c>
      <c r="Y121" s="533"/>
      <c r="Z121" s="490"/>
      <c r="AA121" s="18"/>
      <c r="AB121" s="24"/>
      <c r="AC121" s="23"/>
      <c r="AD121" s="941"/>
      <c r="AE121" s="944"/>
      <c r="AF121" s="498"/>
      <c r="AG121" s="498"/>
      <c r="AH121" s="498"/>
      <c r="AI121" s="498"/>
      <c r="AJ121" s="498"/>
      <c r="AK121" s="715">
        <v>12600</v>
      </c>
      <c r="AL121" s="498"/>
      <c r="AM121" s="498"/>
      <c r="AN121" s="498"/>
      <c r="AO121" s="498"/>
      <c r="AP121" s="498"/>
      <c r="AQ121" s="498"/>
      <c r="AR121" s="498"/>
      <c r="AS121" s="498"/>
      <c r="AT121" s="498"/>
      <c r="AU121" s="498"/>
      <c r="AV121" s="922"/>
    </row>
    <row r="122" spans="1:48">
      <c r="A122" s="23"/>
      <c r="B122" s="22"/>
      <c r="C122" s="25"/>
      <c r="D122" s="21"/>
      <c r="E122" s="24"/>
      <c r="F122" s="917"/>
      <c r="G122" s="18"/>
      <c r="H122" s="21"/>
      <c r="I122" s="937"/>
      <c r="J122" s="919"/>
      <c r="K122" s="922"/>
      <c r="L122" s="932"/>
      <c r="M122" s="935"/>
      <c r="N122" s="18"/>
      <c r="O122" s="17"/>
      <c r="P122" s="498"/>
      <c r="Q122" s="488"/>
      <c r="R122" s="78"/>
      <c r="S122" s="17"/>
      <c r="T122" s="23"/>
      <c r="U122" s="526"/>
      <c r="V122" s="546" t="s">
        <v>32</v>
      </c>
      <c r="W122" s="533"/>
      <c r="X122" s="539"/>
      <c r="Y122" s="533">
        <v>120</v>
      </c>
      <c r="Z122" s="490"/>
      <c r="AA122" s="18"/>
      <c r="AB122" s="24"/>
      <c r="AC122" s="23"/>
      <c r="AD122" s="941"/>
      <c r="AE122" s="944"/>
      <c r="AF122" s="498"/>
      <c r="AG122" s="498"/>
      <c r="AH122" s="498"/>
      <c r="AI122" s="498"/>
      <c r="AJ122" s="498"/>
      <c r="AK122" s="715">
        <v>6600</v>
      </c>
      <c r="AL122" s="498"/>
      <c r="AM122" s="498"/>
      <c r="AN122" s="498"/>
      <c r="AO122" s="498"/>
      <c r="AP122" s="498"/>
      <c r="AQ122" s="498"/>
      <c r="AR122" s="498"/>
      <c r="AS122" s="498"/>
      <c r="AT122" s="498"/>
      <c r="AU122" s="498"/>
      <c r="AV122" s="922"/>
    </row>
    <row r="123" spans="1:48">
      <c r="A123" s="23"/>
      <c r="B123" s="22"/>
      <c r="C123" s="25"/>
      <c r="D123" s="21"/>
      <c r="E123" s="24"/>
      <c r="F123" s="917"/>
      <c r="G123" s="18"/>
      <c r="H123" s="21"/>
      <c r="I123" s="937"/>
      <c r="J123" s="919"/>
      <c r="K123" s="922"/>
      <c r="L123" s="932"/>
      <c r="M123" s="935"/>
      <c r="N123" s="18"/>
      <c r="O123" s="17"/>
      <c r="P123" s="498"/>
      <c r="Q123" s="488"/>
      <c r="R123" s="78"/>
      <c r="S123" s="17"/>
      <c r="T123" s="23"/>
      <c r="U123" s="526">
        <v>31</v>
      </c>
      <c r="V123" s="546" t="s">
        <v>1465</v>
      </c>
      <c r="W123" s="533">
        <v>59</v>
      </c>
      <c r="X123" s="539"/>
      <c r="Y123" s="533"/>
      <c r="Z123" s="490"/>
      <c r="AA123" s="18"/>
      <c r="AB123" s="24"/>
      <c r="AC123" s="23"/>
      <c r="AD123" s="941"/>
      <c r="AE123" s="944"/>
      <c r="AF123" s="498"/>
      <c r="AG123" s="498"/>
      <c r="AH123" s="498"/>
      <c r="AI123" s="498"/>
      <c r="AJ123" s="498"/>
      <c r="AK123" s="715"/>
      <c r="AL123" s="498"/>
      <c r="AM123" s="498"/>
      <c r="AN123" s="498"/>
      <c r="AO123" s="498"/>
      <c r="AP123" s="498"/>
      <c r="AQ123" s="498"/>
      <c r="AR123" s="498"/>
      <c r="AS123" s="498"/>
      <c r="AT123" s="498"/>
      <c r="AU123" s="498"/>
      <c r="AV123" s="922"/>
    </row>
    <row r="124" spans="1:48">
      <c r="A124" s="23"/>
      <c r="B124" s="22"/>
      <c r="C124" s="25"/>
      <c r="D124" s="21"/>
      <c r="E124" s="24"/>
      <c r="F124" s="917"/>
      <c r="G124" s="18"/>
      <c r="H124" s="21"/>
      <c r="I124" s="937"/>
      <c r="J124" s="919"/>
      <c r="K124" s="922"/>
      <c r="L124" s="932"/>
      <c r="M124" s="935"/>
      <c r="N124" s="18"/>
      <c r="O124" s="17"/>
      <c r="P124" s="498"/>
      <c r="Q124" s="488"/>
      <c r="R124" s="78"/>
      <c r="S124" s="17"/>
      <c r="T124" s="23"/>
      <c r="U124" s="526"/>
      <c r="V124" s="546" t="s">
        <v>1465</v>
      </c>
      <c r="W124" s="533"/>
      <c r="X124" s="539">
        <v>82</v>
      </c>
      <c r="Y124" s="533"/>
      <c r="Z124" s="490"/>
      <c r="AA124" s="18"/>
      <c r="AB124" s="24"/>
      <c r="AC124" s="23"/>
      <c r="AD124" s="941"/>
      <c r="AE124" s="944"/>
      <c r="AF124" s="498"/>
      <c r="AG124" s="498"/>
      <c r="AH124" s="498"/>
      <c r="AI124" s="498"/>
      <c r="AJ124" s="498"/>
      <c r="AK124" s="715"/>
      <c r="AL124" s="498"/>
      <c r="AM124" s="498"/>
      <c r="AN124" s="498"/>
      <c r="AO124" s="498"/>
      <c r="AP124" s="498"/>
      <c r="AQ124" s="498"/>
      <c r="AR124" s="498"/>
      <c r="AS124" s="498"/>
      <c r="AT124" s="498"/>
      <c r="AU124" s="498"/>
      <c r="AV124" s="922"/>
    </row>
    <row r="125" spans="1:48">
      <c r="A125" s="23"/>
      <c r="B125" s="22"/>
      <c r="C125" s="25"/>
      <c r="D125" s="21"/>
      <c r="E125" s="24"/>
      <c r="F125" s="917"/>
      <c r="G125" s="18"/>
      <c r="H125" s="21"/>
      <c r="I125" s="937"/>
      <c r="J125" s="919"/>
      <c r="K125" s="922"/>
      <c r="L125" s="932"/>
      <c r="M125" s="935"/>
      <c r="N125" s="18"/>
      <c r="O125" s="17"/>
      <c r="P125" s="498"/>
      <c r="Q125" s="488"/>
      <c r="R125" s="78"/>
      <c r="S125" s="17"/>
      <c r="T125" s="23"/>
      <c r="U125" s="526"/>
      <c r="V125" s="546" t="s">
        <v>1465</v>
      </c>
      <c r="W125" s="533"/>
      <c r="X125" s="539"/>
      <c r="Y125" s="533">
        <v>132</v>
      </c>
      <c r="Z125" s="490"/>
      <c r="AA125" s="18"/>
      <c r="AB125" s="24"/>
      <c r="AC125" s="23"/>
      <c r="AD125" s="941"/>
      <c r="AE125" s="944"/>
      <c r="AF125" s="498"/>
      <c r="AG125" s="498"/>
      <c r="AH125" s="498"/>
      <c r="AI125" s="498"/>
      <c r="AJ125" s="498"/>
      <c r="AK125" s="715"/>
      <c r="AL125" s="498"/>
      <c r="AM125" s="498"/>
      <c r="AN125" s="498"/>
      <c r="AO125" s="498"/>
      <c r="AP125" s="498"/>
      <c r="AQ125" s="498"/>
      <c r="AR125" s="498"/>
      <c r="AS125" s="498"/>
      <c r="AT125" s="498"/>
      <c r="AU125" s="498"/>
      <c r="AV125" s="922"/>
    </row>
    <row r="126" spans="1:48">
      <c r="A126" s="23"/>
      <c r="B126" s="22"/>
      <c r="C126" s="25"/>
      <c r="D126" s="21"/>
      <c r="E126" s="24"/>
      <c r="F126" s="917"/>
      <c r="G126" s="18"/>
      <c r="H126" s="21"/>
      <c r="I126" s="937"/>
      <c r="J126" s="919"/>
      <c r="K126" s="922"/>
      <c r="L126" s="932"/>
      <c r="M126" s="935"/>
      <c r="N126" s="18"/>
      <c r="O126" s="17"/>
      <c r="P126" s="498"/>
      <c r="Q126" s="488"/>
      <c r="R126" s="78"/>
      <c r="S126" s="17"/>
      <c r="T126" s="23"/>
      <c r="U126" s="526">
        <v>32</v>
      </c>
      <c r="V126" s="546" t="s">
        <v>1257</v>
      </c>
      <c r="W126" s="533">
        <v>35</v>
      </c>
      <c r="X126" s="539"/>
      <c r="Y126" s="533"/>
      <c r="Z126" s="490"/>
      <c r="AA126" s="18"/>
      <c r="AB126" s="24"/>
      <c r="AC126" s="23"/>
      <c r="AD126" s="941"/>
      <c r="AE126" s="944"/>
      <c r="AF126" s="498"/>
      <c r="AG126" s="498"/>
      <c r="AH126" s="498"/>
      <c r="AI126" s="498"/>
      <c r="AJ126" s="498"/>
      <c r="AK126" s="715">
        <v>4950</v>
      </c>
      <c r="AL126" s="498"/>
      <c r="AM126" s="498"/>
      <c r="AN126" s="498"/>
      <c r="AO126" s="498"/>
      <c r="AP126" s="498"/>
      <c r="AQ126" s="498"/>
      <c r="AR126" s="498"/>
      <c r="AS126" s="498"/>
      <c r="AT126" s="498"/>
      <c r="AU126" s="498"/>
      <c r="AV126" s="922"/>
    </row>
    <row r="127" spans="1:48">
      <c r="A127" s="23"/>
      <c r="B127" s="22"/>
      <c r="C127" s="25"/>
      <c r="D127" s="21"/>
      <c r="E127" s="24"/>
      <c r="F127" s="917"/>
      <c r="G127" s="18"/>
      <c r="H127" s="21"/>
      <c r="I127" s="937"/>
      <c r="J127" s="919"/>
      <c r="K127" s="922"/>
      <c r="L127" s="932"/>
      <c r="M127" s="935"/>
      <c r="N127" s="18"/>
      <c r="O127" s="17"/>
      <c r="P127" s="498"/>
      <c r="Q127" s="488"/>
      <c r="R127" s="78"/>
      <c r="S127" s="17"/>
      <c r="T127" s="23"/>
      <c r="U127" s="526"/>
      <c r="V127" s="546" t="s">
        <v>1257</v>
      </c>
      <c r="W127" s="533"/>
      <c r="X127" s="539">
        <v>48</v>
      </c>
      <c r="Y127" s="533"/>
      <c r="Z127" s="490"/>
      <c r="AA127" s="18"/>
      <c r="AB127" s="24"/>
      <c r="AC127" s="23"/>
      <c r="AD127" s="941"/>
      <c r="AE127" s="944"/>
      <c r="AF127" s="498"/>
      <c r="AG127" s="498"/>
      <c r="AH127" s="498"/>
      <c r="AI127" s="498"/>
      <c r="AJ127" s="498"/>
      <c r="AK127" s="715">
        <v>3100</v>
      </c>
      <c r="AL127" s="498"/>
      <c r="AM127" s="498"/>
      <c r="AN127" s="498"/>
      <c r="AO127" s="498"/>
      <c r="AP127" s="498"/>
      <c r="AQ127" s="498"/>
      <c r="AR127" s="498"/>
      <c r="AS127" s="498"/>
      <c r="AT127" s="498"/>
      <c r="AU127" s="498"/>
      <c r="AV127" s="922"/>
    </row>
    <row r="128" spans="1:48">
      <c r="A128" s="23"/>
      <c r="B128" s="22"/>
      <c r="C128" s="25"/>
      <c r="D128" s="21"/>
      <c r="E128" s="24"/>
      <c r="F128" s="917"/>
      <c r="G128" s="18"/>
      <c r="H128" s="21"/>
      <c r="I128" s="937"/>
      <c r="J128" s="919"/>
      <c r="K128" s="922"/>
      <c r="L128" s="932"/>
      <c r="M128" s="935"/>
      <c r="N128" s="18"/>
      <c r="O128" s="17"/>
      <c r="P128" s="498"/>
      <c r="Q128" s="488"/>
      <c r="R128" s="78"/>
      <c r="S128" s="17"/>
      <c r="T128" s="23"/>
      <c r="U128" s="526"/>
      <c r="V128" s="546" t="s">
        <v>1257</v>
      </c>
      <c r="W128" s="533"/>
      <c r="X128" s="539"/>
      <c r="Y128" s="533">
        <v>118</v>
      </c>
      <c r="Z128" s="490"/>
      <c r="AA128" s="18"/>
      <c r="AB128" s="24"/>
      <c r="AC128" s="23"/>
      <c r="AD128" s="941"/>
      <c r="AE128" s="944"/>
      <c r="AF128" s="498"/>
      <c r="AG128" s="498"/>
      <c r="AH128" s="498"/>
      <c r="AI128" s="498"/>
      <c r="AJ128" s="498"/>
      <c r="AK128" s="715">
        <v>1500</v>
      </c>
      <c r="AL128" s="498"/>
      <c r="AM128" s="498"/>
      <c r="AN128" s="498"/>
      <c r="AO128" s="498"/>
      <c r="AP128" s="498"/>
      <c r="AQ128" s="498"/>
      <c r="AR128" s="498"/>
      <c r="AS128" s="498"/>
      <c r="AT128" s="498"/>
      <c r="AU128" s="498"/>
      <c r="AV128" s="922"/>
    </row>
    <row r="129" spans="1:48">
      <c r="A129" s="23"/>
      <c r="B129" s="22"/>
      <c r="C129" s="25"/>
      <c r="D129" s="21"/>
      <c r="E129" s="24"/>
      <c r="F129" s="917"/>
      <c r="G129" s="18"/>
      <c r="H129" s="21"/>
      <c r="I129" s="937"/>
      <c r="J129" s="919"/>
      <c r="K129" s="922"/>
      <c r="L129" s="932"/>
      <c r="M129" s="935"/>
      <c r="N129" s="18"/>
      <c r="O129" s="17"/>
      <c r="P129" s="498"/>
      <c r="Q129" s="488"/>
      <c r="R129" s="78"/>
      <c r="S129" s="17"/>
      <c r="T129" s="23"/>
      <c r="U129" s="526">
        <v>33</v>
      </c>
      <c r="V129" s="546" t="s">
        <v>1464</v>
      </c>
      <c r="W129" s="533">
        <v>87</v>
      </c>
      <c r="X129" s="539"/>
      <c r="Y129" s="533"/>
      <c r="Z129" s="490"/>
      <c r="AA129" s="18"/>
      <c r="AB129" s="24"/>
      <c r="AC129" s="23"/>
      <c r="AD129" s="941"/>
      <c r="AE129" s="944"/>
      <c r="AF129" s="498"/>
      <c r="AG129" s="498"/>
      <c r="AH129" s="498"/>
      <c r="AI129" s="498"/>
      <c r="AJ129" s="498"/>
      <c r="AK129" s="715">
        <v>75000</v>
      </c>
      <c r="AL129" s="498"/>
      <c r="AM129" s="498"/>
      <c r="AN129" s="498"/>
      <c r="AO129" s="498"/>
      <c r="AP129" s="498"/>
      <c r="AQ129" s="498"/>
      <c r="AR129" s="498"/>
      <c r="AS129" s="498"/>
      <c r="AT129" s="498"/>
      <c r="AU129" s="498"/>
      <c r="AV129" s="922"/>
    </row>
    <row r="130" spans="1:48">
      <c r="A130" s="23"/>
      <c r="B130" s="22"/>
      <c r="C130" s="25"/>
      <c r="D130" s="21"/>
      <c r="E130" s="24"/>
      <c r="F130" s="917"/>
      <c r="G130" s="18"/>
      <c r="H130" s="21"/>
      <c r="I130" s="937"/>
      <c r="J130" s="919"/>
      <c r="K130" s="922"/>
      <c r="L130" s="932"/>
      <c r="M130" s="935"/>
      <c r="N130" s="18"/>
      <c r="O130" s="17"/>
      <c r="P130" s="498"/>
      <c r="Q130" s="488"/>
      <c r="R130" s="78"/>
      <c r="S130" s="17"/>
      <c r="T130" s="23"/>
      <c r="U130" s="526"/>
      <c r="V130" s="546" t="s">
        <v>1464</v>
      </c>
      <c r="W130" s="533"/>
      <c r="X130" s="539">
        <v>96</v>
      </c>
      <c r="Y130" s="533"/>
      <c r="Z130" s="490"/>
      <c r="AA130" s="18"/>
      <c r="AB130" s="24"/>
      <c r="AC130" s="23"/>
      <c r="AD130" s="941"/>
      <c r="AE130" s="944"/>
      <c r="AF130" s="498"/>
      <c r="AG130" s="498"/>
      <c r="AH130" s="498"/>
      <c r="AI130" s="498"/>
      <c r="AJ130" s="498"/>
      <c r="AK130" s="715">
        <v>49500</v>
      </c>
      <c r="AL130" s="498"/>
      <c r="AM130" s="498"/>
      <c r="AN130" s="498"/>
      <c r="AO130" s="498"/>
      <c r="AP130" s="498"/>
      <c r="AQ130" s="498"/>
      <c r="AR130" s="498"/>
      <c r="AS130" s="498"/>
      <c r="AT130" s="498"/>
      <c r="AU130" s="498"/>
      <c r="AV130" s="922"/>
    </row>
    <row r="131" spans="1:48">
      <c r="A131" s="23"/>
      <c r="B131" s="22"/>
      <c r="C131" s="25"/>
      <c r="D131" s="21"/>
      <c r="E131" s="24"/>
      <c r="F131" s="917"/>
      <c r="G131" s="18"/>
      <c r="H131" s="21"/>
      <c r="I131" s="937"/>
      <c r="J131" s="919"/>
      <c r="K131" s="922"/>
      <c r="L131" s="932"/>
      <c r="M131" s="935"/>
      <c r="N131" s="18"/>
      <c r="O131" s="17"/>
      <c r="P131" s="498"/>
      <c r="Q131" s="488"/>
      <c r="R131" s="78"/>
      <c r="S131" s="17"/>
      <c r="T131" s="23"/>
      <c r="U131" s="526"/>
      <c r="V131" s="546" t="s">
        <v>1464</v>
      </c>
      <c r="W131" s="533"/>
      <c r="X131" s="539"/>
      <c r="Y131" s="533">
        <v>139</v>
      </c>
      <c r="Z131" s="490"/>
      <c r="AA131" s="18"/>
      <c r="AB131" s="24"/>
      <c r="AC131" s="23"/>
      <c r="AD131" s="941"/>
      <c r="AE131" s="944"/>
      <c r="AF131" s="498"/>
      <c r="AG131" s="498"/>
      <c r="AH131" s="498"/>
      <c r="AI131" s="498"/>
      <c r="AJ131" s="498"/>
      <c r="AK131" s="715">
        <v>24750</v>
      </c>
      <c r="AL131" s="498"/>
      <c r="AM131" s="498"/>
      <c r="AN131" s="498"/>
      <c r="AO131" s="498"/>
      <c r="AP131" s="498"/>
      <c r="AQ131" s="498"/>
      <c r="AR131" s="498"/>
      <c r="AS131" s="498"/>
      <c r="AT131" s="498"/>
      <c r="AU131" s="498"/>
      <c r="AV131" s="922"/>
    </row>
    <row r="132" spans="1:48">
      <c r="A132" s="23"/>
      <c r="B132" s="22"/>
      <c r="C132" s="25"/>
      <c r="D132" s="21"/>
      <c r="E132" s="24"/>
      <c r="F132" s="917"/>
      <c r="G132" s="18"/>
      <c r="H132" s="21"/>
      <c r="I132" s="937"/>
      <c r="J132" s="919"/>
      <c r="K132" s="922"/>
      <c r="L132" s="932"/>
      <c r="M132" s="935"/>
      <c r="N132" s="18"/>
      <c r="O132" s="17"/>
      <c r="P132" s="498"/>
      <c r="Q132" s="488"/>
      <c r="R132" s="78"/>
      <c r="S132" s="17"/>
      <c r="T132" s="23"/>
      <c r="U132" s="526">
        <v>34</v>
      </c>
      <c r="V132" s="546" t="s">
        <v>217</v>
      </c>
      <c r="W132" s="533">
        <v>228</v>
      </c>
      <c r="X132" s="539"/>
      <c r="Y132" s="533"/>
      <c r="Z132" s="490"/>
      <c r="AA132" s="18"/>
      <c r="AB132" s="24"/>
      <c r="AC132" s="23"/>
      <c r="AD132" s="941"/>
      <c r="AE132" s="944"/>
      <c r="AF132" s="498"/>
      <c r="AG132" s="498"/>
      <c r="AH132" s="498"/>
      <c r="AI132" s="498"/>
      <c r="AJ132" s="498"/>
      <c r="AK132" s="715">
        <v>900</v>
      </c>
      <c r="AL132" s="498"/>
      <c r="AM132" s="498"/>
      <c r="AN132" s="498"/>
      <c r="AO132" s="498"/>
      <c r="AP132" s="498"/>
      <c r="AQ132" s="498"/>
      <c r="AR132" s="498"/>
      <c r="AS132" s="498"/>
      <c r="AT132" s="498"/>
      <c r="AU132" s="498"/>
      <c r="AV132" s="922"/>
    </row>
    <row r="133" spans="1:48">
      <c r="A133" s="23"/>
      <c r="B133" s="22"/>
      <c r="C133" s="25"/>
      <c r="D133" s="21"/>
      <c r="E133" s="24"/>
      <c r="F133" s="917"/>
      <c r="G133" s="18"/>
      <c r="H133" s="21"/>
      <c r="I133" s="937"/>
      <c r="J133" s="919"/>
      <c r="K133" s="922"/>
      <c r="L133" s="932"/>
      <c r="M133" s="935"/>
      <c r="N133" s="18"/>
      <c r="O133" s="17"/>
      <c r="P133" s="498"/>
      <c r="Q133" s="488"/>
      <c r="R133" s="78"/>
      <c r="S133" s="17"/>
      <c r="T133" s="23"/>
      <c r="U133" s="526"/>
      <c r="V133" s="546" t="s">
        <v>217</v>
      </c>
      <c r="W133" s="533"/>
      <c r="X133" s="539">
        <v>89</v>
      </c>
      <c r="Y133" s="533"/>
      <c r="Z133" s="490"/>
      <c r="AA133" s="18"/>
      <c r="AB133" s="24"/>
      <c r="AC133" s="23"/>
      <c r="AD133" s="941"/>
      <c r="AE133" s="944"/>
      <c r="AF133" s="498"/>
      <c r="AG133" s="498"/>
      <c r="AH133" s="498"/>
      <c r="AI133" s="498"/>
      <c r="AJ133" s="498"/>
      <c r="AK133" s="715">
        <v>550</v>
      </c>
      <c r="AL133" s="498"/>
      <c r="AM133" s="498"/>
      <c r="AN133" s="498"/>
      <c r="AO133" s="498"/>
      <c r="AP133" s="498"/>
      <c r="AQ133" s="498"/>
      <c r="AR133" s="498"/>
      <c r="AS133" s="498"/>
      <c r="AT133" s="498"/>
      <c r="AU133" s="498"/>
      <c r="AV133" s="922"/>
    </row>
    <row r="134" spans="1:48">
      <c r="A134" s="23"/>
      <c r="B134" s="22"/>
      <c r="C134" s="25"/>
      <c r="D134" s="21"/>
      <c r="E134" s="24"/>
      <c r="F134" s="917"/>
      <c r="G134" s="18"/>
      <c r="H134" s="21"/>
      <c r="I134" s="937"/>
      <c r="J134" s="919"/>
      <c r="K134" s="922"/>
      <c r="L134" s="932"/>
      <c r="M134" s="935"/>
      <c r="N134" s="18"/>
      <c r="O134" s="17"/>
      <c r="P134" s="498"/>
      <c r="Q134" s="488"/>
      <c r="R134" s="78"/>
      <c r="S134" s="17"/>
      <c r="T134" s="23"/>
      <c r="U134" s="526"/>
      <c r="V134" s="546" t="s">
        <v>217</v>
      </c>
      <c r="W134" s="533"/>
      <c r="X134" s="539"/>
      <c r="Y134" s="533">
        <v>115</v>
      </c>
      <c r="Z134" s="490"/>
      <c r="AA134" s="18"/>
      <c r="AB134" s="24"/>
      <c r="AC134" s="23"/>
      <c r="AD134" s="941"/>
      <c r="AE134" s="944"/>
      <c r="AF134" s="498"/>
      <c r="AG134" s="498"/>
      <c r="AH134" s="498"/>
      <c r="AI134" s="498"/>
      <c r="AJ134" s="498"/>
      <c r="AK134" s="715">
        <v>250</v>
      </c>
      <c r="AL134" s="498"/>
      <c r="AM134" s="498"/>
      <c r="AN134" s="498"/>
      <c r="AO134" s="498"/>
      <c r="AP134" s="498"/>
      <c r="AQ134" s="498"/>
      <c r="AR134" s="498"/>
      <c r="AS134" s="498"/>
      <c r="AT134" s="498"/>
      <c r="AU134" s="498"/>
      <c r="AV134" s="922"/>
    </row>
    <row r="135" spans="1:48">
      <c r="A135" s="23"/>
      <c r="B135" s="22"/>
      <c r="C135" s="25"/>
      <c r="D135" s="21"/>
      <c r="E135" s="24"/>
      <c r="F135" s="917"/>
      <c r="G135" s="18"/>
      <c r="H135" s="21"/>
      <c r="I135" s="937"/>
      <c r="J135" s="919"/>
      <c r="K135" s="922"/>
      <c r="L135" s="932"/>
      <c r="M135" s="935"/>
      <c r="N135" s="18"/>
      <c r="O135" s="17"/>
      <c r="P135" s="498"/>
      <c r="Q135" s="488"/>
      <c r="R135" s="78"/>
      <c r="S135" s="17"/>
      <c r="T135" s="23"/>
      <c r="U135" s="526">
        <v>35</v>
      </c>
      <c r="V135" s="546" t="s">
        <v>1256</v>
      </c>
      <c r="W135" s="533">
        <v>871</v>
      </c>
      <c r="X135" s="539"/>
      <c r="Y135" s="533"/>
      <c r="Z135" s="490"/>
      <c r="AA135" s="18"/>
      <c r="AB135" s="24"/>
      <c r="AC135" s="23"/>
      <c r="AD135" s="941"/>
      <c r="AE135" s="944"/>
      <c r="AF135" s="498"/>
      <c r="AG135" s="498"/>
      <c r="AH135" s="498"/>
      <c r="AI135" s="498"/>
      <c r="AJ135" s="498"/>
      <c r="AK135" s="715">
        <v>10000</v>
      </c>
      <c r="AL135" s="498"/>
      <c r="AM135" s="498"/>
      <c r="AN135" s="498"/>
      <c r="AO135" s="498"/>
      <c r="AP135" s="498"/>
      <c r="AQ135" s="498"/>
      <c r="AR135" s="498"/>
      <c r="AS135" s="498"/>
      <c r="AT135" s="498"/>
      <c r="AU135" s="498"/>
      <c r="AV135" s="922"/>
    </row>
    <row r="136" spans="1:48">
      <c r="A136" s="23"/>
      <c r="B136" s="22"/>
      <c r="C136" s="25"/>
      <c r="D136" s="21"/>
      <c r="E136" s="24"/>
      <c r="F136" s="917"/>
      <c r="G136" s="18"/>
      <c r="H136" s="21"/>
      <c r="I136" s="937"/>
      <c r="J136" s="919"/>
      <c r="K136" s="922"/>
      <c r="L136" s="932"/>
      <c r="M136" s="935"/>
      <c r="N136" s="18"/>
      <c r="O136" s="17"/>
      <c r="P136" s="498"/>
      <c r="Q136" s="488"/>
      <c r="R136" s="78"/>
      <c r="S136" s="17"/>
      <c r="T136" s="23"/>
      <c r="U136" s="526"/>
      <c r="V136" s="546" t="s">
        <v>1256</v>
      </c>
      <c r="W136" s="533"/>
      <c r="X136" s="539">
        <v>219</v>
      </c>
      <c r="Y136" s="533"/>
      <c r="Z136" s="490"/>
      <c r="AA136" s="18"/>
      <c r="AB136" s="24"/>
      <c r="AC136" s="23"/>
      <c r="AD136" s="941"/>
      <c r="AE136" s="944"/>
      <c r="AF136" s="498"/>
      <c r="AG136" s="498"/>
      <c r="AH136" s="498"/>
      <c r="AI136" s="498"/>
      <c r="AJ136" s="498"/>
      <c r="AK136" s="715">
        <v>7500</v>
      </c>
      <c r="AL136" s="498"/>
      <c r="AM136" s="498"/>
      <c r="AN136" s="498"/>
      <c r="AO136" s="498"/>
      <c r="AP136" s="498"/>
      <c r="AQ136" s="498"/>
      <c r="AR136" s="498"/>
      <c r="AS136" s="498"/>
      <c r="AT136" s="498"/>
      <c r="AU136" s="498"/>
      <c r="AV136" s="922"/>
    </row>
    <row r="137" spans="1:48">
      <c r="A137" s="23"/>
      <c r="B137" s="22"/>
      <c r="C137" s="25"/>
      <c r="D137" s="21"/>
      <c r="E137" s="24"/>
      <c r="F137" s="917"/>
      <c r="G137" s="18"/>
      <c r="H137" s="21"/>
      <c r="I137" s="937"/>
      <c r="J137" s="919"/>
      <c r="K137" s="922"/>
      <c r="L137" s="932"/>
      <c r="M137" s="935"/>
      <c r="N137" s="18"/>
      <c r="O137" s="17"/>
      <c r="P137" s="498"/>
      <c r="Q137" s="488"/>
      <c r="R137" s="78"/>
      <c r="S137" s="17"/>
      <c r="T137" s="23"/>
      <c r="U137" s="526"/>
      <c r="V137" s="546" t="s">
        <v>1256</v>
      </c>
      <c r="W137" s="533"/>
      <c r="X137" s="539"/>
      <c r="Y137" s="533">
        <v>415</v>
      </c>
      <c r="Z137" s="490"/>
      <c r="AA137" s="18"/>
      <c r="AB137" s="24"/>
      <c r="AC137" s="23"/>
      <c r="AD137" s="941"/>
      <c r="AE137" s="944"/>
      <c r="AF137" s="498"/>
      <c r="AG137" s="498"/>
      <c r="AH137" s="498"/>
      <c r="AI137" s="498"/>
      <c r="AJ137" s="498"/>
      <c r="AK137" s="715">
        <v>5000</v>
      </c>
      <c r="AL137" s="498"/>
      <c r="AM137" s="498"/>
      <c r="AN137" s="498"/>
      <c r="AO137" s="498"/>
      <c r="AP137" s="498"/>
      <c r="AQ137" s="498"/>
      <c r="AR137" s="498"/>
      <c r="AS137" s="498"/>
      <c r="AT137" s="498"/>
      <c r="AU137" s="498"/>
      <c r="AV137" s="922"/>
    </row>
    <row r="138" spans="1:48">
      <c r="A138" s="23"/>
      <c r="B138" s="22"/>
      <c r="C138" s="25"/>
      <c r="D138" s="21"/>
      <c r="E138" s="24"/>
      <c r="F138" s="917"/>
      <c r="G138" s="18"/>
      <c r="H138" s="21"/>
      <c r="I138" s="937"/>
      <c r="J138" s="919"/>
      <c r="K138" s="922"/>
      <c r="L138" s="932"/>
      <c r="M138" s="935"/>
      <c r="N138" s="18"/>
      <c r="O138" s="17"/>
      <c r="P138" s="498"/>
      <c r="Q138" s="488"/>
      <c r="R138" s="78"/>
      <c r="S138" s="17"/>
      <c r="T138" s="23"/>
      <c r="U138" s="526">
        <v>36</v>
      </c>
      <c r="V138" s="546" t="s">
        <v>86</v>
      </c>
      <c r="W138" s="533">
        <v>118</v>
      </c>
      <c r="X138" s="539"/>
      <c r="Y138" s="533"/>
      <c r="Z138" s="490"/>
      <c r="AA138" s="18"/>
      <c r="AB138" s="24"/>
      <c r="AC138" s="23"/>
      <c r="AD138" s="941"/>
      <c r="AE138" s="944"/>
      <c r="AF138" s="498"/>
      <c r="AG138" s="498"/>
      <c r="AH138" s="498"/>
      <c r="AI138" s="498"/>
      <c r="AJ138" s="498"/>
      <c r="AK138" s="715">
        <v>1200</v>
      </c>
      <c r="AL138" s="498"/>
      <c r="AM138" s="498"/>
      <c r="AN138" s="498"/>
      <c r="AO138" s="498"/>
      <c r="AP138" s="498"/>
      <c r="AQ138" s="498"/>
      <c r="AR138" s="498"/>
      <c r="AS138" s="498"/>
      <c r="AT138" s="498"/>
      <c r="AU138" s="498"/>
      <c r="AV138" s="922"/>
    </row>
    <row r="139" spans="1:48">
      <c r="A139" s="23"/>
      <c r="B139" s="22"/>
      <c r="C139" s="25"/>
      <c r="D139" s="21"/>
      <c r="E139" s="24"/>
      <c r="F139" s="917"/>
      <c r="G139" s="18"/>
      <c r="H139" s="21"/>
      <c r="I139" s="937"/>
      <c r="J139" s="919"/>
      <c r="K139" s="922"/>
      <c r="L139" s="932"/>
      <c r="M139" s="935"/>
      <c r="N139" s="18"/>
      <c r="O139" s="17"/>
      <c r="P139" s="498"/>
      <c r="Q139" s="488"/>
      <c r="R139" s="78"/>
      <c r="S139" s="17"/>
      <c r="T139" s="23"/>
      <c r="U139" s="526"/>
      <c r="V139" s="546" t="s">
        <v>86</v>
      </c>
      <c r="W139" s="533"/>
      <c r="X139" s="539">
        <v>75</v>
      </c>
      <c r="Y139" s="533"/>
      <c r="Z139" s="490"/>
      <c r="AA139" s="18"/>
      <c r="AB139" s="24"/>
      <c r="AC139" s="23"/>
      <c r="AD139" s="941"/>
      <c r="AE139" s="944"/>
      <c r="AF139" s="498"/>
      <c r="AG139" s="498"/>
      <c r="AH139" s="498"/>
      <c r="AI139" s="498"/>
      <c r="AJ139" s="498"/>
      <c r="AK139" s="715">
        <v>800</v>
      </c>
      <c r="AL139" s="498"/>
      <c r="AM139" s="498"/>
      <c r="AN139" s="498"/>
      <c r="AO139" s="498"/>
      <c r="AP139" s="498"/>
      <c r="AQ139" s="498"/>
      <c r="AR139" s="498"/>
      <c r="AS139" s="498"/>
      <c r="AT139" s="498"/>
      <c r="AU139" s="498"/>
      <c r="AV139" s="922"/>
    </row>
    <row r="140" spans="1:48">
      <c r="A140" s="23"/>
      <c r="B140" s="22"/>
      <c r="C140" s="25"/>
      <c r="D140" s="21"/>
      <c r="E140" s="24"/>
      <c r="F140" s="917"/>
      <c r="G140" s="18"/>
      <c r="H140" s="21"/>
      <c r="I140" s="937"/>
      <c r="J140" s="919"/>
      <c r="K140" s="922"/>
      <c r="L140" s="932"/>
      <c r="M140" s="935"/>
      <c r="N140" s="18"/>
      <c r="O140" s="17"/>
      <c r="P140" s="498"/>
      <c r="Q140" s="488"/>
      <c r="R140" s="78"/>
      <c r="S140" s="17"/>
      <c r="T140" s="23"/>
      <c r="U140" s="526"/>
      <c r="V140" s="546" t="s">
        <v>86</v>
      </c>
      <c r="W140" s="533"/>
      <c r="X140" s="539"/>
      <c r="Y140" s="533">
        <v>99</v>
      </c>
      <c r="Z140" s="490"/>
      <c r="AA140" s="18"/>
      <c r="AB140" s="24"/>
      <c r="AC140" s="23"/>
      <c r="AD140" s="941"/>
      <c r="AE140" s="944"/>
      <c r="AF140" s="498"/>
      <c r="AG140" s="498"/>
      <c r="AH140" s="498"/>
      <c r="AI140" s="498"/>
      <c r="AJ140" s="498"/>
      <c r="AK140" s="715">
        <v>400</v>
      </c>
      <c r="AL140" s="498"/>
      <c r="AM140" s="498"/>
      <c r="AN140" s="498"/>
      <c r="AO140" s="498"/>
      <c r="AP140" s="498"/>
      <c r="AQ140" s="498"/>
      <c r="AR140" s="498"/>
      <c r="AS140" s="498"/>
      <c r="AT140" s="498"/>
      <c r="AU140" s="498"/>
      <c r="AV140" s="922"/>
    </row>
    <row r="141" spans="1:48">
      <c r="A141" s="23"/>
      <c r="B141" s="22"/>
      <c r="C141" s="25"/>
      <c r="D141" s="21"/>
      <c r="E141" s="24"/>
      <c r="F141" s="917"/>
      <c r="G141" s="18"/>
      <c r="H141" s="21"/>
      <c r="I141" s="937"/>
      <c r="J141" s="919"/>
      <c r="K141" s="922"/>
      <c r="L141" s="932"/>
      <c r="M141" s="935"/>
      <c r="N141" s="18"/>
      <c r="O141" s="17"/>
      <c r="P141" s="498"/>
      <c r="Q141" s="488"/>
      <c r="R141" s="78"/>
      <c r="S141" s="17"/>
      <c r="T141" s="23"/>
      <c r="U141" s="526">
        <v>37</v>
      </c>
      <c r="V141" s="546" t="s">
        <v>1463</v>
      </c>
      <c r="W141" s="533">
        <v>48</v>
      </c>
      <c r="X141" s="539"/>
      <c r="Y141" s="533"/>
      <c r="Z141" s="490"/>
      <c r="AA141" s="18"/>
      <c r="AB141" s="24"/>
      <c r="AC141" s="23"/>
      <c r="AD141" s="941"/>
      <c r="AE141" s="944"/>
      <c r="AF141" s="498"/>
      <c r="AG141" s="498"/>
      <c r="AH141" s="498"/>
      <c r="AI141" s="498"/>
      <c r="AJ141" s="498"/>
      <c r="AK141" s="715">
        <v>1500</v>
      </c>
      <c r="AL141" s="498"/>
      <c r="AM141" s="498"/>
      <c r="AN141" s="498"/>
      <c r="AO141" s="498"/>
      <c r="AP141" s="498"/>
      <c r="AQ141" s="498"/>
      <c r="AR141" s="498"/>
      <c r="AS141" s="498"/>
      <c r="AT141" s="498"/>
      <c r="AU141" s="498"/>
      <c r="AV141" s="922"/>
    </row>
    <row r="142" spans="1:48">
      <c r="A142" s="23"/>
      <c r="B142" s="22"/>
      <c r="C142" s="25"/>
      <c r="D142" s="21"/>
      <c r="E142" s="24"/>
      <c r="F142" s="917"/>
      <c r="G142" s="18"/>
      <c r="H142" s="21"/>
      <c r="I142" s="937"/>
      <c r="J142" s="919"/>
      <c r="K142" s="922"/>
      <c r="L142" s="932"/>
      <c r="M142" s="935"/>
      <c r="N142" s="18"/>
      <c r="O142" s="17"/>
      <c r="P142" s="498"/>
      <c r="Q142" s="488"/>
      <c r="R142" s="78"/>
      <c r="S142" s="17"/>
      <c r="T142" s="23"/>
      <c r="U142" s="526"/>
      <c r="V142" s="546" t="s">
        <v>1463</v>
      </c>
      <c r="W142" s="533"/>
      <c r="X142" s="539">
        <v>204</v>
      </c>
      <c r="Y142" s="533"/>
      <c r="Z142" s="490"/>
      <c r="AA142" s="18"/>
      <c r="AB142" s="24"/>
      <c r="AC142" s="23"/>
      <c r="AD142" s="941"/>
      <c r="AE142" s="944"/>
      <c r="AF142" s="498"/>
      <c r="AG142" s="498"/>
      <c r="AH142" s="498"/>
      <c r="AI142" s="498"/>
      <c r="AJ142" s="498"/>
      <c r="AK142" s="715">
        <v>1000</v>
      </c>
      <c r="AL142" s="498"/>
      <c r="AM142" s="498"/>
      <c r="AN142" s="498"/>
      <c r="AO142" s="498"/>
      <c r="AP142" s="498"/>
      <c r="AQ142" s="498"/>
      <c r="AR142" s="498"/>
      <c r="AS142" s="498"/>
      <c r="AT142" s="498"/>
      <c r="AU142" s="498"/>
      <c r="AV142" s="922"/>
    </row>
    <row r="143" spans="1:48">
      <c r="A143" s="23"/>
      <c r="B143" s="22"/>
      <c r="C143" s="25"/>
      <c r="D143" s="21"/>
      <c r="E143" s="24"/>
      <c r="F143" s="917"/>
      <c r="G143" s="18"/>
      <c r="H143" s="21"/>
      <c r="I143" s="937"/>
      <c r="J143" s="919"/>
      <c r="K143" s="922"/>
      <c r="L143" s="932"/>
      <c r="M143" s="935"/>
      <c r="N143" s="18"/>
      <c r="O143" s="17"/>
      <c r="P143" s="498"/>
      <c r="Q143" s="488"/>
      <c r="R143" s="78"/>
      <c r="S143" s="17"/>
      <c r="T143" s="23"/>
      <c r="U143" s="526"/>
      <c r="V143" s="546" t="s">
        <v>1463</v>
      </c>
      <c r="W143" s="533"/>
      <c r="X143" s="539"/>
      <c r="Y143" s="533">
        <v>217</v>
      </c>
      <c r="Z143" s="490"/>
      <c r="AA143" s="18"/>
      <c r="AB143" s="24"/>
      <c r="AC143" s="23"/>
      <c r="AD143" s="941"/>
      <c r="AE143" s="944"/>
      <c r="AF143" s="498"/>
      <c r="AG143" s="498"/>
      <c r="AH143" s="498"/>
      <c r="AI143" s="498"/>
      <c r="AJ143" s="498"/>
      <c r="AK143" s="715">
        <v>500</v>
      </c>
      <c r="AL143" s="498"/>
      <c r="AM143" s="498"/>
      <c r="AN143" s="498"/>
      <c r="AO143" s="498"/>
      <c r="AP143" s="498"/>
      <c r="AQ143" s="498"/>
      <c r="AR143" s="498"/>
      <c r="AS143" s="498"/>
      <c r="AT143" s="498"/>
      <c r="AU143" s="498"/>
      <c r="AV143" s="922"/>
    </row>
    <row r="144" spans="1:48">
      <c r="A144" s="23"/>
      <c r="B144" s="22"/>
      <c r="C144" s="25"/>
      <c r="D144" s="21"/>
      <c r="E144" s="24"/>
      <c r="F144" s="917"/>
      <c r="G144" s="18"/>
      <c r="H144" s="21"/>
      <c r="I144" s="937"/>
      <c r="J144" s="919"/>
      <c r="K144" s="922"/>
      <c r="L144" s="932"/>
      <c r="M144" s="935"/>
      <c r="N144" s="18"/>
      <c r="O144" s="17"/>
      <c r="P144" s="498"/>
      <c r="Q144" s="488"/>
      <c r="R144" s="78"/>
      <c r="S144" s="17"/>
      <c r="T144" s="23"/>
      <c r="U144" s="526">
        <v>38</v>
      </c>
      <c r="V144" s="546" t="s">
        <v>79</v>
      </c>
      <c r="W144" s="533">
        <v>98</v>
      </c>
      <c r="X144" s="539"/>
      <c r="Y144" s="533"/>
      <c r="Z144" s="490"/>
      <c r="AA144" s="18"/>
      <c r="AB144" s="24"/>
      <c r="AC144" s="23"/>
      <c r="AD144" s="941"/>
      <c r="AE144" s="944"/>
      <c r="AF144" s="498"/>
      <c r="AG144" s="498"/>
      <c r="AH144" s="498"/>
      <c r="AI144" s="498"/>
      <c r="AJ144" s="498"/>
      <c r="AK144" s="715">
        <v>30000</v>
      </c>
      <c r="AL144" s="498"/>
      <c r="AM144" s="498"/>
      <c r="AN144" s="498"/>
      <c r="AO144" s="498"/>
      <c r="AP144" s="498"/>
      <c r="AQ144" s="498"/>
      <c r="AR144" s="498"/>
      <c r="AS144" s="498"/>
      <c r="AT144" s="498"/>
      <c r="AU144" s="498"/>
      <c r="AV144" s="922"/>
    </row>
    <row r="145" spans="1:48">
      <c r="A145" s="23"/>
      <c r="B145" s="22"/>
      <c r="C145" s="25"/>
      <c r="D145" s="21"/>
      <c r="E145" s="24"/>
      <c r="F145" s="917"/>
      <c r="G145" s="18"/>
      <c r="H145" s="21"/>
      <c r="I145" s="937"/>
      <c r="J145" s="919"/>
      <c r="K145" s="922"/>
      <c r="L145" s="932"/>
      <c r="M145" s="935"/>
      <c r="N145" s="18"/>
      <c r="O145" s="17"/>
      <c r="P145" s="498"/>
      <c r="Q145" s="488"/>
      <c r="R145" s="78"/>
      <c r="S145" s="17"/>
      <c r="T145" s="23"/>
      <c r="U145" s="526"/>
      <c r="V145" s="546" t="s">
        <v>79</v>
      </c>
      <c r="W145" s="533"/>
      <c r="X145" s="539">
        <v>68</v>
      </c>
      <c r="Y145" s="533"/>
      <c r="Z145" s="490"/>
      <c r="AA145" s="18"/>
      <c r="AB145" s="24"/>
      <c r="AC145" s="23"/>
      <c r="AD145" s="941"/>
      <c r="AE145" s="944"/>
      <c r="AF145" s="498"/>
      <c r="AG145" s="498"/>
      <c r="AH145" s="498"/>
      <c r="AI145" s="498"/>
      <c r="AJ145" s="498"/>
      <c r="AK145" s="715">
        <v>20000</v>
      </c>
      <c r="AL145" s="498"/>
      <c r="AM145" s="498"/>
      <c r="AN145" s="498"/>
      <c r="AO145" s="498"/>
      <c r="AP145" s="498"/>
      <c r="AQ145" s="498"/>
      <c r="AR145" s="498"/>
      <c r="AS145" s="498"/>
      <c r="AT145" s="498"/>
      <c r="AU145" s="498"/>
      <c r="AV145" s="922"/>
    </row>
    <row r="146" spans="1:48">
      <c r="A146" s="23"/>
      <c r="B146" s="22"/>
      <c r="C146" s="25"/>
      <c r="D146" s="21"/>
      <c r="E146" s="24"/>
      <c r="F146" s="917"/>
      <c r="G146" s="18"/>
      <c r="H146" s="21"/>
      <c r="I146" s="937"/>
      <c r="J146" s="919"/>
      <c r="K146" s="922"/>
      <c r="L146" s="932"/>
      <c r="M146" s="935"/>
      <c r="N146" s="18"/>
      <c r="O146" s="17"/>
      <c r="P146" s="498"/>
      <c r="Q146" s="488"/>
      <c r="R146" s="78"/>
      <c r="S146" s="17"/>
      <c r="T146" s="23"/>
      <c r="U146" s="526"/>
      <c r="V146" s="546" t="s">
        <v>79</v>
      </c>
      <c r="W146" s="533"/>
      <c r="X146" s="539"/>
      <c r="Y146" s="533">
        <v>143</v>
      </c>
      <c r="Z146" s="490"/>
      <c r="AA146" s="18"/>
      <c r="AB146" s="24"/>
      <c r="AC146" s="23"/>
      <c r="AD146" s="941"/>
      <c r="AE146" s="944"/>
      <c r="AF146" s="498"/>
      <c r="AG146" s="498"/>
      <c r="AH146" s="498"/>
      <c r="AI146" s="498"/>
      <c r="AJ146" s="498"/>
      <c r="AK146" s="715">
        <v>8000</v>
      </c>
      <c r="AL146" s="498"/>
      <c r="AM146" s="498"/>
      <c r="AN146" s="498"/>
      <c r="AO146" s="498"/>
      <c r="AP146" s="498"/>
      <c r="AQ146" s="498"/>
      <c r="AR146" s="498"/>
      <c r="AS146" s="498"/>
      <c r="AT146" s="498"/>
      <c r="AU146" s="498"/>
      <c r="AV146" s="922"/>
    </row>
    <row r="147" spans="1:48">
      <c r="A147" s="23"/>
      <c r="B147" s="22"/>
      <c r="C147" s="25"/>
      <c r="D147" s="21"/>
      <c r="E147" s="24"/>
      <c r="F147" s="917"/>
      <c r="G147" s="18"/>
      <c r="H147" s="21"/>
      <c r="I147" s="937"/>
      <c r="J147" s="919"/>
      <c r="K147" s="922"/>
      <c r="L147" s="932"/>
      <c r="M147" s="935"/>
      <c r="N147" s="18"/>
      <c r="O147" s="17"/>
      <c r="P147" s="498"/>
      <c r="Q147" s="488"/>
      <c r="R147" s="78"/>
      <c r="S147" s="17"/>
      <c r="T147" s="23"/>
      <c r="U147" s="526">
        <v>39</v>
      </c>
      <c r="V147" s="546" t="s">
        <v>10</v>
      </c>
      <c r="W147" s="533">
        <v>11</v>
      </c>
      <c r="X147" s="539"/>
      <c r="Y147" s="533"/>
      <c r="Z147" s="490"/>
      <c r="AA147" s="18"/>
      <c r="AB147" s="24"/>
      <c r="AC147" s="23"/>
      <c r="AD147" s="941"/>
      <c r="AE147" s="944"/>
      <c r="AF147" s="498"/>
      <c r="AG147" s="498"/>
      <c r="AH147" s="498"/>
      <c r="AI147" s="498"/>
      <c r="AJ147" s="498"/>
      <c r="AK147" s="715">
        <v>50000</v>
      </c>
      <c r="AL147" s="498"/>
      <c r="AM147" s="498"/>
      <c r="AN147" s="498"/>
      <c r="AO147" s="498"/>
      <c r="AP147" s="498"/>
      <c r="AQ147" s="498"/>
      <c r="AR147" s="498"/>
      <c r="AS147" s="498"/>
      <c r="AT147" s="498"/>
      <c r="AU147" s="498"/>
      <c r="AV147" s="922"/>
    </row>
    <row r="148" spans="1:48">
      <c r="A148" s="23"/>
      <c r="B148" s="22"/>
      <c r="C148" s="25"/>
      <c r="D148" s="21"/>
      <c r="E148" s="24"/>
      <c r="F148" s="917"/>
      <c r="G148" s="18"/>
      <c r="H148" s="21"/>
      <c r="I148" s="937"/>
      <c r="J148" s="919"/>
      <c r="K148" s="922"/>
      <c r="L148" s="932"/>
      <c r="M148" s="935"/>
      <c r="N148" s="18"/>
      <c r="O148" s="17"/>
      <c r="P148" s="498"/>
      <c r="Q148" s="488"/>
      <c r="R148" s="78"/>
      <c r="S148" s="17"/>
      <c r="T148" s="23"/>
      <c r="U148" s="526"/>
      <c r="V148" s="546" t="s">
        <v>10</v>
      </c>
      <c r="W148" s="533"/>
      <c r="X148" s="539">
        <v>37</v>
      </c>
      <c r="Y148" s="533"/>
      <c r="Z148" s="490"/>
      <c r="AA148" s="18"/>
      <c r="AB148" s="24"/>
      <c r="AC148" s="23"/>
      <c r="AD148" s="941"/>
      <c r="AE148" s="944"/>
      <c r="AF148" s="498"/>
      <c r="AG148" s="498"/>
      <c r="AH148" s="498"/>
      <c r="AI148" s="498"/>
      <c r="AJ148" s="498"/>
      <c r="AK148" s="715">
        <v>35000</v>
      </c>
      <c r="AL148" s="498"/>
      <c r="AM148" s="498"/>
      <c r="AN148" s="498"/>
      <c r="AO148" s="498"/>
      <c r="AP148" s="498"/>
      <c r="AQ148" s="498"/>
      <c r="AR148" s="498"/>
      <c r="AS148" s="498"/>
      <c r="AT148" s="498"/>
      <c r="AU148" s="498"/>
      <c r="AV148" s="922"/>
    </row>
    <row r="149" spans="1:48">
      <c r="A149" s="23"/>
      <c r="B149" s="22"/>
      <c r="C149" s="25"/>
      <c r="D149" s="21"/>
      <c r="E149" s="24"/>
      <c r="F149" s="917"/>
      <c r="G149" s="18"/>
      <c r="H149" s="21"/>
      <c r="I149" s="937"/>
      <c r="J149" s="919"/>
      <c r="K149" s="922"/>
      <c r="L149" s="932"/>
      <c r="M149" s="935"/>
      <c r="N149" s="18"/>
      <c r="O149" s="17"/>
      <c r="P149" s="498"/>
      <c r="Q149" s="488"/>
      <c r="R149" s="78"/>
      <c r="S149" s="17"/>
      <c r="T149" s="23"/>
      <c r="U149" s="526"/>
      <c r="V149" s="546" t="s">
        <v>10</v>
      </c>
      <c r="W149" s="533"/>
      <c r="X149" s="539"/>
      <c r="Y149" s="533">
        <v>357</v>
      </c>
      <c r="Z149" s="490"/>
      <c r="AA149" s="18"/>
      <c r="AB149" s="24"/>
      <c r="AC149" s="23"/>
      <c r="AD149" s="941"/>
      <c r="AE149" s="944"/>
      <c r="AF149" s="498"/>
      <c r="AG149" s="498"/>
      <c r="AH149" s="498"/>
      <c r="AI149" s="498"/>
      <c r="AJ149" s="498"/>
      <c r="AK149" s="715">
        <v>25000</v>
      </c>
      <c r="AL149" s="498"/>
      <c r="AM149" s="498"/>
      <c r="AN149" s="498"/>
      <c r="AO149" s="498"/>
      <c r="AP149" s="498"/>
      <c r="AQ149" s="498"/>
      <c r="AR149" s="498"/>
      <c r="AS149" s="498"/>
      <c r="AT149" s="498"/>
      <c r="AU149" s="498"/>
      <c r="AV149" s="922"/>
    </row>
    <row r="150" spans="1:48">
      <c r="A150" s="12"/>
      <c r="B150" s="11"/>
      <c r="C150" s="15"/>
      <c r="D150" s="10"/>
      <c r="E150" s="13"/>
      <c r="F150" s="918"/>
      <c r="G150" s="7"/>
      <c r="H150" s="10"/>
      <c r="I150" s="938"/>
      <c r="J150" s="920"/>
      <c r="K150" s="923"/>
      <c r="L150" s="933"/>
      <c r="M150" s="936"/>
      <c r="N150" s="7"/>
      <c r="O150" s="13"/>
      <c r="P150" s="12"/>
      <c r="Q150" s="58"/>
      <c r="R150" s="11"/>
      <c r="S150" s="10"/>
      <c r="T150" s="12"/>
      <c r="U150" s="529"/>
      <c r="V150" s="547"/>
      <c r="W150" s="538"/>
      <c r="X150" s="541"/>
      <c r="Y150" s="538"/>
      <c r="Z150" s="8">
        <v>405</v>
      </c>
      <c r="AA150" s="7"/>
      <c r="AB150" s="13"/>
      <c r="AC150" s="12"/>
      <c r="AD150" s="942"/>
      <c r="AE150" s="945"/>
      <c r="AF150" s="499"/>
      <c r="AG150" s="499"/>
      <c r="AH150" s="499"/>
      <c r="AI150" s="499"/>
      <c r="AJ150" s="499"/>
      <c r="AK150" s="719"/>
      <c r="AL150" s="499"/>
      <c r="AM150" s="499"/>
      <c r="AN150" s="499"/>
      <c r="AO150" s="499"/>
      <c r="AP150" s="499"/>
      <c r="AQ150" s="499"/>
      <c r="AR150" s="499"/>
      <c r="AS150" s="499"/>
      <c r="AT150" s="499"/>
      <c r="AU150" s="499"/>
      <c r="AV150" s="923"/>
    </row>
    <row r="151" spans="1:48">
      <c r="A151" s="46" t="s">
        <v>704</v>
      </c>
      <c r="B151" s="40" t="s">
        <v>25</v>
      </c>
      <c r="C151" s="45" t="s">
        <v>1451</v>
      </c>
      <c r="D151" s="36"/>
      <c r="E151" s="44"/>
      <c r="F151" s="916" t="s">
        <v>1462</v>
      </c>
      <c r="G151" s="43" t="s">
        <v>25</v>
      </c>
      <c r="H151" s="35" t="s">
        <v>1397</v>
      </c>
      <c r="I151" s="939" t="s">
        <v>1461</v>
      </c>
      <c r="J151" s="927"/>
      <c r="K151" s="922" t="s">
        <v>1458</v>
      </c>
      <c r="L151" s="931" t="s">
        <v>46</v>
      </c>
      <c r="M151" s="934" t="s">
        <v>46</v>
      </c>
      <c r="N151" s="36" t="s">
        <v>25</v>
      </c>
      <c r="O151" s="41" t="s">
        <v>1531</v>
      </c>
      <c r="P151" s="42"/>
      <c r="Q151" s="112" t="s">
        <v>1530</v>
      </c>
      <c r="R151" s="26" t="s">
        <v>25</v>
      </c>
      <c r="S151" s="73" t="s">
        <v>24</v>
      </c>
      <c r="T151" s="32">
        <v>4</v>
      </c>
      <c r="U151" s="73">
        <v>1</v>
      </c>
      <c r="V151" s="525" t="s">
        <v>109</v>
      </c>
      <c r="W151" s="532"/>
      <c r="X151" s="557"/>
      <c r="Y151" s="532">
        <v>31</v>
      </c>
      <c r="Z151" s="16">
        <v>31</v>
      </c>
      <c r="AA151" s="36"/>
      <c r="AB151" s="56"/>
      <c r="AC151" s="34"/>
      <c r="AD151" s="940"/>
      <c r="AE151" s="943"/>
      <c r="AF151" s="497"/>
      <c r="AG151" s="497"/>
      <c r="AH151" s="497"/>
      <c r="AI151" s="497"/>
      <c r="AJ151" s="497"/>
      <c r="AK151" s="718">
        <v>10000</v>
      </c>
      <c r="AL151" s="497"/>
      <c r="AM151" s="497"/>
      <c r="AN151" s="497"/>
      <c r="AO151" s="497"/>
      <c r="AP151" s="497"/>
      <c r="AQ151" s="497"/>
      <c r="AR151" s="497"/>
      <c r="AS151" s="497"/>
      <c r="AT151" s="497"/>
      <c r="AU151" s="497"/>
      <c r="AV151" s="921"/>
    </row>
    <row r="152" spans="1:48">
      <c r="A152" s="23"/>
      <c r="B152" s="22" t="s">
        <v>16</v>
      </c>
      <c r="C152" s="33" t="s">
        <v>1447</v>
      </c>
      <c r="D152" s="18"/>
      <c r="E152" s="17"/>
      <c r="F152" s="917"/>
      <c r="G152" s="18" t="s">
        <v>16</v>
      </c>
      <c r="H152" s="18" t="s">
        <v>19</v>
      </c>
      <c r="I152" s="937"/>
      <c r="J152" s="919"/>
      <c r="K152" s="922"/>
      <c r="L152" s="932"/>
      <c r="M152" s="935"/>
      <c r="N152" s="18"/>
      <c r="O152" s="76"/>
      <c r="P152" s="77"/>
      <c r="Q152" s="76"/>
      <c r="R152" s="22"/>
      <c r="S152" s="21"/>
      <c r="T152" s="23"/>
      <c r="U152" s="21">
        <v>2</v>
      </c>
      <c r="V152" s="23" t="s">
        <v>1211</v>
      </c>
      <c r="W152" s="533"/>
      <c r="X152" s="539"/>
      <c r="Y152" s="533">
        <v>15</v>
      </c>
      <c r="Z152" s="16">
        <v>15</v>
      </c>
      <c r="AA152" s="18"/>
      <c r="AB152" s="24"/>
      <c r="AC152" s="23"/>
      <c r="AD152" s="941"/>
      <c r="AE152" s="944"/>
      <c r="AF152" s="498"/>
      <c r="AG152" s="498"/>
      <c r="AH152" s="498"/>
      <c r="AI152" s="498"/>
      <c r="AJ152" s="498"/>
      <c r="AK152" s="715">
        <v>20000</v>
      </c>
      <c r="AL152" s="498"/>
      <c r="AM152" s="498"/>
      <c r="AN152" s="498"/>
      <c r="AO152" s="498"/>
      <c r="AP152" s="498"/>
      <c r="AQ152" s="498"/>
      <c r="AR152" s="498"/>
      <c r="AS152" s="498"/>
      <c r="AT152" s="498"/>
      <c r="AU152" s="498"/>
      <c r="AV152" s="922"/>
    </row>
    <row r="153" spans="1:48">
      <c r="A153" s="23"/>
      <c r="B153" s="22" t="s">
        <v>18</v>
      </c>
      <c r="C153" s="30" t="s">
        <v>38</v>
      </c>
      <c r="D153" s="18"/>
      <c r="E153" s="18"/>
      <c r="F153" s="917"/>
      <c r="G153" s="18" t="s">
        <v>18</v>
      </c>
      <c r="H153" s="18" t="s">
        <v>19</v>
      </c>
      <c r="I153" s="937"/>
      <c r="J153" s="919"/>
      <c r="K153" s="922"/>
      <c r="L153" s="932"/>
      <c r="M153" s="935"/>
      <c r="N153" s="18"/>
      <c r="O153" s="76"/>
      <c r="P153" s="77"/>
      <c r="Q153" s="76"/>
      <c r="R153" s="22"/>
      <c r="S153" s="21"/>
      <c r="T153" s="23"/>
      <c r="U153" s="21">
        <v>3</v>
      </c>
      <c r="V153" s="23" t="s">
        <v>58</v>
      </c>
      <c r="W153" s="533"/>
      <c r="X153" s="539"/>
      <c r="Y153" s="533">
        <v>6</v>
      </c>
      <c r="Z153" s="16">
        <v>6</v>
      </c>
      <c r="AA153" s="18"/>
      <c r="AB153" s="17"/>
      <c r="AC153" s="23"/>
      <c r="AD153" s="941"/>
      <c r="AE153" s="944"/>
      <c r="AF153" s="498"/>
      <c r="AG153" s="498"/>
      <c r="AH153" s="498"/>
      <c r="AI153" s="498"/>
      <c r="AJ153" s="498"/>
      <c r="AK153" s="715">
        <v>50000</v>
      </c>
      <c r="AL153" s="498"/>
      <c r="AM153" s="498"/>
      <c r="AN153" s="498"/>
      <c r="AO153" s="498"/>
      <c r="AP153" s="498"/>
      <c r="AQ153" s="498"/>
      <c r="AR153" s="498"/>
      <c r="AS153" s="498"/>
      <c r="AT153" s="498"/>
      <c r="AU153" s="498"/>
      <c r="AV153" s="922"/>
    </row>
    <row r="154" spans="1:48" ht="27.6">
      <c r="A154" s="23"/>
      <c r="B154" s="26" t="s">
        <v>12</v>
      </c>
      <c r="C154" s="25" t="s">
        <v>1446</v>
      </c>
      <c r="D154" s="21"/>
      <c r="E154" s="24"/>
      <c r="F154" s="917"/>
      <c r="G154" s="18"/>
      <c r="H154" s="21"/>
      <c r="I154" s="937"/>
      <c r="J154" s="919"/>
      <c r="K154" s="922"/>
      <c r="L154" s="932"/>
      <c r="M154" s="935"/>
      <c r="N154" s="18"/>
      <c r="O154" s="24"/>
      <c r="P154" s="23"/>
      <c r="Q154" s="21"/>
      <c r="R154" s="22"/>
      <c r="S154" s="17"/>
      <c r="T154" s="19"/>
      <c r="U154" s="530">
        <v>4</v>
      </c>
      <c r="V154" s="544" t="s">
        <v>56</v>
      </c>
      <c r="W154" s="554"/>
      <c r="X154" s="560"/>
      <c r="Y154" s="554">
        <v>10</v>
      </c>
      <c r="Z154" s="19">
        <v>10</v>
      </c>
      <c r="AA154" s="18"/>
      <c r="AB154" s="17"/>
      <c r="AC154" s="16"/>
      <c r="AD154" s="941"/>
      <c r="AE154" s="944"/>
      <c r="AF154" s="498"/>
      <c r="AG154" s="498"/>
      <c r="AH154" s="498"/>
      <c r="AI154" s="498"/>
      <c r="AJ154" s="498"/>
      <c r="AK154" s="715">
        <v>10000</v>
      </c>
      <c r="AL154" s="498"/>
      <c r="AM154" s="498"/>
      <c r="AN154" s="498"/>
      <c r="AO154" s="498"/>
      <c r="AP154" s="498"/>
      <c r="AQ154" s="498"/>
      <c r="AR154" s="498"/>
      <c r="AS154" s="498"/>
      <c r="AT154" s="498"/>
      <c r="AU154" s="498"/>
      <c r="AV154" s="922"/>
    </row>
    <row r="155" spans="1:48">
      <c r="A155" s="23"/>
      <c r="B155" s="22" t="s">
        <v>8</v>
      </c>
      <c r="C155" s="62" t="s">
        <v>1444</v>
      </c>
      <c r="D155" s="21"/>
      <c r="E155" s="24"/>
      <c r="F155" s="917"/>
      <c r="G155" s="18"/>
      <c r="H155" s="21"/>
      <c r="I155" s="937"/>
      <c r="J155" s="919"/>
      <c r="K155" s="922"/>
      <c r="L155" s="932"/>
      <c r="M155" s="935"/>
      <c r="N155" s="18"/>
      <c r="O155" s="24"/>
      <c r="P155" s="23"/>
      <c r="Q155" s="21"/>
      <c r="R155" s="26"/>
      <c r="S155" s="73"/>
      <c r="T155" s="32"/>
      <c r="U155" s="73"/>
      <c r="V155" s="525"/>
      <c r="W155" s="532"/>
      <c r="X155" s="557"/>
      <c r="Y155" s="532"/>
      <c r="Z155" s="16"/>
      <c r="AA155" s="18"/>
      <c r="AB155" s="17"/>
      <c r="AC155" s="16"/>
      <c r="AD155" s="941"/>
      <c r="AE155" s="944"/>
      <c r="AF155" s="498"/>
      <c r="AG155" s="498"/>
      <c r="AH155" s="498"/>
      <c r="AI155" s="498"/>
      <c r="AJ155" s="498"/>
      <c r="AK155" s="715"/>
      <c r="AL155" s="498"/>
      <c r="AM155" s="498"/>
      <c r="AN155" s="498"/>
      <c r="AO155" s="498"/>
      <c r="AP155" s="498"/>
      <c r="AQ155" s="498"/>
      <c r="AR155" s="498"/>
      <c r="AS155" s="498"/>
      <c r="AT155" s="498"/>
      <c r="AU155" s="498"/>
      <c r="AV155" s="922"/>
    </row>
    <row r="156" spans="1:48">
      <c r="A156" s="55"/>
      <c r="B156" s="11"/>
      <c r="C156" s="15"/>
      <c r="D156" s="7"/>
      <c r="E156" s="14"/>
      <c r="F156" s="918"/>
      <c r="G156" s="7"/>
      <c r="H156" s="10"/>
      <c r="I156" s="938"/>
      <c r="J156" s="920"/>
      <c r="K156" s="923"/>
      <c r="L156" s="933"/>
      <c r="M156" s="936"/>
      <c r="N156" s="7"/>
      <c r="O156" s="13"/>
      <c r="P156" s="12"/>
      <c r="Q156" s="10"/>
      <c r="R156" s="11"/>
      <c r="S156" s="72"/>
      <c r="T156" s="23"/>
      <c r="U156" s="21"/>
      <c r="V156" s="23"/>
      <c r="W156" s="533"/>
      <c r="X156" s="539"/>
      <c r="Y156" s="533"/>
      <c r="Z156" s="5"/>
      <c r="AA156" s="7"/>
      <c r="AB156" s="6"/>
      <c r="AC156" s="5"/>
      <c r="AD156" s="942"/>
      <c r="AE156" s="945"/>
      <c r="AF156" s="499"/>
      <c r="AG156" s="499"/>
      <c r="AH156" s="499"/>
      <c r="AI156" s="499"/>
      <c r="AJ156" s="499"/>
      <c r="AK156" s="719"/>
      <c r="AL156" s="499"/>
      <c r="AM156" s="499"/>
      <c r="AN156" s="499"/>
      <c r="AO156" s="499"/>
      <c r="AP156" s="499"/>
      <c r="AQ156" s="499"/>
      <c r="AR156" s="499"/>
      <c r="AS156" s="499"/>
      <c r="AT156" s="499"/>
      <c r="AU156" s="499"/>
      <c r="AV156" s="923"/>
    </row>
    <row r="157" spans="1:48">
      <c r="A157" s="46" t="s">
        <v>694</v>
      </c>
      <c r="B157" s="78" t="s">
        <v>25</v>
      </c>
      <c r="C157" s="94" t="s">
        <v>1451</v>
      </c>
      <c r="D157" s="36"/>
      <c r="E157" s="44"/>
      <c r="F157" s="916" t="s">
        <v>1460</v>
      </c>
      <c r="G157" s="43" t="s">
        <v>25</v>
      </c>
      <c r="H157" s="35" t="s">
        <v>1397</v>
      </c>
      <c r="I157" s="939" t="s">
        <v>1459</v>
      </c>
      <c r="J157" s="927"/>
      <c r="K157" s="922" t="s">
        <v>1458</v>
      </c>
      <c r="L157" s="931" t="s">
        <v>46</v>
      </c>
      <c r="M157" s="934" t="s">
        <v>46</v>
      </c>
      <c r="N157" s="36"/>
      <c r="O157" s="56"/>
      <c r="P157" s="37"/>
      <c r="Q157" s="49"/>
      <c r="R157" s="22" t="s">
        <v>25</v>
      </c>
      <c r="S157" s="31" t="s">
        <v>24</v>
      </c>
      <c r="T157" s="39">
        <v>3</v>
      </c>
      <c r="U157" s="528">
        <v>1</v>
      </c>
      <c r="V157" s="524" t="s">
        <v>58</v>
      </c>
      <c r="W157" s="558"/>
      <c r="X157" s="556"/>
      <c r="Y157" s="558">
        <v>116</v>
      </c>
      <c r="Z157" s="16">
        <v>116</v>
      </c>
      <c r="AA157" s="36"/>
      <c r="AB157" s="56"/>
      <c r="AC157" s="34"/>
      <c r="AD157" s="940"/>
      <c r="AE157" s="943"/>
      <c r="AF157" s="497"/>
      <c r="AG157" s="497"/>
      <c r="AH157" s="497"/>
      <c r="AI157" s="497"/>
      <c r="AJ157" s="497"/>
      <c r="AK157" s="718">
        <v>50000</v>
      </c>
      <c r="AL157" s="497"/>
      <c r="AM157" s="497"/>
      <c r="AN157" s="497"/>
      <c r="AO157" s="497"/>
      <c r="AP157" s="497"/>
      <c r="AQ157" s="497"/>
      <c r="AR157" s="497"/>
      <c r="AS157" s="497"/>
      <c r="AT157" s="497"/>
      <c r="AU157" s="497"/>
      <c r="AV157" s="921"/>
    </row>
    <row r="158" spans="1:48">
      <c r="A158" s="23"/>
      <c r="B158" s="22" t="s">
        <v>16</v>
      </c>
      <c r="C158" s="33" t="s">
        <v>1447</v>
      </c>
      <c r="D158" s="18"/>
      <c r="E158" s="17"/>
      <c r="F158" s="917"/>
      <c r="G158" s="18" t="s">
        <v>16</v>
      </c>
      <c r="H158" s="18" t="s">
        <v>19</v>
      </c>
      <c r="I158" s="937"/>
      <c r="J158" s="919"/>
      <c r="K158" s="922"/>
      <c r="L158" s="932"/>
      <c r="M158" s="935"/>
      <c r="N158" s="18"/>
      <c r="O158" s="17"/>
      <c r="P158" s="16"/>
      <c r="Q158" s="27"/>
      <c r="R158" s="22"/>
      <c r="S158" s="31"/>
      <c r="T158" s="32"/>
      <c r="U158" s="73">
        <v>2</v>
      </c>
      <c r="V158" s="525" t="s">
        <v>1211</v>
      </c>
      <c r="W158" s="532"/>
      <c r="X158" s="557"/>
      <c r="Y158" s="532">
        <v>34</v>
      </c>
      <c r="Z158" s="16">
        <v>34</v>
      </c>
      <c r="AA158" s="18"/>
      <c r="AB158" s="24"/>
      <c r="AC158" s="23"/>
      <c r="AD158" s="941"/>
      <c r="AE158" s="944"/>
      <c r="AF158" s="498"/>
      <c r="AG158" s="498"/>
      <c r="AH158" s="498"/>
      <c r="AI158" s="498"/>
      <c r="AJ158" s="498"/>
      <c r="AK158" s="715">
        <v>20000</v>
      </c>
      <c r="AL158" s="498"/>
      <c r="AM158" s="498"/>
      <c r="AN158" s="498"/>
      <c r="AO158" s="498"/>
      <c r="AP158" s="498"/>
      <c r="AQ158" s="498"/>
      <c r="AR158" s="498"/>
      <c r="AS158" s="498"/>
      <c r="AT158" s="498"/>
      <c r="AU158" s="498"/>
      <c r="AV158" s="922"/>
    </row>
    <row r="159" spans="1:48">
      <c r="A159" s="23"/>
      <c r="B159" s="22" t="s">
        <v>18</v>
      </c>
      <c r="C159" s="30" t="s">
        <v>38</v>
      </c>
      <c r="D159" s="18"/>
      <c r="E159" s="18"/>
      <c r="F159" s="917"/>
      <c r="G159" s="18" t="s">
        <v>18</v>
      </c>
      <c r="H159" s="18" t="s">
        <v>19</v>
      </c>
      <c r="I159" s="937"/>
      <c r="J159" s="919"/>
      <c r="K159" s="922"/>
      <c r="L159" s="932"/>
      <c r="M159" s="935"/>
      <c r="N159" s="18"/>
      <c r="O159" s="85"/>
      <c r="P159" s="16"/>
      <c r="Q159" s="27"/>
      <c r="R159" s="22"/>
      <c r="S159" s="31"/>
      <c r="T159" s="32"/>
      <c r="U159" s="73">
        <v>3</v>
      </c>
      <c r="V159" s="525" t="s">
        <v>1457</v>
      </c>
      <c r="W159" s="532"/>
      <c r="X159" s="557">
        <v>1</v>
      </c>
      <c r="Y159" s="532">
        <v>8</v>
      </c>
      <c r="Z159" s="19">
        <v>9</v>
      </c>
      <c r="AA159" s="18"/>
      <c r="AB159" s="17"/>
      <c r="AC159" s="23"/>
      <c r="AD159" s="941"/>
      <c r="AE159" s="944"/>
      <c r="AF159" s="498"/>
      <c r="AG159" s="498"/>
      <c r="AH159" s="498"/>
      <c r="AI159" s="498"/>
      <c r="AJ159" s="498"/>
      <c r="AK159" s="715"/>
      <c r="AL159" s="498"/>
      <c r="AM159" s="498"/>
      <c r="AN159" s="498"/>
      <c r="AO159" s="498"/>
      <c r="AP159" s="498"/>
      <c r="AQ159" s="498"/>
      <c r="AR159" s="498"/>
      <c r="AS159" s="498"/>
      <c r="AT159" s="498"/>
      <c r="AU159" s="498"/>
      <c r="AV159" s="922"/>
    </row>
    <row r="160" spans="1:48" ht="27.6">
      <c r="A160" s="23"/>
      <c r="B160" s="26" t="s">
        <v>12</v>
      </c>
      <c r="C160" s="25" t="s">
        <v>1446</v>
      </c>
      <c r="D160" s="18"/>
      <c r="E160" s="24"/>
      <c r="F160" s="917"/>
      <c r="G160" s="18"/>
      <c r="H160" s="21"/>
      <c r="I160" s="937"/>
      <c r="J160" s="919"/>
      <c r="K160" s="922"/>
      <c r="L160" s="932"/>
      <c r="M160" s="935"/>
      <c r="N160" s="18"/>
      <c r="O160" s="24"/>
      <c r="P160" s="23"/>
      <c r="Q160" s="21"/>
      <c r="R160" s="78"/>
      <c r="S160" s="33"/>
      <c r="T160" s="23"/>
      <c r="U160" s="531"/>
      <c r="V160" s="546"/>
      <c r="W160" s="539"/>
      <c r="X160" s="539"/>
      <c r="Y160" s="539"/>
      <c r="Z160" s="83"/>
      <c r="AA160" s="18"/>
      <c r="AB160" s="17"/>
      <c r="AC160" s="16"/>
      <c r="AD160" s="941"/>
      <c r="AE160" s="944"/>
      <c r="AF160" s="498"/>
      <c r="AG160" s="498"/>
      <c r="AH160" s="498"/>
      <c r="AI160" s="498"/>
      <c r="AJ160" s="498"/>
      <c r="AK160" s="715"/>
      <c r="AL160" s="498"/>
      <c r="AM160" s="498"/>
      <c r="AN160" s="498"/>
      <c r="AO160" s="498"/>
      <c r="AP160" s="498"/>
      <c r="AQ160" s="498"/>
      <c r="AR160" s="498"/>
      <c r="AS160" s="498"/>
      <c r="AT160" s="498"/>
      <c r="AU160" s="498"/>
      <c r="AV160" s="922"/>
    </row>
    <row r="161" spans="1:48">
      <c r="A161" s="26"/>
      <c r="B161" s="22" t="s">
        <v>8</v>
      </c>
      <c r="C161" s="62" t="s">
        <v>1452</v>
      </c>
      <c r="D161" s="18"/>
      <c r="E161" s="24"/>
      <c r="F161" s="917"/>
      <c r="G161" s="18"/>
      <c r="H161" s="21"/>
      <c r="I161" s="937"/>
      <c r="J161" s="919"/>
      <c r="K161" s="922"/>
      <c r="L161" s="932"/>
      <c r="M161" s="935"/>
      <c r="N161" s="18"/>
      <c r="O161" s="24"/>
      <c r="P161" s="23"/>
      <c r="Q161" s="21"/>
      <c r="R161" s="84" t="s">
        <v>16</v>
      </c>
      <c r="S161" s="111" t="s">
        <v>15</v>
      </c>
      <c r="T161" s="32">
        <v>5</v>
      </c>
      <c r="U161" s="73">
        <v>1</v>
      </c>
      <c r="V161" s="525" t="s">
        <v>654</v>
      </c>
      <c r="W161" s="532"/>
      <c r="X161" s="557"/>
      <c r="Y161" s="532">
        <v>58</v>
      </c>
      <c r="Z161" s="16">
        <v>58</v>
      </c>
      <c r="AA161" s="18"/>
      <c r="AB161" s="17"/>
      <c r="AC161" s="16"/>
      <c r="AD161" s="941"/>
      <c r="AE161" s="944"/>
      <c r="AF161" s="498"/>
      <c r="AG161" s="498"/>
      <c r="AH161" s="498"/>
      <c r="AI161" s="498"/>
      <c r="AJ161" s="498"/>
      <c r="AK161" s="715">
        <v>115500</v>
      </c>
      <c r="AL161" s="498"/>
      <c r="AM161" s="498"/>
      <c r="AN161" s="498"/>
      <c r="AO161" s="498"/>
      <c r="AP161" s="498"/>
      <c r="AQ161" s="498"/>
      <c r="AR161" s="498"/>
      <c r="AS161" s="498"/>
      <c r="AT161" s="498"/>
      <c r="AU161" s="498"/>
      <c r="AV161" s="922"/>
    </row>
    <row r="162" spans="1:48">
      <c r="A162" s="23"/>
      <c r="B162" s="22"/>
      <c r="C162" s="25"/>
      <c r="D162" s="18"/>
      <c r="E162" s="24"/>
      <c r="F162" s="917"/>
      <c r="G162" s="18"/>
      <c r="H162" s="21"/>
      <c r="I162" s="937"/>
      <c r="J162" s="919"/>
      <c r="K162" s="922"/>
      <c r="L162" s="932"/>
      <c r="M162" s="935"/>
      <c r="N162" s="18"/>
      <c r="O162" s="24"/>
      <c r="P162" s="23"/>
      <c r="Q162" s="21"/>
      <c r="R162" s="22"/>
      <c r="S162" s="31"/>
      <c r="T162" s="32"/>
      <c r="U162" s="73">
        <v>2</v>
      </c>
      <c r="V162" s="525" t="s">
        <v>1422</v>
      </c>
      <c r="W162" s="532"/>
      <c r="X162" s="557"/>
      <c r="Y162" s="532">
        <v>1</v>
      </c>
      <c r="Z162" s="16">
        <v>1</v>
      </c>
      <c r="AA162" s="18"/>
      <c r="AB162" s="17"/>
      <c r="AC162" s="16"/>
      <c r="AD162" s="941"/>
      <c r="AE162" s="944"/>
      <c r="AF162" s="498"/>
      <c r="AG162" s="498"/>
      <c r="AH162" s="498"/>
      <c r="AI162" s="498"/>
      <c r="AJ162" s="498"/>
      <c r="AK162" s="715">
        <v>3300</v>
      </c>
      <c r="AL162" s="498"/>
      <c r="AM162" s="498"/>
      <c r="AN162" s="498"/>
      <c r="AO162" s="498"/>
      <c r="AP162" s="498"/>
      <c r="AQ162" s="498"/>
      <c r="AR162" s="498"/>
      <c r="AS162" s="498"/>
      <c r="AT162" s="498"/>
      <c r="AU162" s="498"/>
      <c r="AV162" s="922"/>
    </row>
    <row r="163" spans="1:48">
      <c r="A163" s="23"/>
      <c r="B163" s="22"/>
      <c r="C163" s="25"/>
      <c r="D163" s="18"/>
      <c r="E163" s="24"/>
      <c r="F163" s="917"/>
      <c r="G163" s="18"/>
      <c r="H163" s="21"/>
      <c r="I163" s="937"/>
      <c r="J163" s="919"/>
      <c r="K163" s="922"/>
      <c r="L163" s="932"/>
      <c r="M163" s="935"/>
      <c r="N163" s="18"/>
      <c r="O163" s="24"/>
      <c r="P163" s="23"/>
      <c r="Q163" s="21"/>
      <c r="R163" s="22"/>
      <c r="S163" s="31"/>
      <c r="T163" s="32"/>
      <c r="U163" s="73">
        <v>3</v>
      </c>
      <c r="V163" s="525" t="s">
        <v>1440</v>
      </c>
      <c r="W163" s="532"/>
      <c r="X163" s="557"/>
      <c r="Y163" s="532">
        <v>30</v>
      </c>
      <c r="Z163" s="19">
        <v>30</v>
      </c>
      <c r="AA163" s="18"/>
      <c r="AB163" s="17"/>
      <c r="AC163" s="16"/>
      <c r="AD163" s="941"/>
      <c r="AE163" s="944"/>
      <c r="AF163" s="498"/>
      <c r="AG163" s="498"/>
      <c r="AH163" s="498"/>
      <c r="AI163" s="498"/>
      <c r="AJ163" s="498"/>
      <c r="AK163" s="715">
        <v>148500</v>
      </c>
      <c r="AL163" s="498"/>
      <c r="AM163" s="498"/>
      <c r="AN163" s="498"/>
      <c r="AO163" s="498"/>
      <c r="AP163" s="498"/>
      <c r="AQ163" s="498"/>
      <c r="AR163" s="498"/>
      <c r="AS163" s="498"/>
      <c r="AT163" s="498"/>
      <c r="AU163" s="498"/>
      <c r="AV163" s="922"/>
    </row>
    <row r="164" spans="1:48">
      <c r="A164" s="23"/>
      <c r="B164" s="22"/>
      <c r="C164" s="25"/>
      <c r="D164" s="18"/>
      <c r="E164" s="24"/>
      <c r="F164" s="917"/>
      <c r="G164" s="18"/>
      <c r="H164" s="21"/>
      <c r="I164" s="937"/>
      <c r="J164" s="919"/>
      <c r="K164" s="922"/>
      <c r="L164" s="932"/>
      <c r="M164" s="935"/>
      <c r="N164" s="18"/>
      <c r="O164" s="24"/>
      <c r="P164" s="23"/>
      <c r="Q164" s="21"/>
      <c r="R164" s="78"/>
      <c r="S164" s="17"/>
      <c r="T164" s="23"/>
      <c r="U164" s="526">
        <v>4</v>
      </c>
      <c r="V164" s="546" t="s">
        <v>1456</v>
      </c>
      <c r="W164" s="533"/>
      <c r="X164" s="539"/>
      <c r="Y164" s="533">
        <v>26</v>
      </c>
      <c r="Z164" s="19">
        <v>26</v>
      </c>
      <c r="AA164" s="18"/>
      <c r="AB164" s="17"/>
      <c r="AC164" s="16"/>
      <c r="AD164" s="941"/>
      <c r="AE164" s="944"/>
      <c r="AF164" s="498"/>
      <c r="AG164" s="498"/>
      <c r="AH164" s="498"/>
      <c r="AI164" s="498"/>
      <c r="AJ164" s="498"/>
      <c r="AK164" s="715">
        <v>66000</v>
      </c>
      <c r="AL164" s="498"/>
      <c r="AM164" s="498"/>
      <c r="AN164" s="498"/>
      <c r="AO164" s="498"/>
      <c r="AP164" s="498"/>
      <c r="AQ164" s="498"/>
      <c r="AR164" s="498"/>
      <c r="AS164" s="498"/>
      <c r="AT164" s="498"/>
      <c r="AU164" s="498"/>
      <c r="AV164" s="922"/>
    </row>
    <row r="165" spans="1:48">
      <c r="A165" s="12"/>
      <c r="B165" s="11"/>
      <c r="C165" s="15"/>
      <c r="D165" s="7"/>
      <c r="E165" s="14"/>
      <c r="F165" s="918"/>
      <c r="G165" s="7"/>
      <c r="H165" s="10"/>
      <c r="I165" s="938"/>
      <c r="J165" s="920"/>
      <c r="K165" s="923"/>
      <c r="L165" s="933"/>
      <c r="M165" s="936"/>
      <c r="N165" s="7"/>
      <c r="O165" s="13"/>
      <c r="P165" s="12"/>
      <c r="Q165" s="10"/>
      <c r="R165" s="11"/>
      <c r="S165" s="10"/>
      <c r="T165" s="12"/>
      <c r="U165" s="527">
        <v>5</v>
      </c>
      <c r="V165" s="547" t="s">
        <v>1422</v>
      </c>
      <c r="W165" s="538"/>
      <c r="X165" s="541"/>
      <c r="Y165" s="538">
        <v>296</v>
      </c>
      <c r="Z165" s="8">
        <v>296</v>
      </c>
      <c r="AA165" s="7"/>
      <c r="AB165" s="6"/>
      <c r="AC165" s="5"/>
      <c r="AD165" s="942"/>
      <c r="AE165" s="945"/>
      <c r="AF165" s="499"/>
      <c r="AG165" s="499"/>
      <c r="AH165" s="499"/>
      <c r="AI165" s="499"/>
      <c r="AJ165" s="499"/>
      <c r="AK165" s="719">
        <v>3300</v>
      </c>
      <c r="AL165" s="499"/>
      <c r="AM165" s="499"/>
      <c r="AN165" s="499"/>
      <c r="AO165" s="499"/>
      <c r="AP165" s="499"/>
      <c r="AQ165" s="499"/>
      <c r="AR165" s="499"/>
      <c r="AS165" s="499"/>
      <c r="AT165" s="499"/>
      <c r="AU165" s="499"/>
      <c r="AV165" s="923"/>
    </row>
    <row r="166" spans="1:48">
      <c r="A166" s="46" t="s">
        <v>687</v>
      </c>
      <c r="B166" s="40" t="s">
        <v>25</v>
      </c>
      <c r="C166" s="45" t="s">
        <v>1451</v>
      </c>
      <c r="D166" s="44"/>
      <c r="E166" s="71"/>
      <c r="F166" s="916" t="s">
        <v>1455</v>
      </c>
      <c r="G166" s="43" t="s">
        <v>25</v>
      </c>
      <c r="H166" s="35" t="s">
        <v>1397</v>
      </c>
      <c r="I166" s="939" t="s">
        <v>1454</v>
      </c>
      <c r="J166" s="49"/>
      <c r="K166" s="922" t="s">
        <v>1453</v>
      </c>
      <c r="L166" s="931" t="s">
        <v>46</v>
      </c>
      <c r="M166" s="934" t="s">
        <v>46</v>
      </c>
      <c r="N166" s="36"/>
      <c r="O166" s="41"/>
      <c r="P166" s="42"/>
      <c r="Q166" s="41"/>
      <c r="R166" s="22" t="s">
        <v>25</v>
      </c>
      <c r="S166" s="31" t="s">
        <v>24</v>
      </c>
      <c r="T166" s="39">
        <v>9</v>
      </c>
      <c r="U166" s="528">
        <v>1</v>
      </c>
      <c r="V166" s="524" t="s">
        <v>58</v>
      </c>
      <c r="W166" s="558"/>
      <c r="X166" s="556"/>
      <c r="Y166" s="558">
        <v>91</v>
      </c>
      <c r="Z166" s="16">
        <v>91</v>
      </c>
      <c r="AA166" s="36"/>
      <c r="AB166" s="56"/>
      <c r="AC166" s="34"/>
      <c r="AD166" s="940"/>
      <c r="AE166" s="943"/>
      <c r="AF166" s="497"/>
      <c r="AG166" s="497"/>
      <c r="AH166" s="497"/>
      <c r="AI166" s="497"/>
      <c r="AJ166" s="497"/>
      <c r="AK166" s="718">
        <v>50000</v>
      </c>
      <c r="AL166" s="497"/>
      <c r="AM166" s="497"/>
      <c r="AN166" s="497"/>
      <c r="AO166" s="497"/>
      <c r="AP166" s="497"/>
      <c r="AQ166" s="497"/>
      <c r="AR166" s="497"/>
      <c r="AS166" s="497"/>
      <c r="AT166" s="497"/>
      <c r="AU166" s="497"/>
      <c r="AV166" s="921"/>
    </row>
    <row r="167" spans="1:48">
      <c r="A167" s="23"/>
      <c r="B167" s="22" t="s">
        <v>16</v>
      </c>
      <c r="C167" s="33" t="s">
        <v>1447</v>
      </c>
      <c r="D167" s="18"/>
      <c r="E167" s="61"/>
      <c r="F167" s="917"/>
      <c r="G167" s="18" t="s">
        <v>16</v>
      </c>
      <c r="H167" s="18" t="s">
        <v>19</v>
      </c>
      <c r="I167" s="937"/>
      <c r="J167" s="27"/>
      <c r="K167" s="922"/>
      <c r="L167" s="932"/>
      <c r="M167" s="935"/>
      <c r="N167" s="18"/>
      <c r="O167" s="76"/>
      <c r="P167" s="77"/>
      <c r="Q167" s="76"/>
      <c r="R167" s="22"/>
      <c r="S167" s="31"/>
      <c r="T167" s="32"/>
      <c r="U167" s="73">
        <v>2</v>
      </c>
      <c r="V167" s="525" t="s">
        <v>1532</v>
      </c>
      <c r="W167" s="532"/>
      <c r="X167" s="557"/>
      <c r="Y167" s="532">
        <v>17</v>
      </c>
      <c r="Z167" s="19">
        <v>17</v>
      </c>
      <c r="AA167" s="18"/>
      <c r="AB167" s="24"/>
      <c r="AC167" s="23"/>
      <c r="AD167" s="941"/>
      <c r="AE167" s="944"/>
      <c r="AF167" s="498"/>
      <c r="AG167" s="498"/>
      <c r="AH167" s="498"/>
      <c r="AI167" s="498"/>
      <c r="AJ167" s="498"/>
      <c r="AK167" s="715">
        <v>20000</v>
      </c>
      <c r="AL167" s="498"/>
      <c r="AM167" s="498"/>
      <c r="AN167" s="498"/>
      <c r="AO167" s="498"/>
      <c r="AP167" s="498"/>
      <c r="AQ167" s="498"/>
      <c r="AR167" s="498"/>
      <c r="AS167" s="498"/>
      <c r="AT167" s="498"/>
      <c r="AU167" s="498"/>
      <c r="AV167" s="922"/>
    </row>
    <row r="168" spans="1:48">
      <c r="A168" s="23"/>
      <c r="B168" s="22" t="s">
        <v>18</v>
      </c>
      <c r="C168" s="30" t="s">
        <v>38</v>
      </c>
      <c r="D168" s="18"/>
      <c r="E168" s="61"/>
      <c r="F168" s="917"/>
      <c r="G168" s="18" t="s">
        <v>18</v>
      </c>
      <c r="H168" s="18" t="s">
        <v>19</v>
      </c>
      <c r="I168" s="937"/>
      <c r="J168" s="27"/>
      <c r="K168" s="922"/>
      <c r="L168" s="932"/>
      <c r="M168" s="935"/>
      <c r="N168" s="18"/>
      <c r="O168" s="24"/>
      <c r="P168" s="23"/>
      <c r="Q168" s="21"/>
      <c r="R168" s="22"/>
      <c r="S168" s="21"/>
      <c r="T168" s="23"/>
      <c r="U168" s="526">
        <v>3</v>
      </c>
      <c r="V168" s="546" t="s">
        <v>109</v>
      </c>
      <c r="W168" s="533"/>
      <c r="X168" s="539"/>
      <c r="Y168" s="533">
        <v>11</v>
      </c>
      <c r="Z168" s="19">
        <v>11</v>
      </c>
      <c r="AA168" s="18"/>
      <c r="AB168" s="17"/>
      <c r="AC168" s="23"/>
      <c r="AD168" s="941"/>
      <c r="AE168" s="944"/>
      <c r="AF168" s="498"/>
      <c r="AG168" s="498"/>
      <c r="AH168" s="498"/>
      <c r="AI168" s="498"/>
      <c r="AJ168" s="498"/>
      <c r="AK168" s="715">
        <v>10000</v>
      </c>
      <c r="AL168" s="498"/>
      <c r="AM168" s="498"/>
      <c r="AN168" s="498"/>
      <c r="AO168" s="498"/>
      <c r="AP168" s="498"/>
      <c r="AQ168" s="498"/>
      <c r="AR168" s="498"/>
      <c r="AS168" s="498"/>
      <c r="AT168" s="498"/>
      <c r="AU168" s="498"/>
      <c r="AV168" s="922"/>
    </row>
    <row r="169" spans="1:48" ht="27.6">
      <c r="A169" s="23"/>
      <c r="B169" s="26" t="s">
        <v>12</v>
      </c>
      <c r="C169" s="33" t="s">
        <v>1446</v>
      </c>
      <c r="D169" s="18"/>
      <c r="E169" s="61"/>
      <c r="F169" s="917"/>
      <c r="G169" s="18"/>
      <c r="H169" s="21"/>
      <c r="I169" s="937"/>
      <c r="J169" s="27"/>
      <c r="K169" s="922"/>
      <c r="L169" s="932"/>
      <c r="M169" s="935"/>
      <c r="N169" s="18"/>
      <c r="O169" s="24"/>
      <c r="P169" s="23"/>
      <c r="Q169" s="21"/>
      <c r="R169" s="78"/>
      <c r="S169" s="17"/>
      <c r="T169" s="23"/>
      <c r="U169" s="526"/>
      <c r="V169" s="546"/>
      <c r="W169" s="533"/>
      <c r="X169" s="539"/>
      <c r="Y169" s="533"/>
      <c r="Z169" s="19"/>
      <c r="AA169" s="18"/>
      <c r="AB169" s="17"/>
      <c r="AC169" s="16"/>
      <c r="AD169" s="941"/>
      <c r="AE169" s="944"/>
      <c r="AF169" s="498"/>
      <c r="AG169" s="498"/>
      <c r="AH169" s="498"/>
      <c r="AI169" s="498"/>
      <c r="AJ169" s="498"/>
      <c r="AK169" s="715"/>
      <c r="AL169" s="498"/>
      <c r="AM169" s="498"/>
      <c r="AN169" s="498"/>
      <c r="AO169" s="498"/>
      <c r="AP169" s="498"/>
      <c r="AQ169" s="498"/>
      <c r="AR169" s="498"/>
      <c r="AS169" s="498"/>
      <c r="AT169" s="498"/>
      <c r="AU169" s="498"/>
      <c r="AV169" s="922"/>
    </row>
    <row r="170" spans="1:48">
      <c r="A170" s="12"/>
      <c r="B170" s="11" t="s">
        <v>8</v>
      </c>
      <c r="C170" s="15" t="s">
        <v>1452</v>
      </c>
      <c r="D170" s="7"/>
      <c r="E170" s="14"/>
      <c r="F170" s="918"/>
      <c r="G170" s="7"/>
      <c r="H170" s="10"/>
      <c r="I170" s="938"/>
      <c r="J170" s="9"/>
      <c r="K170" s="923"/>
      <c r="L170" s="933"/>
      <c r="M170" s="936"/>
      <c r="N170" s="7"/>
      <c r="O170" s="13"/>
      <c r="P170" s="12"/>
      <c r="Q170" s="10"/>
      <c r="R170" s="22"/>
      <c r="S170" s="31"/>
      <c r="T170" s="32"/>
      <c r="U170" s="73"/>
      <c r="V170" s="525"/>
      <c r="W170" s="532"/>
      <c r="X170" s="557"/>
      <c r="Y170" s="532"/>
      <c r="Z170" s="8"/>
      <c r="AA170" s="7"/>
      <c r="AB170" s="6"/>
      <c r="AC170" s="5"/>
      <c r="AD170" s="942"/>
      <c r="AE170" s="945"/>
      <c r="AF170" s="499"/>
      <c r="AG170" s="499"/>
      <c r="AH170" s="499"/>
      <c r="AI170" s="499"/>
      <c r="AJ170" s="499"/>
      <c r="AK170" s="719"/>
      <c r="AL170" s="499"/>
      <c r="AM170" s="499"/>
      <c r="AN170" s="499"/>
      <c r="AO170" s="499"/>
      <c r="AP170" s="499"/>
      <c r="AQ170" s="499"/>
      <c r="AR170" s="499"/>
      <c r="AS170" s="499"/>
      <c r="AT170" s="499"/>
      <c r="AU170" s="499"/>
      <c r="AV170" s="923"/>
    </row>
    <row r="171" spans="1:48">
      <c r="A171" s="46" t="s">
        <v>681</v>
      </c>
      <c r="B171" s="40" t="s">
        <v>25</v>
      </c>
      <c r="C171" s="45" t="s">
        <v>1451</v>
      </c>
      <c r="D171" s="44"/>
      <c r="E171" s="82"/>
      <c r="F171" s="81"/>
      <c r="G171" s="43" t="s">
        <v>25</v>
      </c>
      <c r="H171" s="35" t="s">
        <v>1450</v>
      </c>
      <c r="I171" s="939" t="s">
        <v>1449</v>
      </c>
      <c r="J171" s="49"/>
      <c r="K171" s="922" t="s">
        <v>1448</v>
      </c>
      <c r="L171" s="931" t="s">
        <v>46</v>
      </c>
      <c r="M171" s="934" t="s">
        <v>46</v>
      </c>
      <c r="N171" s="36"/>
      <c r="O171" s="56"/>
      <c r="P171" s="37"/>
      <c r="Q171" s="49"/>
      <c r="R171" s="40" t="s">
        <v>25</v>
      </c>
      <c r="S171" s="38" t="s">
        <v>24</v>
      </c>
      <c r="T171" s="39">
        <v>4</v>
      </c>
      <c r="U171" s="528">
        <v>1</v>
      </c>
      <c r="V171" s="524" t="s">
        <v>109</v>
      </c>
      <c r="W171" s="558">
        <v>10</v>
      </c>
      <c r="X171" s="556"/>
      <c r="Y171" s="558"/>
      <c r="Z171" s="16">
        <v>321</v>
      </c>
      <c r="AA171" s="36"/>
      <c r="AB171" s="56"/>
      <c r="AC171" s="34"/>
      <c r="AD171" s="940"/>
      <c r="AE171" s="943"/>
      <c r="AF171" s="497"/>
      <c r="AG171" s="497"/>
      <c r="AH171" s="497"/>
      <c r="AI171" s="497"/>
      <c r="AJ171" s="497"/>
      <c r="AK171" s="718">
        <v>40000</v>
      </c>
      <c r="AL171" s="497"/>
      <c r="AM171" s="497"/>
      <c r="AN171" s="497"/>
      <c r="AO171" s="497"/>
      <c r="AP171" s="497"/>
      <c r="AQ171" s="497"/>
      <c r="AR171" s="497"/>
      <c r="AS171" s="497"/>
      <c r="AT171" s="497"/>
      <c r="AU171" s="497"/>
      <c r="AV171" s="921"/>
    </row>
    <row r="172" spans="1:48">
      <c r="A172" s="23"/>
      <c r="B172" s="22" t="s">
        <v>16</v>
      </c>
      <c r="C172" s="33" t="s">
        <v>1447</v>
      </c>
      <c r="D172" s="18"/>
      <c r="E172" s="62"/>
      <c r="F172" s="79"/>
      <c r="G172" s="18" t="s">
        <v>16</v>
      </c>
      <c r="H172" s="18" t="s">
        <v>19</v>
      </c>
      <c r="I172" s="937"/>
      <c r="J172" s="27"/>
      <c r="K172" s="922"/>
      <c r="L172" s="932"/>
      <c r="M172" s="935"/>
      <c r="N172" s="18"/>
      <c r="O172" s="17"/>
      <c r="P172" s="16"/>
      <c r="Q172" s="27"/>
      <c r="R172" s="22"/>
      <c r="S172" s="31"/>
      <c r="T172" s="32"/>
      <c r="U172" s="528">
        <v>1</v>
      </c>
      <c r="V172" s="524" t="s">
        <v>109</v>
      </c>
      <c r="W172" s="558"/>
      <c r="X172" s="556"/>
      <c r="Y172" s="558">
        <v>311</v>
      </c>
      <c r="Z172" s="19">
        <v>15</v>
      </c>
      <c r="AA172" s="18"/>
      <c r="AB172" s="24"/>
      <c r="AC172" s="23"/>
      <c r="AD172" s="941"/>
      <c r="AE172" s="944"/>
      <c r="AF172" s="498"/>
      <c r="AG172" s="498"/>
      <c r="AH172" s="498"/>
      <c r="AI172" s="498"/>
      <c r="AJ172" s="498"/>
      <c r="AK172" s="715">
        <v>10000</v>
      </c>
      <c r="AL172" s="498"/>
      <c r="AM172" s="498"/>
      <c r="AN172" s="498"/>
      <c r="AO172" s="498"/>
      <c r="AP172" s="498"/>
      <c r="AQ172" s="498"/>
      <c r="AR172" s="498"/>
      <c r="AS172" s="498"/>
      <c r="AT172" s="498"/>
      <c r="AU172" s="498"/>
      <c r="AV172" s="922"/>
    </row>
    <row r="173" spans="1:48">
      <c r="A173" s="23"/>
      <c r="B173" s="22" t="s">
        <v>18</v>
      </c>
      <c r="C173" s="30" t="s">
        <v>38</v>
      </c>
      <c r="D173" s="18"/>
      <c r="E173" s="62"/>
      <c r="F173" s="80"/>
      <c r="G173" s="18" t="s">
        <v>18</v>
      </c>
      <c r="H173" s="18" t="s">
        <v>19</v>
      </c>
      <c r="I173" s="937"/>
      <c r="J173" s="27"/>
      <c r="K173" s="922"/>
      <c r="L173" s="932"/>
      <c r="M173" s="935"/>
      <c r="N173" s="18"/>
      <c r="O173" s="24"/>
      <c r="P173" s="28"/>
      <c r="Q173" s="21"/>
      <c r="R173" s="22"/>
      <c r="S173" s="21"/>
      <c r="T173" s="23"/>
      <c r="U173" s="532">
        <v>2</v>
      </c>
      <c r="V173" s="525" t="s">
        <v>1211</v>
      </c>
      <c r="W173" s="532"/>
      <c r="X173" s="557"/>
      <c r="Y173" s="532">
        <v>15</v>
      </c>
      <c r="Z173" s="19">
        <v>7</v>
      </c>
      <c r="AA173" s="18"/>
      <c r="AB173" s="24"/>
      <c r="AC173" s="23"/>
      <c r="AD173" s="941"/>
      <c r="AE173" s="944"/>
      <c r="AF173" s="498"/>
      <c r="AG173" s="498"/>
      <c r="AH173" s="498"/>
      <c r="AI173" s="498"/>
      <c r="AJ173" s="498"/>
      <c r="AK173" s="715">
        <v>20000</v>
      </c>
      <c r="AL173" s="498"/>
      <c r="AM173" s="498"/>
      <c r="AN173" s="498"/>
      <c r="AO173" s="498"/>
      <c r="AP173" s="498"/>
      <c r="AQ173" s="498"/>
      <c r="AR173" s="498"/>
      <c r="AS173" s="498"/>
      <c r="AT173" s="498"/>
      <c r="AU173" s="498"/>
      <c r="AV173" s="922"/>
    </row>
    <row r="174" spans="1:48" ht="27.6">
      <c r="A174" s="23"/>
      <c r="B174" s="26" t="s">
        <v>12</v>
      </c>
      <c r="C174" s="25" t="s">
        <v>1446</v>
      </c>
      <c r="D174" s="18"/>
      <c r="E174" s="62"/>
      <c r="F174" s="80"/>
      <c r="G174" s="18"/>
      <c r="H174" s="21"/>
      <c r="I174" s="937"/>
      <c r="J174" s="27"/>
      <c r="K174" s="922"/>
      <c r="L174" s="932"/>
      <c r="M174" s="935"/>
      <c r="N174" s="18"/>
      <c r="O174" s="24"/>
      <c r="P174" s="23"/>
      <c r="Q174" s="21"/>
      <c r="R174" s="78"/>
      <c r="S174" s="17"/>
      <c r="T174" s="23"/>
      <c r="U174" s="533">
        <v>3</v>
      </c>
      <c r="V174" s="548" t="s">
        <v>56</v>
      </c>
      <c r="W174" s="533"/>
      <c r="X174" s="539"/>
      <c r="Y174" s="533">
        <v>7</v>
      </c>
      <c r="Z174" s="19">
        <v>6</v>
      </c>
      <c r="AA174" s="18"/>
      <c r="AB174" s="17"/>
      <c r="AC174" s="16"/>
      <c r="AD174" s="941"/>
      <c r="AE174" s="944"/>
      <c r="AF174" s="498"/>
      <c r="AG174" s="498"/>
      <c r="AH174" s="498"/>
      <c r="AI174" s="498"/>
      <c r="AJ174" s="498"/>
      <c r="AK174" s="715">
        <v>10000</v>
      </c>
      <c r="AL174" s="498"/>
      <c r="AM174" s="498"/>
      <c r="AN174" s="498"/>
      <c r="AO174" s="498"/>
      <c r="AP174" s="498"/>
      <c r="AQ174" s="498"/>
      <c r="AR174" s="498"/>
      <c r="AS174" s="498"/>
      <c r="AT174" s="498"/>
      <c r="AU174" s="498"/>
      <c r="AV174" s="922"/>
    </row>
    <row r="175" spans="1:48">
      <c r="A175" s="26"/>
      <c r="B175" s="22" t="s">
        <v>8</v>
      </c>
      <c r="C175" s="62" t="s">
        <v>1444</v>
      </c>
      <c r="D175" s="24"/>
      <c r="E175" s="62"/>
      <c r="F175" s="80" t="s">
        <v>1443</v>
      </c>
      <c r="G175" s="18"/>
      <c r="H175" s="21"/>
      <c r="I175" s="937"/>
      <c r="J175" s="27"/>
      <c r="K175" s="922"/>
      <c r="L175" s="932"/>
      <c r="M175" s="935"/>
      <c r="N175" s="18"/>
      <c r="O175" s="24"/>
      <c r="P175" s="23"/>
      <c r="Q175" s="21"/>
      <c r="R175" s="78"/>
      <c r="S175" s="17"/>
      <c r="T175" s="23"/>
      <c r="U175" s="526">
        <v>4</v>
      </c>
      <c r="V175" s="546" t="s">
        <v>1445</v>
      </c>
      <c r="W175" s="533"/>
      <c r="X175" s="539"/>
      <c r="Y175" s="533">
        <v>6</v>
      </c>
      <c r="Z175" s="19"/>
      <c r="AA175" s="18"/>
      <c r="AB175" s="17"/>
      <c r="AC175" s="16"/>
      <c r="AD175" s="941"/>
      <c r="AE175" s="944"/>
      <c r="AF175" s="498"/>
      <c r="AG175" s="498"/>
      <c r="AH175" s="498"/>
      <c r="AI175" s="498"/>
      <c r="AJ175" s="498"/>
      <c r="AK175" s="715"/>
      <c r="AL175" s="498"/>
      <c r="AM175" s="498"/>
      <c r="AN175" s="498"/>
      <c r="AO175" s="498"/>
      <c r="AP175" s="498"/>
      <c r="AQ175" s="498"/>
      <c r="AR175" s="498"/>
      <c r="AS175" s="498"/>
      <c r="AT175" s="498"/>
      <c r="AU175" s="498"/>
      <c r="AV175" s="922"/>
    </row>
    <row r="176" spans="1:48">
      <c r="A176" s="26"/>
      <c r="B176" s="110"/>
      <c r="C176" s="75"/>
      <c r="D176" s="24"/>
      <c r="E176" s="62"/>
      <c r="F176" s="80" t="s">
        <v>1442</v>
      </c>
      <c r="G176" s="18"/>
      <c r="H176" s="21"/>
      <c r="I176" s="937"/>
      <c r="J176" s="27"/>
      <c r="K176" s="922"/>
      <c r="L176" s="932"/>
      <c r="M176" s="935"/>
      <c r="N176" s="18"/>
      <c r="O176" s="24"/>
      <c r="P176" s="23"/>
      <c r="Q176" s="21"/>
      <c r="R176" s="26" t="s">
        <v>16</v>
      </c>
      <c r="S176" s="73" t="s">
        <v>15</v>
      </c>
      <c r="T176" s="32">
        <v>6</v>
      </c>
      <c r="U176" s="532">
        <v>1</v>
      </c>
      <c r="V176" s="525" t="s">
        <v>1529</v>
      </c>
      <c r="W176" s="532"/>
      <c r="X176" s="557"/>
      <c r="Y176" s="532">
        <v>974</v>
      </c>
      <c r="Z176" s="19">
        <v>974</v>
      </c>
      <c r="AA176" s="18"/>
      <c r="AB176" s="17"/>
      <c r="AC176" s="16"/>
      <c r="AD176" s="941"/>
      <c r="AE176" s="944"/>
      <c r="AF176" s="498"/>
      <c r="AG176" s="498"/>
      <c r="AH176" s="498"/>
      <c r="AI176" s="498"/>
      <c r="AJ176" s="498"/>
      <c r="AK176" s="715">
        <v>600</v>
      </c>
      <c r="AL176" s="498"/>
      <c r="AM176" s="498"/>
      <c r="AN176" s="498"/>
      <c r="AO176" s="498"/>
      <c r="AP176" s="498"/>
      <c r="AQ176" s="498"/>
      <c r="AR176" s="498"/>
      <c r="AS176" s="498"/>
      <c r="AT176" s="498"/>
      <c r="AU176" s="498"/>
      <c r="AV176" s="922"/>
    </row>
    <row r="177" spans="1:48">
      <c r="A177" s="23"/>
      <c r="B177" s="26"/>
      <c r="C177" s="25"/>
      <c r="D177" s="18"/>
      <c r="E177" s="62"/>
      <c r="F177" s="80" t="s">
        <v>1441</v>
      </c>
      <c r="G177" s="18"/>
      <c r="H177" s="21"/>
      <c r="I177" s="937"/>
      <c r="J177" s="27"/>
      <c r="K177" s="922"/>
      <c r="L177" s="932"/>
      <c r="M177" s="935"/>
      <c r="N177" s="18"/>
      <c r="O177" s="24"/>
      <c r="P177" s="23"/>
      <c r="Q177" s="21"/>
      <c r="R177" s="22"/>
      <c r="S177" s="21"/>
      <c r="T177" s="23"/>
      <c r="U177" s="533">
        <v>2</v>
      </c>
      <c r="V177" s="548" t="s">
        <v>654</v>
      </c>
      <c r="W177" s="533"/>
      <c r="X177" s="539"/>
      <c r="Y177" s="533">
        <v>23</v>
      </c>
      <c r="Z177" s="19">
        <v>23</v>
      </c>
      <c r="AA177" s="18"/>
      <c r="AB177" s="17"/>
      <c r="AC177" s="16"/>
      <c r="AD177" s="941"/>
      <c r="AE177" s="944"/>
      <c r="AF177" s="498"/>
      <c r="AG177" s="498"/>
      <c r="AH177" s="498"/>
      <c r="AI177" s="498"/>
      <c r="AJ177" s="498"/>
      <c r="AK177" s="715">
        <v>155500</v>
      </c>
      <c r="AL177" s="498"/>
      <c r="AM177" s="498"/>
      <c r="AN177" s="498"/>
      <c r="AO177" s="498"/>
      <c r="AP177" s="498"/>
      <c r="AQ177" s="498"/>
      <c r="AR177" s="498"/>
      <c r="AS177" s="498"/>
      <c r="AT177" s="498"/>
      <c r="AU177" s="498"/>
      <c r="AV177" s="922"/>
    </row>
    <row r="178" spans="1:48">
      <c r="A178" s="23"/>
      <c r="B178" s="26"/>
      <c r="C178" s="25"/>
      <c r="D178" s="18"/>
      <c r="E178" s="62"/>
      <c r="F178" s="80"/>
      <c r="G178" s="18"/>
      <c r="H178" s="21"/>
      <c r="I178" s="937"/>
      <c r="J178" s="27"/>
      <c r="K178" s="922"/>
      <c r="L178" s="932"/>
      <c r="M178" s="935"/>
      <c r="N178" s="18"/>
      <c r="O178" s="24"/>
      <c r="P178" s="23"/>
      <c r="Q178" s="21"/>
      <c r="R178" s="78"/>
      <c r="S178" s="17"/>
      <c r="T178" s="23"/>
      <c r="U178" s="526">
        <v>3</v>
      </c>
      <c r="V178" s="546" t="s">
        <v>1440</v>
      </c>
      <c r="W178" s="533"/>
      <c r="X178" s="539"/>
      <c r="Y178" s="533">
        <v>13</v>
      </c>
      <c r="Z178" s="19">
        <v>13</v>
      </c>
      <c r="AA178" s="18"/>
      <c r="AB178" s="17"/>
      <c r="AC178" s="16"/>
      <c r="AD178" s="941"/>
      <c r="AE178" s="944"/>
      <c r="AF178" s="498"/>
      <c r="AG178" s="498"/>
      <c r="AH178" s="498"/>
      <c r="AI178" s="498"/>
      <c r="AJ178" s="498"/>
      <c r="AK178" s="715">
        <v>148500</v>
      </c>
      <c r="AL178" s="498"/>
      <c r="AM178" s="498"/>
      <c r="AN178" s="498"/>
      <c r="AO178" s="498"/>
      <c r="AP178" s="498"/>
      <c r="AQ178" s="498"/>
      <c r="AR178" s="498"/>
      <c r="AS178" s="498"/>
      <c r="AT178" s="498"/>
      <c r="AU178" s="498"/>
      <c r="AV178" s="922"/>
    </row>
    <row r="179" spans="1:48">
      <c r="A179" s="23"/>
      <c r="B179" s="26"/>
      <c r="C179" s="25"/>
      <c r="D179" s="18"/>
      <c r="E179" s="62"/>
      <c r="F179" s="80"/>
      <c r="G179" s="18"/>
      <c r="H179" s="21"/>
      <c r="I179" s="937"/>
      <c r="J179" s="27"/>
      <c r="K179" s="922"/>
      <c r="L179" s="932"/>
      <c r="M179" s="935"/>
      <c r="N179" s="18"/>
      <c r="O179" s="24"/>
      <c r="P179" s="23"/>
      <c r="Q179" s="21"/>
      <c r="R179" s="78"/>
      <c r="S179" s="17"/>
      <c r="T179" s="23"/>
      <c r="U179" s="526">
        <v>4</v>
      </c>
      <c r="V179" s="546" t="s">
        <v>1400</v>
      </c>
      <c r="W179" s="533"/>
      <c r="X179" s="539"/>
      <c r="Y179" s="533">
        <v>10</v>
      </c>
      <c r="Z179" s="19">
        <v>10</v>
      </c>
      <c r="AA179" s="18"/>
      <c r="AB179" s="17"/>
      <c r="AC179" s="16"/>
      <c r="AD179" s="941"/>
      <c r="AE179" s="944"/>
      <c r="AF179" s="498"/>
      <c r="AG179" s="498"/>
      <c r="AH179" s="498"/>
      <c r="AI179" s="498"/>
      <c r="AJ179" s="498"/>
      <c r="AK179" s="715">
        <v>41250</v>
      </c>
      <c r="AL179" s="498"/>
      <c r="AM179" s="498"/>
      <c r="AN179" s="498"/>
      <c r="AO179" s="498"/>
      <c r="AP179" s="498"/>
      <c r="AQ179" s="498"/>
      <c r="AR179" s="498"/>
      <c r="AS179" s="498"/>
      <c r="AT179" s="498"/>
      <c r="AU179" s="498"/>
      <c r="AV179" s="922"/>
    </row>
    <row r="180" spans="1:48">
      <c r="A180" s="23"/>
      <c r="B180" s="26"/>
      <c r="C180" s="25"/>
      <c r="D180" s="18"/>
      <c r="E180" s="62"/>
      <c r="F180" s="79"/>
      <c r="G180" s="18"/>
      <c r="H180" s="21"/>
      <c r="I180" s="937"/>
      <c r="J180" s="27"/>
      <c r="K180" s="922"/>
      <c r="L180" s="932"/>
      <c r="M180" s="935"/>
      <c r="N180" s="18"/>
      <c r="O180" s="24"/>
      <c r="P180" s="23"/>
      <c r="Q180" s="21"/>
      <c r="R180" s="78"/>
      <c r="S180" s="17"/>
      <c r="T180" s="23"/>
      <c r="U180" s="526">
        <v>5</v>
      </c>
      <c r="V180" s="546" t="s">
        <v>1439</v>
      </c>
      <c r="W180" s="533"/>
      <c r="X180" s="539"/>
      <c r="Y180" s="533">
        <v>72</v>
      </c>
      <c r="Z180" s="19">
        <v>72</v>
      </c>
      <c r="AA180" s="18"/>
      <c r="AB180" s="17"/>
      <c r="AC180" s="16"/>
      <c r="AD180" s="941"/>
      <c r="AE180" s="944"/>
      <c r="AF180" s="498"/>
      <c r="AG180" s="498"/>
      <c r="AH180" s="498"/>
      <c r="AI180" s="498"/>
      <c r="AJ180" s="498"/>
      <c r="AK180" s="715">
        <v>1500000</v>
      </c>
      <c r="AL180" s="498"/>
      <c r="AM180" s="498"/>
      <c r="AN180" s="498"/>
      <c r="AO180" s="498"/>
      <c r="AP180" s="498"/>
      <c r="AQ180" s="498"/>
      <c r="AR180" s="498"/>
      <c r="AS180" s="498"/>
      <c r="AT180" s="498"/>
      <c r="AU180" s="498"/>
      <c r="AV180" s="922"/>
    </row>
    <row r="181" spans="1:48">
      <c r="A181" s="23"/>
      <c r="B181" s="26"/>
      <c r="C181" s="25"/>
      <c r="D181" s="18"/>
      <c r="E181" s="62"/>
      <c r="F181" s="79"/>
      <c r="G181" s="18"/>
      <c r="H181" s="21"/>
      <c r="I181" s="937"/>
      <c r="J181" s="27"/>
      <c r="K181" s="922"/>
      <c r="L181" s="932"/>
      <c r="M181" s="935"/>
      <c r="N181" s="18"/>
      <c r="O181" s="24"/>
      <c r="P181" s="23"/>
      <c r="Q181" s="21"/>
      <c r="R181" s="78"/>
      <c r="S181" s="17"/>
      <c r="T181" s="23"/>
      <c r="U181" s="531">
        <v>6</v>
      </c>
      <c r="V181" s="546" t="s">
        <v>1438</v>
      </c>
      <c r="W181" s="539"/>
      <c r="X181" s="539"/>
      <c r="Y181" s="539">
        <v>199</v>
      </c>
      <c r="Z181" s="19">
        <v>199</v>
      </c>
      <c r="AA181" s="18"/>
      <c r="AB181" s="17"/>
      <c r="AC181" s="16"/>
      <c r="AD181" s="941"/>
      <c r="AE181" s="944"/>
      <c r="AF181" s="498"/>
      <c r="AG181" s="498"/>
      <c r="AH181" s="498"/>
      <c r="AI181" s="498"/>
      <c r="AJ181" s="498"/>
      <c r="AK181" s="715">
        <v>1500</v>
      </c>
      <c r="AL181" s="498"/>
      <c r="AM181" s="498"/>
      <c r="AN181" s="498"/>
      <c r="AO181" s="498"/>
      <c r="AP181" s="498"/>
      <c r="AQ181" s="498"/>
      <c r="AR181" s="498"/>
      <c r="AS181" s="498"/>
      <c r="AT181" s="498"/>
      <c r="AU181" s="498"/>
      <c r="AV181" s="922"/>
    </row>
    <row r="182" spans="1:48">
      <c r="A182" s="12"/>
      <c r="B182" s="11"/>
      <c r="C182" s="15"/>
      <c r="D182" s="7"/>
      <c r="E182" s="15"/>
      <c r="F182" s="109"/>
      <c r="G182" s="7"/>
      <c r="H182" s="10"/>
      <c r="I182" s="938"/>
      <c r="J182" s="9"/>
      <c r="K182" s="923"/>
      <c r="L182" s="933"/>
      <c r="M182" s="936"/>
      <c r="N182" s="7"/>
      <c r="O182" s="13"/>
      <c r="P182" s="12"/>
      <c r="Q182" s="10"/>
      <c r="R182" s="11"/>
      <c r="S182" s="10"/>
      <c r="T182" s="12"/>
      <c r="U182" s="534"/>
      <c r="V182" s="547"/>
      <c r="W182" s="538"/>
      <c r="X182" s="541"/>
      <c r="Y182" s="538"/>
      <c r="Z182" s="8"/>
      <c r="AA182" s="7"/>
      <c r="AB182" s="6"/>
      <c r="AC182" s="5"/>
      <c r="AD182" s="942"/>
      <c r="AE182" s="945"/>
      <c r="AF182" s="499"/>
      <c r="AG182" s="499"/>
      <c r="AH182" s="499"/>
      <c r="AI182" s="499"/>
      <c r="AJ182" s="499"/>
      <c r="AK182" s="719"/>
      <c r="AL182" s="499"/>
      <c r="AM182" s="499"/>
      <c r="AN182" s="499"/>
      <c r="AO182" s="499"/>
      <c r="AP182" s="499"/>
      <c r="AQ182" s="499"/>
      <c r="AR182" s="499"/>
      <c r="AS182" s="499"/>
      <c r="AT182" s="499"/>
      <c r="AU182" s="499"/>
      <c r="AV182" s="923"/>
    </row>
    <row r="183" spans="1:48">
      <c r="A183" s="46" t="s">
        <v>674</v>
      </c>
      <c r="B183" s="40" t="s">
        <v>25</v>
      </c>
      <c r="C183" s="45" t="s">
        <v>1437</v>
      </c>
      <c r="D183" s="44"/>
      <c r="E183" s="71"/>
      <c r="F183" s="916" t="s">
        <v>1436</v>
      </c>
      <c r="G183" s="43" t="s">
        <v>25</v>
      </c>
      <c r="H183" s="35" t="s">
        <v>1435</v>
      </c>
      <c r="I183" s="939" t="s">
        <v>1434</v>
      </c>
      <c r="J183" s="49"/>
      <c r="K183" s="921" t="s">
        <v>1433</v>
      </c>
      <c r="L183" s="931" t="s">
        <v>46</v>
      </c>
      <c r="M183" s="934" t="s">
        <v>46</v>
      </c>
      <c r="N183" s="36"/>
      <c r="O183" s="41"/>
      <c r="P183" s="42"/>
      <c r="Q183" s="41"/>
      <c r="R183" s="40" t="s">
        <v>25</v>
      </c>
      <c r="S183" s="38" t="s">
        <v>24</v>
      </c>
      <c r="T183" s="39">
        <v>1</v>
      </c>
      <c r="U183" s="528">
        <v>1</v>
      </c>
      <c r="V183" s="524" t="s">
        <v>58</v>
      </c>
      <c r="W183" s="558"/>
      <c r="X183" s="556"/>
      <c r="Y183" s="558">
        <v>252</v>
      </c>
      <c r="Z183" s="48">
        <v>252</v>
      </c>
      <c r="AA183" s="36"/>
      <c r="AB183" s="35"/>
      <c r="AC183" s="34"/>
      <c r="AD183" s="940"/>
      <c r="AE183" s="943"/>
      <c r="AF183" s="497"/>
      <c r="AG183" s="497"/>
      <c r="AH183" s="497"/>
      <c r="AI183" s="497"/>
      <c r="AJ183" s="497"/>
      <c r="AK183" s="718">
        <v>50000</v>
      </c>
      <c r="AL183" s="497"/>
      <c r="AM183" s="497"/>
      <c r="AN183" s="497"/>
      <c r="AO183" s="497"/>
      <c r="AP183" s="497"/>
      <c r="AQ183" s="497"/>
      <c r="AR183" s="497"/>
      <c r="AS183" s="497"/>
      <c r="AT183" s="497"/>
      <c r="AU183" s="497"/>
      <c r="AV183" s="921"/>
    </row>
    <row r="184" spans="1:48">
      <c r="A184" s="23"/>
      <c r="B184" s="22" t="s">
        <v>16</v>
      </c>
      <c r="C184" s="33" t="s">
        <v>1432</v>
      </c>
      <c r="D184" s="18"/>
      <c r="E184" s="61"/>
      <c r="F184" s="917"/>
      <c r="G184" s="18" t="s">
        <v>16</v>
      </c>
      <c r="H184" s="18" t="s">
        <v>19</v>
      </c>
      <c r="I184" s="937"/>
      <c r="J184" s="27"/>
      <c r="K184" s="922"/>
      <c r="L184" s="932"/>
      <c r="M184" s="935"/>
      <c r="N184" s="18"/>
      <c r="O184" s="17"/>
      <c r="P184" s="16"/>
      <c r="Q184" s="27"/>
      <c r="R184" s="22"/>
      <c r="S184" s="31"/>
      <c r="T184" s="32"/>
      <c r="U184" s="73"/>
      <c r="V184" s="525"/>
      <c r="W184" s="532"/>
      <c r="X184" s="557"/>
      <c r="Y184" s="532"/>
      <c r="Z184" s="19"/>
      <c r="AA184" s="18"/>
      <c r="AB184" s="24"/>
      <c r="AC184" s="23"/>
      <c r="AD184" s="941"/>
      <c r="AE184" s="944"/>
      <c r="AF184" s="498"/>
      <c r="AG184" s="498"/>
      <c r="AH184" s="498"/>
      <c r="AI184" s="498"/>
      <c r="AJ184" s="498"/>
      <c r="AK184" s="715"/>
      <c r="AL184" s="498"/>
      <c r="AM184" s="498"/>
      <c r="AN184" s="498"/>
      <c r="AO184" s="498"/>
      <c r="AP184" s="498"/>
      <c r="AQ184" s="498"/>
      <c r="AR184" s="498"/>
      <c r="AS184" s="498"/>
      <c r="AT184" s="498"/>
      <c r="AU184" s="498"/>
      <c r="AV184" s="922"/>
    </row>
    <row r="185" spans="1:48">
      <c r="A185" s="23"/>
      <c r="B185" s="22" t="s">
        <v>18</v>
      </c>
      <c r="C185" s="30" t="s">
        <v>38</v>
      </c>
      <c r="D185" s="18"/>
      <c r="E185" s="61"/>
      <c r="F185" s="917"/>
      <c r="G185" s="18" t="s">
        <v>18</v>
      </c>
      <c r="H185" s="18" t="s">
        <v>19</v>
      </c>
      <c r="I185" s="937"/>
      <c r="J185" s="27"/>
      <c r="K185" s="922"/>
      <c r="L185" s="932"/>
      <c r="M185" s="935"/>
      <c r="N185" s="18"/>
      <c r="O185" s="24"/>
      <c r="P185" s="23"/>
      <c r="Q185" s="21"/>
      <c r="R185" s="22"/>
      <c r="S185" s="21"/>
      <c r="T185" s="23"/>
      <c r="U185" s="531"/>
      <c r="V185" s="549"/>
      <c r="W185" s="533"/>
      <c r="X185" s="539"/>
      <c r="Y185" s="533"/>
      <c r="Z185" s="19"/>
      <c r="AA185" s="18"/>
      <c r="AB185" s="24"/>
      <c r="AC185" s="23"/>
      <c r="AD185" s="941"/>
      <c r="AE185" s="944"/>
      <c r="AF185" s="498"/>
      <c r="AG185" s="498"/>
      <c r="AH185" s="498"/>
      <c r="AI185" s="498"/>
      <c r="AJ185" s="498"/>
      <c r="AK185" s="715"/>
      <c r="AL185" s="498"/>
      <c r="AM185" s="498"/>
      <c r="AN185" s="498"/>
      <c r="AO185" s="498"/>
      <c r="AP185" s="498"/>
      <c r="AQ185" s="498"/>
      <c r="AR185" s="498"/>
      <c r="AS185" s="498"/>
      <c r="AT185" s="498"/>
      <c r="AU185" s="498"/>
      <c r="AV185" s="922"/>
    </row>
    <row r="186" spans="1:48" ht="41.4">
      <c r="A186" s="23"/>
      <c r="B186" s="26" t="s">
        <v>12</v>
      </c>
      <c r="C186" s="25" t="s">
        <v>432</v>
      </c>
      <c r="D186" s="18"/>
      <c r="E186" s="61"/>
      <c r="F186" s="917"/>
      <c r="G186" s="18"/>
      <c r="H186" s="21"/>
      <c r="I186" s="937"/>
      <c r="J186" s="27"/>
      <c r="K186" s="922"/>
      <c r="L186" s="932"/>
      <c r="M186" s="935"/>
      <c r="N186" s="18"/>
      <c r="O186" s="24"/>
      <c r="P186" s="23"/>
      <c r="Q186" s="21"/>
      <c r="R186" s="22"/>
      <c r="S186" s="21"/>
      <c r="T186" s="23"/>
      <c r="U186" s="532"/>
      <c r="V186" s="546"/>
      <c r="W186" s="533"/>
      <c r="X186" s="539"/>
      <c r="Y186" s="533"/>
      <c r="Z186" s="19"/>
      <c r="AA186" s="18"/>
      <c r="AB186" s="17"/>
      <c r="AC186" s="16"/>
      <c r="AD186" s="941"/>
      <c r="AE186" s="944"/>
      <c r="AF186" s="498"/>
      <c r="AG186" s="498"/>
      <c r="AH186" s="498"/>
      <c r="AI186" s="498"/>
      <c r="AJ186" s="498"/>
      <c r="AK186" s="715"/>
      <c r="AL186" s="498"/>
      <c r="AM186" s="498"/>
      <c r="AN186" s="498"/>
      <c r="AO186" s="498"/>
      <c r="AP186" s="498"/>
      <c r="AQ186" s="498"/>
      <c r="AR186" s="498"/>
      <c r="AS186" s="498"/>
      <c r="AT186" s="498"/>
      <c r="AU186" s="498"/>
      <c r="AV186" s="922"/>
    </row>
    <row r="187" spans="1:48">
      <c r="A187" s="12"/>
      <c r="B187" s="11" t="s">
        <v>8</v>
      </c>
      <c r="C187" s="15" t="s">
        <v>1431</v>
      </c>
      <c r="D187" s="7"/>
      <c r="E187" s="14"/>
      <c r="F187" s="918"/>
      <c r="G187" s="7"/>
      <c r="H187" s="10"/>
      <c r="I187" s="938"/>
      <c r="J187" s="9"/>
      <c r="K187" s="923"/>
      <c r="L187" s="933"/>
      <c r="M187" s="936"/>
      <c r="N187" s="7"/>
      <c r="O187" s="13"/>
      <c r="P187" s="12"/>
      <c r="Q187" s="10"/>
      <c r="R187" s="22"/>
      <c r="S187" s="21"/>
      <c r="T187" s="23"/>
      <c r="U187" s="526"/>
      <c r="V187" s="546"/>
      <c r="W187" s="533"/>
      <c r="X187" s="539"/>
      <c r="Y187" s="533"/>
      <c r="Z187" s="19"/>
      <c r="AA187" s="7"/>
      <c r="AB187" s="6"/>
      <c r="AC187" s="5"/>
      <c r="AD187" s="942"/>
      <c r="AE187" s="945"/>
      <c r="AF187" s="499"/>
      <c r="AG187" s="499"/>
      <c r="AH187" s="499"/>
      <c r="AI187" s="499"/>
      <c r="AJ187" s="499"/>
      <c r="AK187" s="719"/>
      <c r="AL187" s="499"/>
      <c r="AM187" s="499"/>
      <c r="AN187" s="499"/>
      <c r="AO187" s="499"/>
      <c r="AP187" s="499"/>
      <c r="AQ187" s="499"/>
      <c r="AR187" s="499"/>
      <c r="AS187" s="499"/>
      <c r="AT187" s="499"/>
      <c r="AU187" s="499"/>
      <c r="AV187" s="923"/>
    </row>
    <row r="188" spans="1:48">
      <c r="A188" s="46" t="s">
        <v>665</v>
      </c>
      <c r="B188" s="40" t="s">
        <v>25</v>
      </c>
      <c r="C188" s="45" t="s">
        <v>1430</v>
      </c>
      <c r="D188" s="44"/>
      <c r="E188" s="71"/>
      <c r="F188" s="916" t="s">
        <v>1429</v>
      </c>
      <c r="G188" s="43" t="s">
        <v>25</v>
      </c>
      <c r="H188" s="35" t="s">
        <v>1397</v>
      </c>
      <c r="I188" s="939" t="s">
        <v>1428</v>
      </c>
      <c r="J188" s="49"/>
      <c r="K188" s="922" t="s">
        <v>1427</v>
      </c>
      <c r="L188" s="931" t="s">
        <v>46</v>
      </c>
      <c r="M188" s="934" t="s">
        <v>46</v>
      </c>
      <c r="N188" s="36"/>
      <c r="O188" s="41"/>
      <c r="P188" s="42"/>
      <c r="Q188" s="41"/>
      <c r="R188" s="40"/>
      <c r="S188" s="38"/>
      <c r="T188" s="39"/>
      <c r="U188" s="528"/>
      <c r="V188" s="524"/>
      <c r="W188" s="558"/>
      <c r="X188" s="556"/>
      <c r="Y188" s="558"/>
      <c r="Z188" s="37"/>
      <c r="AA188" s="36"/>
      <c r="AB188" s="35"/>
      <c r="AC188" s="34"/>
      <c r="AD188" s="940"/>
      <c r="AE188" s="943"/>
      <c r="AF188" s="497"/>
      <c r="AG188" s="497"/>
      <c r="AH188" s="497"/>
      <c r="AI188" s="497"/>
      <c r="AJ188" s="497"/>
      <c r="AK188" s="718"/>
      <c r="AL188" s="497"/>
      <c r="AM188" s="497"/>
      <c r="AN188" s="497"/>
      <c r="AO188" s="497"/>
      <c r="AP188" s="497"/>
      <c r="AQ188" s="497"/>
      <c r="AR188" s="497"/>
      <c r="AS188" s="497"/>
      <c r="AT188" s="497"/>
      <c r="AU188" s="497"/>
      <c r="AV188" s="921"/>
    </row>
    <row r="189" spans="1:48">
      <c r="A189" s="23"/>
      <c r="B189" s="22" t="s">
        <v>16</v>
      </c>
      <c r="C189" s="33" t="s">
        <v>1426</v>
      </c>
      <c r="D189" s="18"/>
      <c r="E189" s="61"/>
      <c r="F189" s="917"/>
      <c r="G189" s="18" t="s">
        <v>16</v>
      </c>
      <c r="H189" s="18" t="s">
        <v>19</v>
      </c>
      <c r="I189" s="937"/>
      <c r="J189" s="27"/>
      <c r="K189" s="922"/>
      <c r="L189" s="932"/>
      <c r="M189" s="935"/>
      <c r="N189" s="18"/>
      <c r="O189" s="76"/>
      <c r="P189" s="77"/>
      <c r="Q189" s="76"/>
      <c r="R189" s="22"/>
      <c r="S189" s="31"/>
      <c r="T189" s="32"/>
      <c r="U189" s="73"/>
      <c r="V189" s="525"/>
      <c r="W189" s="532"/>
      <c r="X189" s="557"/>
      <c r="Y189" s="532"/>
      <c r="Z189" s="19"/>
      <c r="AA189" s="18"/>
      <c r="AB189" s="24"/>
      <c r="AC189" s="23"/>
      <c r="AD189" s="941"/>
      <c r="AE189" s="944"/>
      <c r="AF189" s="498"/>
      <c r="AG189" s="498"/>
      <c r="AH189" s="498"/>
      <c r="AI189" s="498"/>
      <c r="AJ189" s="498"/>
      <c r="AK189" s="715"/>
      <c r="AL189" s="498"/>
      <c r="AM189" s="498"/>
      <c r="AN189" s="498"/>
      <c r="AO189" s="498"/>
      <c r="AP189" s="498"/>
      <c r="AQ189" s="498"/>
      <c r="AR189" s="498"/>
      <c r="AS189" s="498"/>
      <c r="AT189" s="498"/>
      <c r="AU189" s="498"/>
      <c r="AV189" s="922"/>
    </row>
    <row r="190" spans="1:48">
      <c r="A190" s="23"/>
      <c r="B190" s="22" t="s">
        <v>18</v>
      </c>
      <c r="C190" s="30" t="s">
        <v>38</v>
      </c>
      <c r="D190" s="18"/>
      <c r="E190" s="61"/>
      <c r="F190" s="917"/>
      <c r="G190" s="18" t="s">
        <v>18</v>
      </c>
      <c r="H190" s="18" t="s">
        <v>19</v>
      </c>
      <c r="I190" s="937"/>
      <c r="J190" s="27"/>
      <c r="K190" s="922"/>
      <c r="L190" s="932"/>
      <c r="M190" s="935"/>
      <c r="N190" s="18"/>
      <c r="O190" s="76"/>
      <c r="P190" s="77"/>
      <c r="Q190" s="76"/>
      <c r="R190" s="22"/>
      <c r="S190" s="21"/>
      <c r="T190" s="23"/>
      <c r="U190" s="526"/>
      <c r="V190" s="546"/>
      <c r="W190" s="533"/>
      <c r="X190" s="539"/>
      <c r="Y190" s="533"/>
      <c r="Z190" s="19"/>
      <c r="AA190" s="18"/>
      <c r="AB190" s="24"/>
      <c r="AC190" s="23"/>
      <c r="AD190" s="941"/>
      <c r="AE190" s="944"/>
      <c r="AF190" s="498"/>
      <c r="AG190" s="498"/>
      <c r="AH190" s="498"/>
      <c r="AI190" s="498"/>
      <c r="AJ190" s="498"/>
      <c r="AK190" s="715"/>
      <c r="AL190" s="498"/>
      <c r="AM190" s="498"/>
      <c r="AN190" s="498"/>
      <c r="AO190" s="498"/>
      <c r="AP190" s="498"/>
      <c r="AQ190" s="498"/>
      <c r="AR190" s="498"/>
      <c r="AS190" s="498"/>
      <c r="AT190" s="498"/>
      <c r="AU190" s="498"/>
      <c r="AV190" s="922"/>
    </row>
    <row r="191" spans="1:48" ht="27.6">
      <c r="A191" s="23"/>
      <c r="B191" s="26" t="s">
        <v>12</v>
      </c>
      <c r="C191" s="25" t="s">
        <v>1425</v>
      </c>
      <c r="D191" s="18"/>
      <c r="E191" s="61"/>
      <c r="F191" s="917"/>
      <c r="G191" s="18"/>
      <c r="H191" s="21"/>
      <c r="I191" s="937"/>
      <c r="J191" s="27"/>
      <c r="K191" s="922"/>
      <c r="L191" s="932"/>
      <c r="M191" s="935"/>
      <c r="N191" s="18"/>
      <c r="O191" s="24"/>
      <c r="P191" s="23"/>
      <c r="Q191" s="23"/>
      <c r="R191" s="18"/>
      <c r="S191" s="75"/>
      <c r="T191" s="23"/>
      <c r="U191" s="531"/>
      <c r="V191" s="546"/>
      <c r="W191" s="539"/>
      <c r="X191" s="539"/>
      <c r="Y191" s="539"/>
      <c r="Z191" s="19"/>
      <c r="AA191" s="18"/>
      <c r="AB191" s="24"/>
      <c r="AC191" s="23"/>
      <c r="AD191" s="941"/>
      <c r="AE191" s="944"/>
      <c r="AF191" s="498"/>
      <c r="AG191" s="498"/>
      <c r="AH191" s="498"/>
      <c r="AI191" s="498"/>
      <c r="AJ191" s="498"/>
      <c r="AK191" s="715"/>
      <c r="AL191" s="498"/>
      <c r="AM191" s="498"/>
      <c r="AN191" s="498"/>
      <c r="AO191" s="498"/>
      <c r="AP191" s="498"/>
      <c r="AQ191" s="498"/>
      <c r="AR191" s="498"/>
      <c r="AS191" s="498"/>
      <c r="AT191" s="498"/>
      <c r="AU191" s="498"/>
      <c r="AV191" s="922"/>
    </row>
    <row r="192" spans="1:48">
      <c r="A192" s="12"/>
      <c r="B192" s="11" t="s">
        <v>8</v>
      </c>
      <c r="C192" s="15" t="s">
        <v>1424</v>
      </c>
      <c r="D192" s="7"/>
      <c r="E192" s="14"/>
      <c r="F192" s="918"/>
      <c r="G192" s="7"/>
      <c r="H192" s="10"/>
      <c r="I192" s="938"/>
      <c r="J192" s="9"/>
      <c r="K192" s="923"/>
      <c r="L192" s="933"/>
      <c r="M192" s="936"/>
      <c r="N192" s="7"/>
      <c r="O192" s="13"/>
      <c r="P192" s="12"/>
      <c r="Q192" s="10"/>
      <c r="R192" s="11"/>
      <c r="S192" s="72"/>
      <c r="T192" s="23"/>
      <c r="U192" s="526"/>
      <c r="V192" s="546"/>
      <c r="W192" s="533"/>
      <c r="X192" s="539"/>
      <c r="Y192" s="533"/>
      <c r="Z192" s="8"/>
      <c r="AA192" s="7"/>
      <c r="AB192" s="13"/>
      <c r="AC192" s="12"/>
      <c r="AD192" s="942"/>
      <c r="AE192" s="945"/>
      <c r="AF192" s="499"/>
      <c r="AG192" s="499"/>
      <c r="AH192" s="499"/>
      <c r="AI192" s="499"/>
      <c r="AJ192" s="499"/>
      <c r="AK192" s="719"/>
      <c r="AL192" s="499"/>
      <c r="AM192" s="499"/>
      <c r="AN192" s="499"/>
      <c r="AO192" s="499"/>
      <c r="AP192" s="499"/>
      <c r="AQ192" s="499"/>
      <c r="AR192" s="499"/>
      <c r="AS192" s="499"/>
      <c r="AT192" s="499"/>
      <c r="AU192" s="499"/>
      <c r="AV192" s="923"/>
    </row>
    <row r="193" spans="1:48">
      <c r="A193" s="46">
        <v>10</v>
      </c>
      <c r="B193" s="40" t="s">
        <v>25</v>
      </c>
      <c r="C193" s="45" t="s">
        <v>1421</v>
      </c>
      <c r="D193" s="44"/>
      <c r="E193" s="71"/>
      <c r="F193" s="916" t="s">
        <v>1420</v>
      </c>
      <c r="G193" s="43" t="s">
        <v>25</v>
      </c>
      <c r="H193" s="35" t="s">
        <v>1419</v>
      </c>
      <c r="I193" s="939" t="s">
        <v>1418</v>
      </c>
      <c r="J193" s="49"/>
      <c r="K193" s="921" t="s">
        <v>1417</v>
      </c>
      <c r="L193" s="70" t="s">
        <v>46</v>
      </c>
      <c r="M193" s="69" t="s">
        <v>46</v>
      </c>
      <c r="N193" s="36"/>
      <c r="O193" s="41"/>
      <c r="P193" s="42"/>
      <c r="Q193" s="41"/>
      <c r="R193" s="68" t="s">
        <v>25</v>
      </c>
      <c r="S193" s="67" t="s">
        <v>24</v>
      </c>
      <c r="T193" s="39">
        <v>1</v>
      </c>
      <c r="U193" s="528">
        <v>1</v>
      </c>
      <c r="V193" s="524" t="s">
        <v>58</v>
      </c>
      <c r="W193" s="558"/>
      <c r="X193" s="556"/>
      <c r="Y193" s="558">
        <v>25</v>
      </c>
      <c r="Z193" s="48">
        <v>25</v>
      </c>
      <c r="AA193" s="36"/>
      <c r="AB193" s="35"/>
      <c r="AC193" s="34"/>
      <c r="AD193" s="66"/>
      <c r="AE193" s="65"/>
      <c r="AF193" s="497"/>
      <c r="AG193" s="497"/>
      <c r="AH193" s="497"/>
      <c r="AI193" s="497"/>
      <c r="AJ193" s="497"/>
      <c r="AK193" s="718">
        <v>50000</v>
      </c>
      <c r="AL193" s="497"/>
      <c r="AM193" s="497"/>
      <c r="AN193" s="497"/>
      <c r="AO193" s="497"/>
      <c r="AP193" s="497"/>
      <c r="AQ193" s="497"/>
      <c r="AR193" s="497"/>
      <c r="AS193" s="497"/>
      <c r="AT193" s="497"/>
      <c r="AU193" s="497"/>
      <c r="AV193" s="921"/>
    </row>
    <row r="194" spans="1:48">
      <c r="A194" s="23"/>
      <c r="B194" s="22" t="s">
        <v>16</v>
      </c>
      <c r="C194" s="33" t="s">
        <v>1416</v>
      </c>
      <c r="D194" s="18"/>
      <c r="E194" s="61"/>
      <c r="F194" s="917"/>
      <c r="G194" s="18" t="s">
        <v>16</v>
      </c>
      <c r="H194" s="18" t="s">
        <v>19</v>
      </c>
      <c r="I194" s="937"/>
      <c r="J194" s="27"/>
      <c r="K194" s="922"/>
      <c r="L194" s="60"/>
      <c r="M194" s="16"/>
      <c r="N194" s="18"/>
      <c r="O194" s="17"/>
      <c r="P194" s="16"/>
      <c r="Q194" s="27"/>
      <c r="R194" s="22" t="s">
        <v>25</v>
      </c>
      <c r="S194" s="64" t="s">
        <v>15</v>
      </c>
      <c r="T194" s="63">
        <v>6</v>
      </c>
      <c r="U194" s="526">
        <v>1</v>
      </c>
      <c r="V194" s="546" t="s">
        <v>647</v>
      </c>
      <c r="W194" s="533">
        <v>1</v>
      </c>
      <c r="X194" s="539"/>
      <c r="Y194" s="533"/>
      <c r="Z194" s="19">
        <v>3</v>
      </c>
      <c r="AA194" s="18"/>
      <c r="AB194" s="24"/>
      <c r="AC194" s="23"/>
      <c r="AD194" s="29"/>
      <c r="AE194" s="28"/>
      <c r="AF194" s="498"/>
      <c r="AG194" s="498"/>
      <c r="AH194" s="498"/>
      <c r="AI194" s="498"/>
      <c r="AJ194" s="498"/>
      <c r="AK194" s="715">
        <v>425000</v>
      </c>
      <c r="AL194" s="498"/>
      <c r="AM194" s="498"/>
      <c r="AN194" s="498"/>
      <c r="AO194" s="498"/>
      <c r="AP194" s="498"/>
      <c r="AQ194" s="498"/>
      <c r="AR194" s="498"/>
      <c r="AS194" s="498"/>
      <c r="AT194" s="498"/>
      <c r="AU194" s="498"/>
      <c r="AV194" s="922"/>
    </row>
    <row r="195" spans="1:48">
      <c r="A195" s="23"/>
      <c r="B195" s="22" t="s">
        <v>18</v>
      </c>
      <c r="C195" s="30" t="s">
        <v>60</v>
      </c>
      <c r="D195" s="18"/>
      <c r="E195" s="61"/>
      <c r="F195" s="917"/>
      <c r="G195" s="18" t="s">
        <v>18</v>
      </c>
      <c r="H195" s="18" t="s">
        <v>19</v>
      </c>
      <c r="I195" s="937"/>
      <c r="J195" s="27"/>
      <c r="K195" s="922"/>
      <c r="L195" s="60"/>
      <c r="M195" s="16"/>
      <c r="N195" s="18"/>
      <c r="O195" s="24"/>
      <c r="P195" s="23"/>
      <c r="Q195" s="21"/>
      <c r="R195" s="22"/>
      <c r="S195" s="21"/>
      <c r="T195" s="28"/>
      <c r="U195" s="526"/>
      <c r="V195" s="546" t="s">
        <v>647</v>
      </c>
      <c r="W195" s="533"/>
      <c r="X195" s="539"/>
      <c r="Y195" s="533">
        <v>2</v>
      </c>
      <c r="Z195" s="19">
        <v>11</v>
      </c>
      <c r="AA195" s="18"/>
      <c r="AB195" s="24"/>
      <c r="AC195" s="23"/>
      <c r="AD195" s="29"/>
      <c r="AE195" s="28"/>
      <c r="AF195" s="498"/>
      <c r="AG195" s="498"/>
      <c r="AH195" s="498"/>
      <c r="AI195" s="498"/>
      <c r="AJ195" s="498"/>
      <c r="AK195" s="715">
        <v>140250</v>
      </c>
      <c r="AL195" s="498"/>
      <c r="AM195" s="498"/>
      <c r="AN195" s="498"/>
      <c r="AO195" s="498"/>
      <c r="AP195" s="498"/>
      <c r="AQ195" s="498"/>
      <c r="AR195" s="498"/>
      <c r="AS195" s="498"/>
      <c r="AT195" s="498"/>
      <c r="AU195" s="498"/>
      <c r="AV195" s="922"/>
    </row>
    <row r="196" spans="1:48" ht="41.4">
      <c r="A196" s="23"/>
      <c r="B196" s="26" t="s">
        <v>12</v>
      </c>
      <c r="C196" s="25" t="s">
        <v>1415</v>
      </c>
      <c r="D196" s="18"/>
      <c r="E196" s="61"/>
      <c r="F196" s="917"/>
      <c r="G196" s="18"/>
      <c r="H196" s="21"/>
      <c r="I196" s="937"/>
      <c r="J196" s="27"/>
      <c r="K196" s="922"/>
      <c r="L196" s="60"/>
      <c r="M196" s="16"/>
      <c r="N196" s="18"/>
      <c r="O196" s="24"/>
      <c r="P196" s="23"/>
      <c r="Q196" s="21"/>
      <c r="R196" s="22"/>
      <c r="S196" s="21"/>
      <c r="T196" s="28"/>
      <c r="U196" s="73">
        <v>2</v>
      </c>
      <c r="V196" s="525" t="s">
        <v>1401</v>
      </c>
      <c r="W196" s="532">
        <v>5</v>
      </c>
      <c r="X196" s="557"/>
      <c r="Y196" s="532"/>
      <c r="Z196" s="19">
        <v>1</v>
      </c>
      <c r="AA196" s="18"/>
      <c r="AB196" s="17"/>
      <c r="AC196" s="16"/>
      <c r="AD196" s="29"/>
      <c r="AE196" s="28"/>
      <c r="AF196" s="498"/>
      <c r="AG196" s="498"/>
      <c r="AH196" s="498"/>
      <c r="AI196" s="498"/>
      <c r="AJ196" s="498"/>
      <c r="AK196" s="715">
        <v>15000</v>
      </c>
      <c r="AL196" s="498"/>
      <c r="AM196" s="498"/>
      <c r="AN196" s="498"/>
      <c r="AO196" s="498"/>
      <c r="AP196" s="498"/>
      <c r="AQ196" s="498"/>
      <c r="AR196" s="498"/>
      <c r="AS196" s="498"/>
      <c r="AT196" s="498"/>
      <c r="AU196" s="498"/>
      <c r="AV196" s="922"/>
    </row>
    <row r="197" spans="1:48">
      <c r="A197" s="23"/>
      <c r="B197" s="18" t="s">
        <v>8</v>
      </c>
      <c r="C197" s="62" t="s">
        <v>1414</v>
      </c>
      <c r="D197" s="18"/>
      <c r="E197" s="61"/>
      <c r="F197" s="917"/>
      <c r="G197" s="18"/>
      <c r="H197" s="21"/>
      <c r="I197" s="937"/>
      <c r="J197" s="27"/>
      <c r="K197" s="922"/>
      <c r="L197" s="60"/>
      <c r="M197" s="16"/>
      <c r="N197" s="18"/>
      <c r="O197" s="24"/>
      <c r="P197" s="23"/>
      <c r="Q197" s="21"/>
      <c r="R197" s="22"/>
      <c r="S197" s="21"/>
      <c r="T197" s="28"/>
      <c r="U197" s="73"/>
      <c r="V197" s="525" t="s">
        <v>1401</v>
      </c>
      <c r="W197" s="532"/>
      <c r="X197" s="557">
        <v>4</v>
      </c>
      <c r="Y197" s="532"/>
      <c r="Z197" s="19">
        <v>1</v>
      </c>
      <c r="AA197" s="18"/>
      <c r="AB197" s="17"/>
      <c r="AC197" s="16"/>
      <c r="AD197" s="29"/>
      <c r="AE197" s="28"/>
      <c r="AF197" s="498"/>
      <c r="AG197" s="498"/>
      <c r="AH197" s="498"/>
      <c r="AI197" s="498"/>
      <c r="AJ197" s="498"/>
      <c r="AK197" s="715">
        <v>10000</v>
      </c>
      <c r="AL197" s="498"/>
      <c r="AM197" s="498"/>
      <c r="AN197" s="498"/>
      <c r="AO197" s="498"/>
      <c r="AP197" s="498"/>
      <c r="AQ197" s="498"/>
      <c r="AR197" s="498"/>
      <c r="AS197" s="498"/>
      <c r="AT197" s="498"/>
      <c r="AU197" s="498"/>
      <c r="AV197" s="922"/>
    </row>
    <row r="198" spans="1:48">
      <c r="A198" s="23"/>
      <c r="B198" s="18"/>
      <c r="C198" s="62"/>
      <c r="D198" s="18"/>
      <c r="E198" s="61"/>
      <c r="F198" s="917"/>
      <c r="G198" s="18"/>
      <c r="H198" s="21"/>
      <c r="I198" s="937"/>
      <c r="J198" s="488"/>
      <c r="K198" s="922"/>
      <c r="L198" s="517"/>
      <c r="M198" s="489"/>
      <c r="N198" s="18"/>
      <c r="O198" s="24"/>
      <c r="P198" s="23"/>
      <c r="Q198" s="21"/>
      <c r="R198" s="22"/>
      <c r="S198" s="21"/>
      <c r="T198" s="498"/>
      <c r="U198" s="73"/>
      <c r="V198" s="525" t="s">
        <v>1401</v>
      </c>
      <c r="W198" s="532"/>
      <c r="X198" s="557"/>
      <c r="Y198" s="532">
        <v>2</v>
      </c>
      <c r="Z198" s="490"/>
      <c r="AA198" s="18"/>
      <c r="AB198" s="17"/>
      <c r="AC198" s="489"/>
      <c r="AD198" s="495"/>
      <c r="AE198" s="498"/>
      <c r="AF198" s="498"/>
      <c r="AG198" s="498"/>
      <c r="AH198" s="498"/>
      <c r="AI198" s="498"/>
      <c r="AJ198" s="498"/>
      <c r="AK198" s="715">
        <v>5000</v>
      </c>
      <c r="AL198" s="498"/>
      <c r="AM198" s="498"/>
      <c r="AN198" s="498"/>
      <c r="AO198" s="498"/>
      <c r="AP198" s="498"/>
      <c r="AQ198" s="498"/>
      <c r="AR198" s="498"/>
      <c r="AS198" s="498"/>
      <c r="AT198" s="498"/>
      <c r="AU198" s="498"/>
      <c r="AV198" s="922"/>
    </row>
    <row r="199" spans="1:48">
      <c r="A199" s="23"/>
      <c r="B199" s="26"/>
      <c r="C199" s="25"/>
      <c r="D199" s="18"/>
      <c r="E199" s="61"/>
      <c r="F199" s="917"/>
      <c r="G199" s="18"/>
      <c r="H199" s="21"/>
      <c r="I199" s="937"/>
      <c r="J199" s="27"/>
      <c r="K199" s="922"/>
      <c r="L199" s="60"/>
      <c r="M199" s="16"/>
      <c r="N199" s="18"/>
      <c r="O199" s="24"/>
      <c r="P199" s="23"/>
      <c r="Q199" s="21"/>
      <c r="R199" s="22"/>
      <c r="S199" s="21"/>
      <c r="T199" s="28"/>
      <c r="U199" s="526">
        <v>3</v>
      </c>
      <c r="V199" s="546" t="s">
        <v>82</v>
      </c>
      <c r="W199" s="533"/>
      <c r="X199" s="539"/>
      <c r="Y199" s="533">
        <v>1</v>
      </c>
      <c r="Z199" s="19">
        <v>530</v>
      </c>
      <c r="AA199" s="18"/>
      <c r="AB199" s="17"/>
      <c r="AC199" s="16"/>
      <c r="AD199" s="29"/>
      <c r="AE199" s="28"/>
      <c r="AF199" s="498"/>
      <c r="AG199" s="498"/>
      <c r="AH199" s="498"/>
      <c r="AI199" s="498"/>
      <c r="AJ199" s="498"/>
      <c r="AK199" s="715">
        <v>41250</v>
      </c>
      <c r="AL199" s="498"/>
      <c r="AM199" s="498"/>
      <c r="AN199" s="498"/>
      <c r="AO199" s="498"/>
      <c r="AP199" s="498"/>
      <c r="AQ199" s="498"/>
      <c r="AR199" s="498"/>
      <c r="AS199" s="498"/>
      <c r="AT199" s="498"/>
      <c r="AU199" s="498"/>
      <c r="AV199" s="922"/>
    </row>
    <row r="200" spans="1:48">
      <c r="A200" s="23"/>
      <c r="B200" s="26"/>
      <c r="C200" s="25"/>
      <c r="D200" s="18"/>
      <c r="E200" s="61"/>
      <c r="F200" s="917"/>
      <c r="G200" s="18"/>
      <c r="H200" s="21"/>
      <c r="I200" s="937"/>
      <c r="J200" s="27"/>
      <c r="K200" s="922"/>
      <c r="L200" s="60"/>
      <c r="M200" s="16"/>
      <c r="N200" s="18"/>
      <c r="O200" s="24"/>
      <c r="P200" s="23"/>
      <c r="Q200" s="23"/>
      <c r="R200" s="18"/>
      <c r="S200" s="75"/>
      <c r="T200" s="28"/>
      <c r="U200" s="526">
        <v>4</v>
      </c>
      <c r="V200" s="546" t="s">
        <v>1413</v>
      </c>
      <c r="W200" s="533"/>
      <c r="X200" s="539"/>
      <c r="Y200" s="533">
        <v>1</v>
      </c>
      <c r="Z200" s="19">
        <v>1</v>
      </c>
      <c r="AA200" s="18"/>
      <c r="AB200" s="17"/>
      <c r="AC200" s="16"/>
      <c r="AD200" s="29"/>
      <c r="AE200" s="28"/>
      <c r="AF200" s="498"/>
      <c r="AG200" s="498"/>
      <c r="AH200" s="498"/>
      <c r="AI200" s="498"/>
      <c r="AJ200" s="498"/>
      <c r="AK200" s="715">
        <v>66000</v>
      </c>
      <c r="AL200" s="498"/>
      <c r="AM200" s="498"/>
      <c r="AN200" s="498"/>
      <c r="AO200" s="498"/>
      <c r="AP200" s="498"/>
      <c r="AQ200" s="498"/>
      <c r="AR200" s="498"/>
      <c r="AS200" s="498"/>
      <c r="AT200" s="498"/>
      <c r="AU200" s="498"/>
      <c r="AV200" s="922"/>
    </row>
    <row r="201" spans="1:48">
      <c r="A201" s="23"/>
      <c r="B201" s="26"/>
      <c r="C201" s="25"/>
      <c r="D201" s="18"/>
      <c r="E201" s="61"/>
      <c r="F201" s="917"/>
      <c r="G201" s="18"/>
      <c r="H201" s="21"/>
      <c r="I201" s="937"/>
      <c r="J201" s="488"/>
      <c r="K201" s="922"/>
      <c r="L201" s="517"/>
      <c r="M201" s="489"/>
      <c r="N201" s="18"/>
      <c r="O201" s="24"/>
      <c r="P201" s="23"/>
      <c r="Q201" s="23"/>
      <c r="R201" s="18"/>
      <c r="S201" s="21"/>
      <c r="T201" s="498"/>
      <c r="U201" s="526">
        <v>5</v>
      </c>
      <c r="V201" s="546" t="s">
        <v>1529</v>
      </c>
      <c r="W201" s="533"/>
      <c r="X201" s="539"/>
      <c r="Y201" s="533">
        <v>530</v>
      </c>
      <c r="Z201" s="490"/>
      <c r="AA201" s="18"/>
      <c r="AB201" s="17"/>
      <c r="AC201" s="489"/>
      <c r="AD201" s="495"/>
      <c r="AE201" s="498"/>
      <c r="AF201" s="498"/>
      <c r="AG201" s="498"/>
      <c r="AH201" s="498"/>
      <c r="AI201" s="498"/>
      <c r="AJ201" s="498"/>
      <c r="AK201" s="715">
        <v>600</v>
      </c>
      <c r="AL201" s="498"/>
      <c r="AM201" s="498"/>
      <c r="AN201" s="498"/>
      <c r="AO201" s="498"/>
      <c r="AP201" s="498"/>
      <c r="AQ201" s="498"/>
      <c r="AR201" s="498"/>
      <c r="AS201" s="498"/>
      <c r="AT201" s="498"/>
      <c r="AU201" s="498"/>
      <c r="AV201" s="922"/>
    </row>
    <row r="202" spans="1:48">
      <c r="A202" s="23"/>
      <c r="B202" s="26"/>
      <c r="C202" s="25"/>
      <c r="D202" s="18"/>
      <c r="E202" s="61"/>
      <c r="F202" s="917"/>
      <c r="G202" s="18"/>
      <c r="H202" s="21"/>
      <c r="I202" s="937"/>
      <c r="J202" s="488"/>
      <c r="K202" s="922"/>
      <c r="L202" s="517"/>
      <c r="M202" s="489"/>
      <c r="N202" s="18"/>
      <c r="O202" s="24"/>
      <c r="P202" s="23"/>
      <c r="Q202" s="23"/>
      <c r="R202" s="18"/>
      <c r="S202" s="21"/>
      <c r="T202" s="498"/>
      <c r="U202" s="531">
        <v>6</v>
      </c>
      <c r="V202" s="546" t="s">
        <v>1412</v>
      </c>
      <c r="W202" s="539"/>
      <c r="X202" s="539"/>
      <c r="Y202" s="539">
        <v>1</v>
      </c>
      <c r="Z202" s="490"/>
      <c r="AA202" s="18"/>
      <c r="AB202" s="17"/>
      <c r="AC202" s="489"/>
      <c r="AD202" s="495"/>
      <c r="AE202" s="498"/>
      <c r="AF202" s="498"/>
      <c r="AG202" s="498"/>
      <c r="AH202" s="498"/>
      <c r="AI202" s="498"/>
      <c r="AJ202" s="498"/>
      <c r="AK202" s="715">
        <v>41250</v>
      </c>
      <c r="AL202" s="498"/>
      <c r="AM202" s="498"/>
      <c r="AN202" s="498"/>
      <c r="AO202" s="498"/>
      <c r="AP202" s="498"/>
      <c r="AQ202" s="498"/>
      <c r="AR202" s="498"/>
      <c r="AS202" s="498"/>
      <c r="AT202" s="498"/>
      <c r="AU202" s="498"/>
      <c r="AV202" s="922"/>
    </row>
    <row r="203" spans="1:48">
      <c r="A203" s="12"/>
      <c r="B203" s="11"/>
      <c r="C203" s="15"/>
      <c r="D203" s="7"/>
      <c r="E203" s="14"/>
      <c r="F203" s="918"/>
      <c r="G203" s="7"/>
      <c r="H203" s="10"/>
      <c r="I203" s="938"/>
      <c r="J203" s="9"/>
      <c r="K203" s="923"/>
      <c r="L203" s="59"/>
      <c r="M203" s="5"/>
      <c r="N203" s="7"/>
      <c r="O203" s="13"/>
      <c r="P203" s="12"/>
      <c r="Q203" s="10"/>
      <c r="R203" s="11"/>
      <c r="S203" s="10"/>
      <c r="T203" s="57"/>
      <c r="U203" s="527"/>
      <c r="V203" s="547"/>
      <c r="W203" s="538"/>
      <c r="X203" s="541"/>
      <c r="Y203" s="538"/>
      <c r="Z203" s="8"/>
      <c r="AA203" s="7"/>
      <c r="AB203" s="6"/>
      <c r="AC203" s="5"/>
      <c r="AD203" s="58"/>
      <c r="AE203" s="57"/>
      <c r="AF203" s="499"/>
      <c r="AG203" s="499"/>
      <c r="AH203" s="499"/>
      <c r="AI203" s="499"/>
      <c r="AJ203" s="499"/>
      <c r="AK203" s="719"/>
      <c r="AL203" s="499"/>
      <c r="AM203" s="499"/>
      <c r="AN203" s="499"/>
      <c r="AO203" s="499"/>
      <c r="AP203" s="499"/>
      <c r="AQ203" s="499"/>
      <c r="AR203" s="499"/>
      <c r="AS203" s="499"/>
      <c r="AT203" s="499"/>
      <c r="AU203" s="499"/>
      <c r="AV203" s="923"/>
    </row>
    <row r="204" spans="1:48">
      <c r="A204" s="46" t="s">
        <v>652</v>
      </c>
      <c r="B204" s="40" t="s">
        <v>25</v>
      </c>
      <c r="C204" s="45" t="s">
        <v>1411</v>
      </c>
      <c r="D204" s="36"/>
      <c r="E204" s="44"/>
      <c r="F204" s="916"/>
      <c r="G204" s="43" t="s">
        <v>25</v>
      </c>
      <c r="H204" s="35" t="s">
        <v>1410</v>
      </c>
      <c r="I204" s="939" t="e">
        <f>'[21]Revisi Luas'!K11</f>
        <v>#REF!</v>
      </c>
      <c r="J204" s="927"/>
      <c r="K204" s="921" t="s">
        <v>1409</v>
      </c>
      <c r="L204" s="931" t="s">
        <v>46</v>
      </c>
      <c r="M204" s="934" t="s">
        <v>46</v>
      </c>
      <c r="N204" s="36" t="s">
        <v>25</v>
      </c>
      <c r="O204" s="56" t="s">
        <v>1531</v>
      </c>
      <c r="P204" s="37">
        <v>1</v>
      </c>
      <c r="Q204" s="49" t="s">
        <v>1530</v>
      </c>
      <c r="R204" s="22" t="s">
        <v>16</v>
      </c>
      <c r="S204" s="31" t="s">
        <v>15</v>
      </c>
      <c r="T204" s="32"/>
      <c r="U204" s="73">
        <v>1</v>
      </c>
      <c r="V204" s="525" t="s">
        <v>1529</v>
      </c>
      <c r="W204" s="532"/>
      <c r="X204" s="557"/>
      <c r="Y204" s="532">
        <v>5488</v>
      </c>
      <c r="Z204" s="19">
        <v>5488</v>
      </c>
      <c r="AA204" s="36"/>
      <c r="AB204" s="35"/>
      <c r="AC204" s="34"/>
      <c r="AD204" s="940"/>
      <c r="AE204" s="943"/>
      <c r="AF204" s="497"/>
      <c r="AG204" s="497"/>
      <c r="AH204" s="497"/>
      <c r="AI204" s="497"/>
      <c r="AJ204" s="497"/>
      <c r="AK204" s="718">
        <v>600</v>
      </c>
      <c r="AL204" s="497"/>
      <c r="AM204" s="497"/>
      <c r="AN204" s="497"/>
      <c r="AO204" s="497"/>
      <c r="AP204" s="497"/>
      <c r="AQ204" s="497"/>
      <c r="AR204" s="497"/>
      <c r="AS204" s="497"/>
      <c r="AT204" s="497"/>
      <c r="AU204" s="497"/>
      <c r="AV204" s="921"/>
    </row>
    <row r="205" spans="1:48">
      <c r="A205" s="23"/>
      <c r="B205" s="22" t="s">
        <v>16</v>
      </c>
      <c r="C205" s="33"/>
      <c r="D205" s="18"/>
      <c r="E205" s="17"/>
      <c r="F205" s="917"/>
      <c r="G205" s="18" t="s">
        <v>16</v>
      </c>
      <c r="H205" s="18" t="s">
        <v>19</v>
      </c>
      <c r="I205" s="937"/>
      <c r="J205" s="919"/>
      <c r="K205" s="922"/>
      <c r="L205" s="932"/>
      <c r="M205" s="935"/>
      <c r="N205" s="18"/>
      <c r="O205" s="24"/>
      <c r="P205" s="16"/>
      <c r="Q205" s="27"/>
      <c r="R205" s="22"/>
      <c r="S205" s="31"/>
      <c r="T205" s="32"/>
      <c r="U205" s="73"/>
      <c r="V205" s="525"/>
      <c r="W205" s="532"/>
      <c r="X205" s="557"/>
      <c r="Y205" s="532"/>
      <c r="Z205" s="19"/>
      <c r="AA205" s="18"/>
      <c r="AB205" s="24"/>
      <c r="AC205" s="23"/>
      <c r="AD205" s="941"/>
      <c r="AE205" s="944"/>
      <c r="AF205" s="498"/>
      <c r="AG205" s="498"/>
      <c r="AH205" s="498"/>
      <c r="AI205" s="498"/>
      <c r="AJ205" s="498"/>
      <c r="AK205" s="715"/>
      <c r="AL205" s="498"/>
      <c r="AM205" s="498"/>
      <c r="AN205" s="498"/>
      <c r="AO205" s="498"/>
      <c r="AP205" s="498"/>
      <c r="AQ205" s="498"/>
      <c r="AR205" s="498"/>
      <c r="AS205" s="498"/>
      <c r="AT205" s="498"/>
      <c r="AU205" s="498"/>
      <c r="AV205" s="922"/>
    </row>
    <row r="206" spans="1:48">
      <c r="A206" s="23"/>
      <c r="B206" s="22" t="s">
        <v>18</v>
      </c>
      <c r="C206" s="30"/>
      <c r="D206" s="18"/>
      <c r="E206" s="18"/>
      <c r="F206" s="917"/>
      <c r="G206" s="18" t="s">
        <v>18</v>
      </c>
      <c r="H206" s="18" t="s">
        <v>19</v>
      </c>
      <c r="I206" s="937"/>
      <c r="J206" s="919"/>
      <c r="K206" s="922"/>
      <c r="L206" s="932"/>
      <c r="M206" s="935"/>
      <c r="N206" s="18"/>
      <c r="O206" s="24"/>
      <c r="P206" s="23"/>
      <c r="Q206" s="21"/>
      <c r="R206" s="22"/>
      <c r="S206" s="21"/>
      <c r="T206" s="944"/>
      <c r="U206" s="535"/>
      <c r="V206" s="546"/>
      <c r="W206" s="533"/>
      <c r="X206" s="539"/>
      <c r="Y206" s="533"/>
      <c r="Z206" s="19"/>
      <c r="AA206" s="18"/>
      <c r="AB206" s="24"/>
      <c r="AC206" s="23"/>
      <c r="AD206" s="941"/>
      <c r="AE206" s="944"/>
      <c r="AF206" s="498"/>
      <c r="AG206" s="498"/>
      <c r="AH206" s="498"/>
      <c r="AI206" s="498"/>
      <c r="AJ206" s="498"/>
      <c r="AK206" s="715"/>
      <c r="AL206" s="498"/>
      <c r="AM206" s="498"/>
      <c r="AN206" s="498"/>
      <c r="AO206" s="498"/>
      <c r="AP206" s="498"/>
      <c r="AQ206" s="498"/>
      <c r="AR206" s="498"/>
      <c r="AS206" s="498"/>
      <c r="AT206" s="498"/>
      <c r="AU206" s="498"/>
      <c r="AV206" s="922"/>
    </row>
    <row r="207" spans="1:48" ht="41.4">
      <c r="A207" s="23"/>
      <c r="B207" s="26" t="s">
        <v>12</v>
      </c>
      <c r="C207" s="25" t="s">
        <v>1408</v>
      </c>
      <c r="D207" s="18"/>
      <c r="E207" s="24"/>
      <c r="F207" s="917"/>
      <c r="G207" s="18"/>
      <c r="H207" s="21"/>
      <c r="I207" s="937"/>
      <c r="J207" s="919"/>
      <c r="K207" s="922"/>
      <c r="L207" s="932"/>
      <c r="M207" s="935"/>
      <c r="N207" s="18"/>
      <c r="O207" s="24"/>
      <c r="P207" s="23"/>
      <c r="Q207" s="21"/>
      <c r="R207" s="22"/>
      <c r="S207" s="21"/>
      <c r="T207" s="944"/>
      <c r="U207" s="535"/>
      <c r="V207" s="546"/>
      <c r="W207" s="533"/>
      <c r="X207" s="539"/>
      <c r="Y207" s="533"/>
      <c r="Z207" s="19"/>
      <c r="AA207" s="18"/>
      <c r="AB207" s="24"/>
      <c r="AC207" s="23"/>
      <c r="AD207" s="941"/>
      <c r="AE207" s="944"/>
      <c r="AF207" s="498"/>
      <c r="AG207" s="498"/>
      <c r="AH207" s="498"/>
      <c r="AI207" s="498"/>
      <c r="AJ207" s="498"/>
      <c r="AK207" s="715"/>
      <c r="AL207" s="498"/>
      <c r="AM207" s="498"/>
      <c r="AN207" s="498"/>
      <c r="AO207" s="498"/>
      <c r="AP207" s="498"/>
      <c r="AQ207" s="498"/>
      <c r="AR207" s="498"/>
      <c r="AS207" s="498"/>
      <c r="AT207" s="498"/>
      <c r="AU207" s="498"/>
      <c r="AV207" s="922"/>
    </row>
    <row r="208" spans="1:48">
      <c r="A208" s="12"/>
      <c r="B208" s="55" t="s">
        <v>8</v>
      </c>
      <c r="C208" s="54"/>
      <c r="D208" s="7"/>
      <c r="E208" s="53"/>
      <c r="F208" s="918"/>
      <c r="G208" s="7"/>
      <c r="H208" s="10"/>
      <c r="I208" s="938"/>
      <c r="J208" s="920"/>
      <c r="K208" s="923"/>
      <c r="L208" s="933"/>
      <c r="M208" s="936"/>
      <c r="N208" s="7"/>
      <c r="O208" s="13"/>
      <c r="P208" s="12"/>
      <c r="Q208" s="10"/>
      <c r="R208" s="11"/>
      <c r="S208" s="10"/>
      <c r="T208" s="945"/>
      <c r="U208" s="534"/>
      <c r="V208" s="547"/>
      <c r="W208" s="538"/>
      <c r="X208" s="541"/>
      <c r="Y208" s="538"/>
      <c r="Z208" s="8"/>
      <c r="AA208" s="7"/>
      <c r="AB208" s="13"/>
      <c r="AC208" s="12"/>
      <c r="AD208" s="942"/>
      <c r="AE208" s="945"/>
      <c r="AF208" s="499"/>
      <c r="AG208" s="499"/>
      <c r="AH208" s="499"/>
      <c r="AI208" s="499"/>
      <c r="AJ208" s="499"/>
      <c r="AK208" s="719"/>
      <c r="AL208" s="499"/>
      <c r="AM208" s="499"/>
      <c r="AN208" s="499"/>
      <c r="AO208" s="499"/>
      <c r="AP208" s="499"/>
      <c r="AQ208" s="499"/>
      <c r="AR208" s="499"/>
      <c r="AS208" s="499"/>
      <c r="AT208" s="499"/>
      <c r="AU208" s="499"/>
      <c r="AV208" s="923"/>
    </row>
    <row r="209" spans="1:48">
      <c r="A209" s="46">
        <v>12</v>
      </c>
      <c r="B209" s="40" t="s">
        <v>25</v>
      </c>
      <c r="C209" s="45" t="s">
        <v>1407</v>
      </c>
      <c r="D209" s="36"/>
      <c r="E209" s="44"/>
      <c r="F209" s="916" t="s">
        <v>1406</v>
      </c>
      <c r="G209" s="43" t="s">
        <v>25</v>
      </c>
      <c r="H209" s="35" t="s">
        <v>1397</v>
      </c>
      <c r="I209" s="939" t="s">
        <v>1405</v>
      </c>
      <c r="J209" s="927"/>
      <c r="K209" s="922" t="s">
        <v>1404</v>
      </c>
      <c r="L209" s="931" t="s">
        <v>46</v>
      </c>
      <c r="M209" s="934" t="s">
        <v>46</v>
      </c>
      <c r="N209" s="51"/>
      <c r="O209" s="50"/>
      <c r="P209" s="42"/>
      <c r="Q209" s="49"/>
      <c r="R209" s="40" t="s">
        <v>25</v>
      </c>
      <c r="S209" s="38" t="s">
        <v>24</v>
      </c>
      <c r="T209" s="39">
        <v>5</v>
      </c>
      <c r="U209" s="528">
        <v>1</v>
      </c>
      <c r="V209" s="524" t="s">
        <v>58</v>
      </c>
      <c r="W209" s="558"/>
      <c r="X209" s="556"/>
      <c r="Y209" s="558">
        <v>80</v>
      </c>
      <c r="Z209" s="48">
        <v>80</v>
      </c>
      <c r="AA209" s="36"/>
      <c r="AB209" s="35"/>
      <c r="AC209" s="34"/>
      <c r="AD209" s="940"/>
      <c r="AE209" s="943"/>
      <c r="AF209" s="497"/>
      <c r="AG209" s="497"/>
      <c r="AH209" s="497"/>
      <c r="AI209" s="497"/>
      <c r="AJ209" s="497"/>
      <c r="AK209" s="718">
        <v>50000</v>
      </c>
      <c r="AL209" s="497"/>
      <c r="AM209" s="497"/>
      <c r="AN209" s="497"/>
      <c r="AO209" s="497"/>
      <c r="AP209" s="497"/>
      <c r="AQ209" s="497"/>
      <c r="AR209" s="497"/>
      <c r="AS209" s="497"/>
      <c r="AT209" s="497"/>
      <c r="AU209" s="497"/>
      <c r="AV209" s="921"/>
    </row>
    <row r="210" spans="1:48">
      <c r="A210" s="23"/>
      <c r="B210" s="22" t="s">
        <v>16</v>
      </c>
      <c r="C210" s="33"/>
      <c r="D210" s="18"/>
      <c r="E210" s="17"/>
      <c r="F210" s="917"/>
      <c r="G210" s="18" t="s">
        <v>16</v>
      </c>
      <c r="H210" s="18" t="s">
        <v>19</v>
      </c>
      <c r="I210" s="937"/>
      <c r="J210" s="919"/>
      <c r="K210" s="922"/>
      <c r="L210" s="932"/>
      <c r="M210" s="935"/>
      <c r="N210" s="18"/>
      <c r="O210" s="17"/>
      <c r="P210" s="16"/>
      <c r="Q210" s="27"/>
      <c r="R210" s="22"/>
      <c r="S210" s="31"/>
      <c r="T210" s="32"/>
      <c r="U210" s="73">
        <v>2</v>
      </c>
      <c r="V210" s="525" t="s">
        <v>1403</v>
      </c>
      <c r="W210" s="532"/>
      <c r="X210" s="557"/>
      <c r="Y210" s="532">
        <v>2</v>
      </c>
      <c r="Z210" s="19">
        <v>2</v>
      </c>
      <c r="AA210" s="18"/>
      <c r="AB210" s="24"/>
      <c r="AC210" s="23"/>
      <c r="AD210" s="941"/>
      <c r="AE210" s="944"/>
      <c r="AF210" s="498"/>
      <c r="AG210" s="498"/>
      <c r="AH210" s="498"/>
      <c r="AI210" s="498"/>
      <c r="AJ210" s="498"/>
      <c r="AK210" s="715">
        <v>10000</v>
      </c>
      <c r="AL210" s="498"/>
      <c r="AM210" s="498"/>
      <c r="AN210" s="498"/>
      <c r="AO210" s="498"/>
      <c r="AP210" s="498"/>
      <c r="AQ210" s="498"/>
      <c r="AR210" s="498"/>
      <c r="AS210" s="498"/>
      <c r="AT210" s="498"/>
      <c r="AU210" s="498"/>
      <c r="AV210" s="922"/>
    </row>
    <row r="211" spans="1:48">
      <c r="A211" s="23"/>
      <c r="B211" s="22" t="s">
        <v>18</v>
      </c>
      <c r="C211" s="30"/>
      <c r="D211" s="18"/>
      <c r="E211" s="18"/>
      <c r="F211" s="917"/>
      <c r="G211" s="18" t="s">
        <v>18</v>
      </c>
      <c r="H211" s="18" t="s">
        <v>19</v>
      </c>
      <c r="I211" s="937"/>
      <c r="J211" s="919"/>
      <c r="K211" s="922"/>
      <c r="L211" s="932"/>
      <c r="M211" s="935"/>
      <c r="N211" s="18"/>
      <c r="O211" s="24"/>
      <c r="P211" s="23"/>
      <c r="Q211" s="21"/>
      <c r="R211" s="22"/>
      <c r="S211" s="21"/>
      <c r="T211" s="23"/>
      <c r="U211" s="526">
        <v>3</v>
      </c>
      <c r="V211" s="23" t="s">
        <v>109</v>
      </c>
      <c r="W211" s="533"/>
      <c r="X211" s="539"/>
      <c r="Y211" s="533">
        <v>2</v>
      </c>
      <c r="Z211" s="19">
        <v>2</v>
      </c>
      <c r="AA211" s="18"/>
      <c r="AB211" s="24"/>
      <c r="AC211" s="23"/>
      <c r="AD211" s="941"/>
      <c r="AE211" s="944"/>
      <c r="AF211" s="498"/>
      <c r="AG211" s="498"/>
      <c r="AH211" s="498"/>
      <c r="AI211" s="498"/>
      <c r="AJ211" s="498"/>
      <c r="AK211" s="715">
        <v>10000</v>
      </c>
      <c r="AL211" s="498"/>
      <c r="AM211" s="498"/>
      <c r="AN211" s="498"/>
      <c r="AO211" s="498"/>
      <c r="AP211" s="498"/>
      <c r="AQ211" s="498"/>
      <c r="AR211" s="498"/>
      <c r="AS211" s="498"/>
      <c r="AT211" s="498"/>
      <c r="AU211" s="498"/>
      <c r="AV211" s="922"/>
    </row>
    <row r="212" spans="1:48" ht="41.4">
      <c r="A212" s="23"/>
      <c r="B212" s="26" t="s">
        <v>12</v>
      </c>
      <c r="C212" s="25" t="s">
        <v>1402</v>
      </c>
      <c r="D212" s="18"/>
      <c r="E212" s="24"/>
      <c r="F212" s="917"/>
      <c r="G212" s="18"/>
      <c r="H212" s="21"/>
      <c r="I212" s="937"/>
      <c r="J212" s="919"/>
      <c r="K212" s="922"/>
      <c r="L212" s="932"/>
      <c r="M212" s="935"/>
      <c r="N212" s="18"/>
      <c r="O212" s="24"/>
      <c r="P212" s="23"/>
      <c r="Q212" s="21"/>
      <c r="R212" s="22"/>
      <c r="S212" s="21"/>
      <c r="T212" s="23"/>
      <c r="U212" s="526">
        <v>5</v>
      </c>
      <c r="V212" s="23" t="s">
        <v>88</v>
      </c>
      <c r="W212" s="533"/>
      <c r="X212" s="539"/>
      <c r="Y212" s="533">
        <v>7</v>
      </c>
      <c r="Z212" s="19">
        <v>7</v>
      </c>
      <c r="AA212" s="18"/>
      <c r="AB212" s="24"/>
      <c r="AC212" s="23"/>
      <c r="AD212" s="941"/>
      <c r="AE212" s="944"/>
      <c r="AF212" s="498"/>
      <c r="AG212" s="498"/>
      <c r="AH212" s="498"/>
      <c r="AI212" s="498"/>
      <c r="AJ212" s="498"/>
      <c r="AK212" s="715">
        <v>20000</v>
      </c>
      <c r="AL212" s="498"/>
      <c r="AM212" s="498"/>
      <c r="AN212" s="498"/>
      <c r="AO212" s="498"/>
      <c r="AP212" s="498"/>
      <c r="AQ212" s="498"/>
      <c r="AR212" s="498"/>
      <c r="AS212" s="498"/>
      <c r="AT212" s="498"/>
      <c r="AU212" s="498"/>
      <c r="AV212" s="922"/>
    </row>
    <row r="213" spans="1:48">
      <c r="A213" s="12"/>
      <c r="B213" s="11" t="s">
        <v>8</v>
      </c>
      <c r="C213" s="15"/>
      <c r="D213" s="7"/>
      <c r="E213" s="14"/>
      <c r="F213" s="918"/>
      <c r="G213" s="7"/>
      <c r="H213" s="10"/>
      <c r="I213" s="938"/>
      <c r="J213" s="920"/>
      <c r="K213" s="923"/>
      <c r="L213" s="933"/>
      <c r="M213" s="936"/>
      <c r="N213" s="7"/>
      <c r="O213" s="13"/>
      <c r="P213" s="12"/>
      <c r="Q213" s="10"/>
      <c r="R213" s="11"/>
      <c r="S213" s="10"/>
      <c r="T213" s="12"/>
      <c r="U213" s="527"/>
      <c r="V213" s="12"/>
      <c r="W213" s="538"/>
      <c r="X213" s="541"/>
      <c r="Y213" s="538"/>
      <c r="Z213" s="8"/>
      <c r="AA213" s="7"/>
      <c r="AB213" s="13"/>
      <c r="AC213" s="12"/>
      <c r="AD213" s="942"/>
      <c r="AE213" s="945"/>
      <c r="AF213" s="499"/>
      <c r="AG213" s="499"/>
      <c r="AH213" s="499"/>
      <c r="AI213" s="499"/>
      <c r="AJ213" s="499"/>
      <c r="AK213" s="719"/>
      <c r="AL213" s="499"/>
      <c r="AM213" s="499"/>
      <c r="AN213" s="499"/>
      <c r="AO213" s="499"/>
      <c r="AP213" s="499"/>
      <c r="AQ213" s="499"/>
      <c r="AR213" s="499"/>
      <c r="AS213" s="499"/>
      <c r="AT213" s="499"/>
      <c r="AU213" s="499"/>
      <c r="AV213" s="923"/>
    </row>
    <row r="214" spans="1:48">
      <c r="A214" s="46">
        <v>13</v>
      </c>
      <c r="B214" s="40" t="s">
        <v>25</v>
      </c>
      <c r="C214" s="45" t="s">
        <v>1399</v>
      </c>
      <c r="D214" s="36"/>
      <c r="E214" s="44"/>
      <c r="F214" s="916" t="s">
        <v>1398</v>
      </c>
      <c r="G214" s="43" t="s">
        <v>25</v>
      </c>
      <c r="H214" s="35" t="s">
        <v>1397</v>
      </c>
      <c r="I214" s="939" t="e">
        <f>'[21]Revisi Luas'!K26</f>
        <v>#REF!</v>
      </c>
      <c r="J214" s="927"/>
      <c r="K214" s="921" t="s">
        <v>1396</v>
      </c>
      <c r="L214" s="931" t="s">
        <v>46</v>
      </c>
      <c r="M214" s="934" t="s">
        <v>46</v>
      </c>
      <c r="N214" s="36"/>
      <c r="O214" s="41"/>
      <c r="P214" s="42"/>
      <c r="Q214" s="41"/>
      <c r="R214" s="40"/>
      <c r="S214" s="38"/>
      <c r="T214" s="39"/>
      <c r="U214" s="528"/>
      <c r="V214" s="524"/>
      <c r="W214" s="558"/>
      <c r="X214" s="556"/>
      <c r="Y214" s="558"/>
      <c r="Z214" s="37"/>
      <c r="AA214" s="36"/>
      <c r="AB214" s="35"/>
      <c r="AC214" s="34"/>
      <c r="AD214" s="940"/>
      <c r="AE214" s="943"/>
      <c r="AF214" s="497"/>
      <c r="AG214" s="497"/>
      <c r="AH214" s="497"/>
      <c r="AI214" s="497"/>
      <c r="AJ214" s="497"/>
      <c r="AK214" s="718"/>
      <c r="AL214" s="497"/>
      <c r="AM214" s="497"/>
      <c r="AN214" s="497"/>
      <c r="AO214" s="497"/>
      <c r="AP214" s="497"/>
      <c r="AQ214" s="497"/>
      <c r="AR214" s="497"/>
      <c r="AS214" s="497"/>
      <c r="AT214" s="497"/>
      <c r="AU214" s="497"/>
      <c r="AV214" s="921"/>
    </row>
    <row r="215" spans="1:48">
      <c r="A215" s="23"/>
      <c r="B215" s="22" t="s">
        <v>16</v>
      </c>
      <c r="C215" s="33" t="s">
        <v>1395</v>
      </c>
      <c r="D215" s="18"/>
      <c r="E215" s="17"/>
      <c r="F215" s="917"/>
      <c r="G215" s="18" t="s">
        <v>16</v>
      </c>
      <c r="H215" s="18" t="s">
        <v>19</v>
      </c>
      <c r="I215" s="937"/>
      <c r="J215" s="919"/>
      <c r="K215" s="922"/>
      <c r="L215" s="932"/>
      <c r="M215" s="935"/>
      <c r="N215" s="18"/>
      <c r="O215" s="17"/>
      <c r="P215" s="16"/>
      <c r="Q215" s="27"/>
      <c r="R215" s="22"/>
      <c r="S215" s="31"/>
      <c r="T215" s="32"/>
      <c r="U215" s="73"/>
      <c r="V215" s="525"/>
      <c r="W215" s="532"/>
      <c r="X215" s="557"/>
      <c r="Y215" s="532"/>
      <c r="Z215" s="19"/>
      <c r="AA215" s="18"/>
      <c r="AB215" s="24"/>
      <c r="AC215" s="23"/>
      <c r="AD215" s="941"/>
      <c r="AE215" s="944"/>
      <c r="AF215" s="498"/>
      <c r="AG215" s="498"/>
      <c r="AH215" s="498"/>
      <c r="AI215" s="498"/>
      <c r="AJ215" s="498"/>
      <c r="AK215" s="715"/>
      <c r="AL215" s="498"/>
      <c r="AM215" s="498"/>
      <c r="AN215" s="498"/>
      <c r="AO215" s="498"/>
      <c r="AP215" s="498"/>
      <c r="AQ215" s="498"/>
      <c r="AR215" s="498"/>
      <c r="AS215" s="498"/>
      <c r="AT215" s="498"/>
      <c r="AU215" s="498"/>
      <c r="AV215" s="922"/>
    </row>
    <row r="216" spans="1:48">
      <c r="A216" s="23"/>
      <c r="B216" s="22" t="s">
        <v>18</v>
      </c>
      <c r="C216" s="30" t="s">
        <v>1394</v>
      </c>
      <c r="D216" s="18"/>
      <c r="E216" s="18"/>
      <c r="F216" s="917"/>
      <c r="G216" s="18" t="s">
        <v>18</v>
      </c>
      <c r="H216" s="18" t="s">
        <v>19</v>
      </c>
      <c r="I216" s="937"/>
      <c r="J216" s="919"/>
      <c r="K216" s="922"/>
      <c r="L216" s="932"/>
      <c r="M216" s="935"/>
      <c r="N216" s="18"/>
      <c r="O216" s="24"/>
      <c r="P216" s="23"/>
      <c r="Q216" s="21"/>
      <c r="R216" s="22"/>
      <c r="S216" s="21"/>
      <c r="T216" s="944"/>
      <c r="U216" s="535"/>
      <c r="V216" s="546"/>
      <c r="W216" s="533"/>
      <c r="X216" s="539"/>
      <c r="Y216" s="533"/>
      <c r="Z216" s="19"/>
      <c r="AA216" s="18"/>
      <c r="AB216" s="24"/>
      <c r="AC216" s="23"/>
      <c r="AD216" s="941"/>
      <c r="AE216" s="944"/>
      <c r="AF216" s="498"/>
      <c r="AG216" s="498"/>
      <c r="AH216" s="498"/>
      <c r="AI216" s="498"/>
      <c r="AJ216" s="498"/>
      <c r="AK216" s="715"/>
      <c r="AL216" s="498"/>
      <c r="AM216" s="498"/>
      <c r="AN216" s="498"/>
      <c r="AO216" s="498"/>
      <c r="AP216" s="498"/>
      <c r="AQ216" s="498"/>
      <c r="AR216" s="498"/>
      <c r="AS216" s="498"/>
      <c r="AT216" s="498"/>
      <c r="AU216" s="498"/>
      <c r="AV216" s="922"/>
    </row>
    <row r="217" spans="1:48" ht="41.4">
      <c r="A217" s="23"/>
      <c r="B217" s="26" t="s">
        <v>12</v>
      </c>
      <c r="C217" s="25" t="s">
        <v>1393</v>
      </c>
      <c r="D217" s="18"/>
      <c r="E217" s="24"/>
      <c r="F217" s="917"/>
      <c r="G217" s="18"/>
      <c r="H217" s="21"/>
      <c r="I217" s="937"/>
      <c r="J217" s="919"/>
      <c r="K217" s="922"/>
      <c r="L217" s="932"/>
      <c r="M217" s="935"/>
      <c r="N217" s="18"/>
      <c r="O217" s="24"/>
      <c r="P217" s="23"/>
      <c r="Q217" s="21"/>
      <c r="R217" s="22"/>
      <c r="S217" s="21"/>
      <c r="T217" s="944"/>
      <c r="U217" s="21"/>
      <c r="V217" s="23"/>
      <c r="W217" s="533"/>
      <c r="X217" s="539"/>
      <c r="Y217" s="533"/>
      <c r="Z217" s="19"/>
      <c r="AA217" s="18"/>
      <c r="AB217" s="17"/>
      <c r="AC217" s="16"/>
      <c r="AD217" s="941"/>
      <c r="AE217" s="944"/>
      <c r="AF217" s="498"/>
      <c r="AG217" s="498"/>
      <c r="AH217" s="498"/>
      <c r="AI217" s="498"/>
      <c r="AJ217" s="498"/>
      <c r="AK217" s="715"/>
      <c r="AL217" s="498"/>
      <c r="AM217" s="498"/>
      <c r="AN217" s="498"/>
      <c r="AO217" s="498"/>
      <c r="AP217" s="498"/>
      <c r="AQ217" s="498"/>
      <c r="AR217" s="498"/>
      <c r="AS217" s="498"/>
      <c r="AT217" s="498"/>
      <c r="AU217" s="498"/>
      <c r="AV217" s="922"/>
    </row>
    <row r="218" spans="1:48">
      <c r="A218" s="12"/>
      <c r="B218" s="11" t="s">
        <v>8</v>
      </c>
      <c r="C218" s="15" t="s">
        <v>1392</v>
      </c>
      <c r="D218" s="7"/>
      <c r="E218" s="14"/>
      <c r="F218" s="918"/>
      <c r="G218" s="7"/>
      <c r="H218" s="10"/>
      <c r="I218" s="938"/>
      <c r="J218" s="920"/>
      <c r="K218" s="923"/>
      <c r="L218" s="933"/>
      <c r="M218" s="936"/>
      <c r="N218" s="7"/>
      <c r="O218" s="13"/>
      <c r="P218" s="12"/>
      <c r="Q218" s="10"/>
      <c r="R218" s="11"/>
      <c r="S218" s="10"/>
      <c r="T218" s="945"/>
      <c r="U218" s="496"/>
      <c r="V218" s="499"/>
      <c r="W218" s="538"/>
      <c r="X218" s="541"/>
      <c r="Y218" s="538"/>
      <c r="Z218" s="8"/>
      <c r="AA218" s="7"/>
      <c r="AB218" s="6"/>
      <c r="AC218" s="5"/>
      <c r="AD218" s="942"/>
      <c r="AE218" s="945"/>
      <c r="AF218" s="499"/>
      <c r="AG218" s="499"/>
      <c r="AH218" s="499"/>
      <c r="AI218" s="499"/>
      <c r="AJ218" s="499"/>
      <c r="AK218" s="719"/>
      <c r="AL218" s="499"/>
      <c r="AM218" s="499"/>
      <c r="AN218" s="499"/>
      <c r="AO218" s="499"/>
      <c r="AP218" s="499"/>
      <c r="AQ218" s="499"/>
      <c r="AR218" s="499"/>
      <c r="AS218" s="499"/>
      <c r="AT218" s="499"/>
      <c r="AU218" s="499"/>
      <c r="AV218" s="923"/>
    </row>
    <row r="220" spans="1:48">
      <c r="A220" s="1"/>
      <c r="B220" s="1"/>
      <c r="C220" s="1"/>
      <c r="D220" s="1"/>
      <c r="E220" s="1"/>
      <c r="F220" s="3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463"/>
      <c r="V220" s="463"/>
      <c r="W220" s="551"/>
      <c r="X220" s="551"/>
      <c r="Y220" s="551"/>
      <c r="Z220" s="1"/>
      <c r="AA220" s="1"/>
      <c r="AB220" s="1"/>
      <c r="AC220" s="1" t="s">
        <v>1806</v>
      </c>
      <c r="AD220" s="1"/>
      <c r="AE220" s="1"/>
      <c r="AF220" s="1"/>
      <c r="AG220" s="1"/>
      <c r="AH220" s="1"/>
      <c r="AI220" s="1"/>
      <c r="AJ220" s="1"/>
      <c r="AK220" s="714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>
      <c r="A221" s="1"/>
      <c r="B221" s="1"/>
      <c r="C221" s="1"/>
      <c r="D221" s="1"/>
      <c r="E221" s="1"/>
      <c r="F221" s="3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463"/>
      <c r="V221" s="463"/>
      <c r="W221" s="551"/>
      <c r="X221" s="551"/>
      <c r="Y221" s="55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714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>
      <c r="A222" s="930" t="s">
        <v>562</v>
      </c>
      <c r="B222" s="930"/>
      <c r="C222" s="930"/>
      <c r="D222" s="930"/>
      <c r="E222" s="930"/>
      <c r="F222" s="930"/>
      <c r="G222" s="930"/>
      <c r="H222" s="930"/>
      <c r="I222" s="930"/>
      <c r="J222" s="930"/>
      <c r="K222" s="930"/>
      <c r="L222" s="930"/>
      <c r="M222" s="930"/>
      <c r="N222" s="930"/>
      <c r="O222" s="930"/>
      <c r="P222" s="930"/>
      <c r="Q222" s="930"/>
      <c r="R222" s="930"/>
      <c r="S222" s="930"/>
      <c r="T222" s="930"/>
      <c r="U222" s="930"/>
      <c r="V222" s="930"/>
      <c r="W222" s="930"/>
      <c r="X222" s="930"/>
      <c r="Y222" s="930"/>
      <c r="Z222" s="930"/>
      <c r="AA222" s="930"/>
      <c r="AB222" s="930"/>
      <c r="AC222" s="930"/>
      <c r="AD222" s="930"/>
      <c r="AE222" s="930"/>
      <c r="AF222" s="930"/>
      <c r="AG222" s="930"/>
      <c r="AH222" s="930"/>
      <c r="AI222" s="930"/>
      <c r="AJ222" s="930"/>
      <c r="AK222" s="930"/>
      <c r="AL222" s="930"/>
      <c r="AM222" s="930"/>
      <c r="AN222" s="930"/>
      <c r="AO222" s="930"/>
      <c r="AP222" s="930"/>
      <c r="AQ222" s="930"/>
      <c r="AR222" s="930"/>
      <c r="AS222" s="930"/>
      <c r="AT222" s="930"/>
      <c r="AU222" s="930"/>
      <c r="AV222" s="930"/>
    </row>
    <row r="223" spans="1:48">
      <c r="A223" s="1"/>
      <c r="B223" s="1"/>
      <c r="C223" s="1"/>
      <c r="D223" s="1"/>
      <c r="E223" s="438" t="s">
        <v>1536</v>
      </c>
      <c r="F223" s="3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463"/>
      <c r="V223" s="463"/>
      <c r="W223" s="551"/>
      <c r="X223" s="551"/>
      <c r="Y223" s="551"/>
      <c r="Z223" s="1"/>
      <c r="AA223" s="438" t="s">
        <v>1535</v>
      </c>
      <c r="AB223" s="1"/>
      <c r="AC223" s="1"/>
      <c r="AD223" s="1"/>
      <c r="AE223" s="1"/>
      <c r="AF223" s="1"/>
      <c r="AG223" s="1"/>
      <c r="AH223" s="1"/>
      <c r="AI223" s="1"/>
      <c r="AJ223" s="1"/>
      <c r="AK223" s="714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>
      <c r="A224" s="1"/>
      <c r="B224" s="1"/>
      <c r="C224" s="1"/>
      <c r="D224" s="1"/>
      <c r="E224" s="438" t="s">
        <v>559</v>
      </c>
      <c r="F224" s="3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463"/>
      <c r="V224" s="463"/>
      <c r="W224" s="551"/>
      <c r="X224" s="551"/>
      <c r="Y224" s="551"/>
      <c r="Z224" s="1"/>
      <c r="AA224" s="438" t="s">
        <v>559</v>
      </c>
      <c r="AB224" s="1"/>
      <c r="AC224" s="1"/>
      <c r="AD224" s="1"/>
      <c r="AE224" s="1"/>
      <c r="AF224" s="1"/>
      <c r="AG224" s="1"/>
      <c r="AH224" s="1"/>
      <c r="AI224" s="1"/>
      <c r="AJ224" s="1"/>
      <c r="AK224" s="714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>
      <c r="A225" s="1"/>
      <c r="B225" s="1"/>
      <c r="C225" s="1"/>
      <c r="D225" s="1"/>
      <c r="E225" s="438"/>
      <c r="F225" s="3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463"/>
      <c r="V225" s="463"/>
      <c r="W225" s="551"/>
      <c r="X225" s="551"/>
      <c r="Y225" s="551"/>
      <c r="Z225" s="1"/>
      <c r="AA225" s="438"/>
      <c r="AB225" s="1"/>
      <c r="AC225" s="1"/>
      <c r="AD225" s="1"/>
      <c r="AE225" s="1"/>
      <c r="AF225" s="1"/>
      <c r="AG225" s="1"/>
      <c r="AH225" s="1"/>
      <c r="AI225" s="1"/>
      <c r="AJ225" s="1"/>
      <c r="AK225" s="714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>
      <c r="A226" s="1"/>
      <c r="B226" s="1"/>
      <c r="C226" s="1"/>
      <c r="D226" s="1"/>
      <c r="E226" s="438"/>
      <c r="F226" s="3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463"/>
      <c r="V226" s="463"/>
      <c r="W226" s="551"/>
      <c r="X226" s="551"/>
      <c r="Y226" s="551"/>
      <c r="Z226" s="1"/>
      <c r="AA226" s="438"/>
      <c r="AB226" s="1"/>
      <c r="AC226" s="1"/>
      <c r="AD226" s="1"/>
      <c r="AE226" s="1"/>
      <c r="AF226" s="1"/>
      <c r="AG226" s="1"/>
      <c r="AH226" s="1"/>
      <c r="AI226" s="1"/>
      <c r="AJ226" s="1"/>
      <c r="AK226" s="714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>
      <c r="A227" s="1"/>
      <c r="B227" s="1"/>
      <c r="C227" s="1"/>
      <c r="D227" s="1"/>
      <c r="E227" s="487" t="s">
        <v>1805</v>
      </c>
      <c r="F227" s="3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463"/>
      <c r="V227" s="463"/>
      <c r="W227" s="551"/>
      <c r="X227" s="551"/>
      <c r="Y227" s="551"/>
      <c r="Z227" s="1"/>
      <c r="AA227" s="487" t="s">
        <v>1805</v>
      </c>
      <c r="AB227" s="1"/>
      <c r="AC227" s="1"/>
      <c r="AD227" s="1"/>
      <c r="AE227" s="1"/>
      <c r="AF227" s="1"/>
      <c r="AG227" s="1"/>
      <c r="AH227" s="1"/>
      <c r="AI227" s="1"/>
      <c r="AJ227" s="1"/>
      <c r="AK227" s="714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>
      <c r="A228" s="1"/>
      <c r="B228" s="1"/>
      <c r="C228" s="1"/>
      <c r="D228" s="1"/>
      <c r="E228" s="438"/>
      <c r="F228" s="3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463"/>
      <c r="V228" s="463"/>
      <c r="W228" s="551"/>
      <c r="X228" s="551"/>
      <c r="Y228" s="551"/>
      <c r="Z228" s="1"/>
      <c r="AA228" s="438"/>
      <c r="AB228" s="1"/>
      <c r="AC228" s="1"/>
      <c r="AD228" s="1"/>
      <c r="AE228" s="1"/>
      <c r="AF228" s="1"/>
      <c r="AG228" s="1"/>
      <c r="AH228" s="1"/>
      <c r="AI228" s="1"/>
      <c r="AJ228" s="1"/>
      <c r="AK228" s="714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>
      <c r="A229" s="1"/>
      <c r="B229" s="1"/>
      <c r="C229" s="1"/>
      <c r="D229" s="1"/>
      <c r="E229" s="438"/>
      <c r="F229" s="3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463"/>
      <c r="V229" s="463"/>
      <c r="W229" s="551"/>
      <c r="X229" s="551"/>
      <c r="Y229" s="551"/>
      <c r="Z229" s="1"/>
      <c r="AA229" s="438"/>
      <c r="AB229" s="1"/>
      <c r="AC229" s="1"/>
      <c r="AD229" s="1"/>
      <c r="AE229" s="1"/>
      <c r="AF229" s="1"/>
      <c r="AG229" s="1"/>
      <c r="AH229" s="1"/>
      <c r="AI229" s="1"/>
      <c r="AJ229" s="1"/>
      <c r="AK229" s="714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>
      <c r="A230" s="1"/>
      <c r="B230" s="1"/>
      <c r="C230" s="1"/>
      <c r="D230" s="1"/>
      <c r="E230" s="438"/>
      <c r="F230" s="3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463"/>
      <c r="V230" s="463"/>
      <c r="W230" s="551"/>
      <c r="X230" s="551"/>
      <c r="Y230" s="551"/>
      <c r="Z230" s="1"/>
      <c r="AA230" s="438"/>
      <c r="AB230" s="1"/>
      <c r="AC230" s="1"/>
      <c r="AD230" s="1"/>
      <c r="AE230" s="1"/>
      <c r="AF230" s="1"/>
      <c r="AG230" s="1"/>
      <c r="AH230" s="1"/>
      <c r="AI230" s="1"/>
      <c r="AJ230" s="1"/>
      <c r="AK230" s="714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>
      <c r="A231" s="1"/>
      <c r="B231" s="1"/>
      <c r="C231" s="1"/>
      <c r="D231" s="1"/>
      <c r="E231" s="434" t="s">
        <v>1534</v>
      </c>
      <c r="F231" s="3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463"/>
      <c r="V231" s="463"/>
      <c r="W231" s="551"/>
      <c r="X231" s="551"/>
      <c r="Y231" s="564"/>
      <c r="Z231" s="1"/>
      <c r="AA231" s="434" t="s">
        <v>1801</v>
      </c>
      <c r="AB231" s="1"/>
      <c r="AC231" s="1"/>
      <c r="AD231" s="1"/>
      <c r="AE231" s="1"/>
      <c r="AF231" s="1"/>
      <c r="AG231" s="1"/>
      <c r="AH231" s="1"/>
      <c r="AI231" s="1"/>
      <c r="AJ231" s="1"/>
      <c r="AK231" s="714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>
      <c r="A232" s="1"/>
      <c r="B232" s="1"/>
      <c r="C232" s="1"/>
      <c r="D232" s="1"/>
      <c r="E232" s="438" t="s">
        <v>556</v>
      </c>
      <c r="F232" s="3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463"/>
      <c r="V232" s="463"/>
      <c r="W232" s="551"/>
      <c r="X232" s="551"/>
      <c r="Y232" s="551"/>
      <c r="Z232" s="1"/>
      <c r="AA232" s="459" t="s">
        <v>1802</v>
      </c>
      <c r="AB232" s="1"/>
      <c r="AC232" s="1"/>
      <c r="AD232" s="1"/>
      <c r="AE232" s="1"/>
      <c r="AF232" s="1"/>
      <c r="AG232" s="1"/>
      <c r="AH232" s="1"/>
      <c r="AI232" s="1"/>
      <c r="AJ232" s="1"/>
      <c r="AK232" s="714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</sheetData>
  <autoFilter ref="V1:V232">
    <filterColumn colId="0"/>
  </autoFilter>
  <mergeCells count="167">
    <mergeCell ref="A6:AV6"/>
    <mergeCell ref="A7:AV7"/>
    <mergeCell ref="A8:AV8"/>
    <mergeCell ref="A9:AV9"/>
    <mergeCell ref="AD209:AD213"/>
    <mergeCell ref="AE209:AE213"/>
    <mergeCell ref="AV209:AV213"/>
    <mergeCell ref="T216:T218"/>
    <mergeCell ref="AD204:AD208"/>
    <mergeCell ref="AE204:AE208"/>
    <mergeCell ref="AV204:AV208"/>
    <mergeCell ref="T206:T208"/>
    <mergeCell ref="F209:F213"/>
    <mergeCell ref="AD188:AD192"/>
    <mergeCell ref="AE188:AE192"/>
    <mergeCell ref="AV188:AV192"/>
    <mergeCell ref="AV193:AV203"/>
    <mergeCell ref="F204:F208"/>
    <mergeCell ref="I204:I208"/>
    <mergeCell ref="J204:J208"/>
    <mergeCell ref="K204:K208"/>
    <mergeCell ref="L204:L208"/>
    <mergeCell ref="M204:M208"/>
    <mergeCell ref="F193:F203"/>
    <mergeCell ref="I193:I203"/>
    <mergeCell ref="K193:K203"/>
    <mergeCell ref="AE171:AE182"/>
    <mergeCell ref="AV171:AV182"/>
    <mergeCell ref="AD166:AD170"/>
    <mergeCell ref="I171:I182"/>
    <mergeCell ref="F183:F187"/>
    <mergeCell ref="I183:I187"/>
    <mergeCell ref="K183:K187"/>
    <mergeCell ref="L183:L187"/>
    <mergeCell ref="M183:M187"/>
    <mergeCell ref="AD183:AD187"/>
    <mergeCell ref="AE183:AE187"/>
    <mergeCell ref="AV183:AV187"/>
    <mergeCell ref="K171:K182"/>
    <mergeCell ref="L171:L182"/>
    <mergeCell ref="M171:M182"/>
    <mergeCell ref="AD171:AD182"/>
    <mergeCell ref="AE157:AE165"/>
    <mergeCell ref="L151:L156"/>
    <mergeCell ref="F166:F170"/>
    <mergeCell ref="I166:I170"/>
    <mergeCell ref="K166:K170"/>
    <mergeCell ref="L166:L170"/>
    <mergeCell ref="M166:M170"/>
    <mergeCell ref="AV157:AV165"/>
    <mergeCell ref="AE166:AE170"/>
    <mergeCell ref="AV166:AV170"/>
    <mergeCell ref="I157:I165"/>
    <mergeCell ref="J157:J165"/>
    <mergeCell ref="AD157:AD165"/>
    <mergeCell ref="F157:F165"/>
    <mergeCell ref="F151:F156"/>
    <mergeCell ref="I151:I156"/>
    <mergeCell ref="J151:J156"/>
    <mergeCell ref="K151:K156"/>
    <mergeCell ref="AD151:AD156"/>
    <mergeCell ref="AE151:AE156"/>
    <mergeCell ref="AV151:AV156"/>
    <mergeCell ref="F36:F150"/>
    <mergeCell ref="I36:I150"/>
    <mergeCell ref="J36:J150"/>
    <mergeCell ref="K36:K150"/>
    <mergeCell ref="L36:L150"/>
    <mergeCell ref="M36:M150"/>
    <mergeCell ref="AD36:AD150"/>
    <mergeCell ref="AE36:AE150"/>
    <mergeCell ref="AV36:AV150"/>
    <mergeCell ref="T17:T19"/>
    <mergeCell ref="AD20:AD24"/>
    <mergeCell ref="AE20:AE24"/>
    <mergeCell ref="AV20:AV24"/>
    <mergeCell ref="N14:O14"/>
    <mergeCell ref="AA14:AB14"/>
    <mergeCell ref="G12:H13"/>
    <mergeCell ref="L25:L35"/>
    <mergeCell ref="M25:M35"/>
    <mergeCell ref="AD25:AD35"/>
    <mergeCell ref="AE25:AE35"/>
    <mergeCell ref="AV25:AV35"/>
    <mergeCell ref="K25:K35"/>
    <mergeCell ref="AU11:AU14"/>
    <mergeCell ref="AF11:AT11"/>
    <mergeCell ref="AF12:AN12"/>
    <mergeCell ref="AO12:AS12"/>
    <mergeCell ref="AF13:AG13"/>
    <mergeCell ref="AH13:AJ13"/>
    <mergeCell ref="AK13:AM13"/>
    <mergeCell ref="AN13:AN14"/>
    <mergeCell ref="AO13:AP13"/>
    <mergeCell ref="AQ13:AR13"/>
    <mergeCell ref="A15:A19"/>
    <mergeCell ref="F15:F19"/>
    <mergeCell ref="J15:J19"/>
    <mergeCell ref="K15:K19"/>
    <mergeCell ref="L15:L19"/>
    <mergeCell ref="L20:L24"/>
    <mergeCell ref="M20:M24"/>
    <mergeCell ref="A10:AV10"/>
    <mergeCell ref="A11:A13"/>
    <mergeCell ref="B12:C13"/>
    <mergeCell ref="D12:E13"/>
    <mergeCell ref="I12:I13"/>
    <mergeCell ref="J12:J13"/>
    <mergeCell ref="U11:Z11"/>
    <mergeCell ref="AA11:AC11"/>
    <mergeCell ref="M12:M13"/>
    <mergeCell ref="N12:O13"/>
    <mergeCell ref="P12:P13"/>
    <mergeCell ref="K12:K13"/>
    <mergeCell ref="L12:L13"/>
    <mergeCell ref="B11:E11"/>
    <mergeCell ref="F11:K11"/>
    <mergeCell ref="AD15:AD19"/>
    <mergeCell ref="AE15:AE19"/>
    <mergeCell ref="AD214:AD218"/>
    <mergeCell ref="AE214:AE218"/>
    <mergeCell ref="AV214:AV218"/>
    <mergeCell ref="F214:F218"/>
    <mergeCell ref="I214:I218"/>
    <mergeCell ref="J214:J218"/>
    <mergeCell ref="K214:K218"/>
    <mergeCell ref="AD11:AD13"/>
    <mergeCell ref="R12:S13"/>
    <mergeCell ref="T12:T13"/>
    <mergeCell ref="U12:Y12"/>
    <mergeCell ref="Z12:Z13"/>
    <mergeCell ref="AA12:AB13"/>
    <mergeCell ref="AC12:AC13"/>
    <mergeCell ref="M15:M19"/>
    <mergeCell ref="R14:S14"/>
    <mergeCell ref="Q12:Q13"/>
    <mergeCell ref="L11:M11"/>
    <mergeCell ref="N11:Q11"/>
    <mergeCell ref="R11:T11"/>
    <mergeCell ref="AE11:AE13"/>
    <mergeCell ref="AV11:AV13"/>
    <mergeCell ref="F12:F13"/>
    <mergeCell ref="AV15:AV19"/>
    <mergeCell ref="A222:AV222"/>
    <mergeCell ref="L214:L218"/>
    <mergeCell ref="M214:M218"/>
    <mergeCell ref="F20:F24"/>
    <mergeCell ref="I20:I24"/>
    <mergeCell ref="J20:J24"/>
    <mergeCell ref="K20:K24"/>
    <mergeCell ref="M151:M156"/>
    <mergeCell ref="K157:K165"/>
    <mergeCell ref="L157:L165"/>
    <mergeCell ref="M157:M165"/>
    <mergeCell ref="F188:F192"/>
    <mergeCell ref="I188:I192"/>
    <mergeCell ref="K188:K192"/>
    <mergeCell ref="L188:L192"/>
    <mergeCell ref="M188:M192"/>
    <mergeCell ref="I209:I213"/>
    <mergeCell ref="J209:J213"/>
    <mergeCell ref="K209:K213"/>
    <mergeCell ref="L209:L213"/>
    <mergeCell ref="M209:M213"/>
    <mergeCell ref="F25:F35"/>
    <mergeCell ref="I25:I35"/>
    <mergeCell ref="J25:J35"/>
  </mergeCells>
  <printOptions horizontalCentered="1"/>
  <pageMargins left="0.19685039370078741" right="0.19685039370078741" top="0.74803149606299213" bottom="0.19685039370078741" header="0.31496062992125984" footer="0.31496062992125984"/>
  <pageSetup paperSize="8" scale="40" fitToHeight="0" orientation="landscape" horizontalDpi="4294967293" verticalDpi="4294967293" r:id="rId1"/>
  <headerFooter>
    <oddHeader>&amp;RPage &amp;P of &amp;N</oddHeader>
  </headerFooter>
  <rowBreaks count="1" manualBreakCount="1">
    <brk id="203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Z1)</vt:lpstr>
      <vt:lpstr>Z2</vt:lpstr>
      <vt:lpstr>Z2.</vt:lpstr>
      <vt:lpstr>Z3</vt:lpstr>
      <vt:lpstr>Z4</vt:lpstr>
      <vt:lpstr>Z5</vt:lpstr>
      <vt:lpstr>Resum</vt:lpstr>
      <vt:lpstr>SUKAMULYA GABUNG</vt:lpstr>
      <vt:lpstr>KERTAJATI  2017</vt:lpstr>
      <vt:lpstr>BANTARJATI</vt:lpstr>
      <vt:lpstr>KERTASARI</vt:lpstr>
      <vt:lpstr>SUKAKERTA</vt:lpstr>
      <vt:lpstr>'KERTAJATI  2017'!Print_Area</vt:lpstr>
      <vt:lpstr>KERTASARI!Print_Area</vt:lpstr>
      <vt:lpstr>'SUKAMULYA GABUNG'!Print_Area</vt:lpstr>
      <vt:lpstr>'Z1)'!Print_Area</vt:lpstr>
      <vt:lpstr>'Z2'!Print_Area</vt:lpstr>
      <vt:lpstr>Z2.!Print_Area</vt:lpstr>
      <vt:lpstr>'Z3'!Print_Area</vt:lpstr>
      <vt:lpstr>'Z4'!Print_Area</vt:lpstr>
      <vt:lpstr>'Z5'!Print_Area</vt:lpstr>
      <vt:lpstr>KERTASARI!Print_Titles</vt:lpstr>
      <vt:lpstr>SUKAKERTA!Print_Titles</vt:lpstr>
      <vt:lpstr>'SUKAMULYA GABUNG'!Print_Titles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PANJI</cp:lastModifiedBy>
  <cp:lastPrinted>2017-12-24T12:38:13Z</cp:lastPrinted>
  <dcterms:created xsi:type="dcterms:W3CDTF">2017-12-09T13:00:05Z</dcterms:created>
  <dcterms:modified xsi:type="dcterms:W3CDTF">2017-12-24T16:27:20Z</dcterms:modified>
</cp:coreProperties>
</file>