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Single Exponential Smoothing" sheetId="1" r:id="rId1"/>
    <sheet name="Double Exponential Smoothing" sheetId="4" r:id="rId2"/>
    <sheet name="Sheet2" sheetId="5" r:id="rId3"/>
    <sheet name="Trend Moment" sheetId="2" r:id="rId4"/>
    <sheet name="Least Square" sheetId="3" r:id="rId5"/>
  </sheets>
  <calcPr calcId="152511"/>
</workbook>
</file>

<file path=xl/calcChain.xml><?xml version="1.0" encoding="utf-8"?>
<calcChain xmlns="http://schemas.openxmlformats.org/spreadsheetml/2006/main">
  <c r="C26" i="4" l="1"/>
  <c r="D26" i="4"/>
  <c r="E26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4" i="4"/>
  <c r="G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G26" i="4" s="1"/>
  <c r="F4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E21" i="4" s="1"/>
  <c r="C22" i="4"/>
  <c r="C23" i="4"/>
  <c r="C24" i="4"/>
  <c r="C25" i="4"/>
  <c r="E25" i="4" s="1"/>
  <c r="C4" i="4"/>
  <c r="E23" i="4"/>
  <c r="F5" i="1"/>
  <c r="D5" i="1"/>
  <c r="E24" i="4" l="1"/>
  <c r="E17" i="4"/>
  <c r="E13" i="4"/>
  <c r="E9" i="4"/>
  <c r="E5" i="4"/>
  <c r="E20" i="4"/>
  <c r="E16" i="4"/>
  <c r="E12" i="4"/>
  <c r="E8" i="4"/>
  <c r="E19" i="4"/>
  <c r="E15" i="4"/>
  <c r="E11" i="4"/>
  <c r="E7" i="4"/>
  <c r="H4" i="4"/>
  <c r="I4" i="4" s="1"/>
  <c r="E28" i="1"/>
  <c r="E27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J15" i="3"/>
  <c r="J14" i="3"/>
  <c r="K27" i="2"/>
  <c r="J16" i="2"/>
  <c r="J15" i="2"/>
  <c r="K22" i="2"/>
  <c r="K25" i="2"/>
  <c r="K26" i="2"/>
  <c r="K24" i="2"/>
  <c r="K21" i="2"/>
  <c r="K20" i="2"/>
  <c r="K19" i="2"/>
  <c r="J14" i="2"/>
  <c r="J13" i="2"/>
  <c r="I10" i="2"/>
  <c r="I6" i="2"/>
  <c r="E10" i="4" l="1"/>
  <c r="E14" i="4"/>
  <c r="E18" i="4"/>
  <c r="E6" i="4"/>
  <c r="E22" i="4"/>
  <c r="J4" i="4"/>
  <c r="H5" i="4"/>
  <c r="G7" i="1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35" i="3"/>
  <c r="J7" i="3"/>
  <c r="J11" i="3"/>
  <c r="J4" i="3"/>
  <c r="L3" i="3"/>
  <c r="K3" i="3"/>
  <c r="J3" i="3"/>
  <c r="K4" i="3"/>
  <c r="M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" i="3"/>
  <c r="J5" i="4" l="1"/>
  <c r="I5" i="4"/>
  <c r="H6" i="4"/>
  <c r="K3" i="2"/>
  <c r="J3" i="2"/>
  <c r="K2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H7" i="4" l="1"/>
  <c r="J6" i="4"/>
  <c r="I6" i="4"/>
  <c r="L2" i="2"/>
  <c r="M2" i="2"/>
  <c r="H8" i="4" l="1"/>
  <c r="J7" i="4"/>
  <c r="I7" i="4"/>
  <c r="G6" i="1"/>
  <c r="I6" i="1" s="1"/>
  <c r="G24" i="1"/>
  <c r="G20" i="1"/>
  <c r="G16" i="1"/>
  <c r="G12" i="1"/>
  <c r="G8" i="1"/>
  <c r="G4" i="1"/>
  <c r="G26" i="1"/>
  <c r="I26" i="1" s="1"/>
  <c r="G22" i="1"/>
  <c r="I22" i="1" s="1"/>
  <c r="G18" i="1"/>
  <c r="I18" i="1" s="1"/>
  <c r="G14" i="1"/>
  <c r="I14" i="1" s="1"/>
  <c r="G10" i="1"/>
  <c r="I10" i="1" s="1"/>
  <c r="G25" i="1"/>
  <c r="G21" i="1"/>
  <c r="G17" i="1"/>
  <c r="G13" i="1"/>
  <c r="G9" i="1"/>
  <c r="G5" i="1"/>
  <c r="G23" i="1"/>
  <c r="G19" i="1"/>
  <c r="G15" i="1"/>
  <c r="G11" i="1"/>
  <c r="H6" i="1"/>
  <c r="H22" i="1"/>
  <c r="H9" i="4" l="1"/>
  <c r="I8" i="4"/>
  <c r="J8" i="4"/>
  <c r="H26" i="1"/>
  <c r="H18" i="1"/>
  <c r="H10" i="1"/>
  <c r="H23" i="1"/>
  <c r="I23" i="1"/>
  <c r="I17" i="1"/>
  <c r="H17" i="1"/>
  <c r="H4" i="1"/>
  <c r="I4" i="1"/>
  <c r="H14" i="1"/>
  <c r="I5" i="1"/>
  <c r="H5" i="1"/>
  <c r="I21" i="1"/>
  <c r="H21" i="1"/>
  <c r="H15" i="1"/>
  <c r="I15" i="1"/>
  <c r="H25" i="1"/>
  <c r="I25" i="1"/>
  <c r="H12" i="1"/>
  <c r="I12" i="1"/>
  <c r="H7" i="1"/>
  <c r="I7" i="1"/>
  <c r="I20" i="1"/>
  <c r="H20" i="1"/>
  <c r="I11" i="1"/>
  <c r="H11" i="1"/>
  <c r="H8" i="1"/>
  <c r="I8" i="1"/>
  <c r="H24" i="1"/>
  <c r="I24" i="1"/>
  <c r="I9" i="1"/>
  <c r="H9" i="1"/>
  <c r="H19" i="1"/>
  <c r="I19" i="1"/>
  <c r="H13" i="1"/>
  <c r="I13" i="1"/>
  <c r="I16" i="1"/>
  <c r="H16" i="1"/>
  <c r="G27" i="1"/>
  <c r="G28" i="1" s="1"/>
  <c r="H10" i="4" l="1"/>
  <c r="J9" i="4"/>
  <c r="I9" i="4"/>
  <c r="I27" i="1"/>
  <c r="H27" i="1"/>
  <c r="H28" i="1" s="1"/>
  <c r="H11" i="4" l="1"/>
  <c r="I10" i="4"/>
  <c r="J10" i="4"/>
  <c r="I30" i="1"/>
  <c r="I28" i="1"/>
  <c r="H12" i="4" l="1"/>
  <c r="J11" i="4"/>
  <c r="I11" i="4"/>
  <c r="J12" i="4" l="1"/>
  <c r="I12" i="4"/>
  <c r="H13" i="4"/>
  <c r="I13" i="4" l="1"/>
  <c r="J13" i="4"/>
  <c r="H14" i="4"/>
  <c r="J14" i="4" l="1"/>
  <c r="I14" i="4"/>
  <c r="H15" i="4"/>
  <c r="I15" i="4" l="1"/>
  <c r="J15" i="4"/>
  <c r="H16" i="4"/>
  <c r="J16" i="4" l="1"/>
  <c r="I16" i="4"/>
  <c r="H17" i="4"/>
  <c r="I17" i="4" l="1"/>
  <c r="J17" i="4"/>
  <c r="H18" i="4"/>
  <c r="J18" i="4" l="1"/>
  <c r="I18" i="4"/>
  <c r="H19" i="4"/>
  <c r="I19" i="4" l="1"/>
  <c r="J19" i="4"/>
  <c r="H20" i="4"/>
  <c r="J20" i="4" l="1"/>
  <c r="I20" i="4"/>
  <c r="H21" i="4"/>
  <c r="I21" i="4" l="1"/>
  <c r="J21" i="4"/>
  <c r="H22" i="4"/>
  <c r="J22" i="4" l="1"/>
  <c r="I22" i="4"/>
  <c r="H23" i="4"/>
  <c r="I23" i="4" l="1"/>
  <c r="J23" i="4"/>
  <c r="H24" i="4"/>
  <c r="J24" i="4" l="1"/>
  <c r="I24" i="4"/>
  <c r="H26" i="4"/>
  <c r="H25" i="4"/>
  <c r="I25" i="4" l="1"/>
  <c r="J25" i="4"/>
  <c r="J26" i="4"/>
  <c r="I26" i="4"/>
</calcChain>
</file>

<file path=xl/sharedStrings.xml><?xml version="1.0" encoding="utf-8"?>
<sst xmlns="http://schemas.openxmlformats.org/spreadsheetml/2006/main" count="181" uniqueCount="85">
  <si>
    <t>Bulan</t>
  </si>
  <si>
    <t>No (Ft)</t>
  </si>
  <si>
    <t>apabila data sampel yg digunakan bergerak tidak stabil, maka gunakan nilai alpha mendekati 1, misal 0.8, 0.9 Sedangkan apabila data sampel yg digunakan pergerakannya stabil, gunakan nilai yg mendekati 0</t>
  </si>
  <si>
    <t>note : F1 nilai nya 105 karena data sebelumnya tidak ada atau 0</t>
  </si>
  <si>
    <t>didalam kasus ini menggunakan alpha 0.9</t>
  </si>
  <si>
    <t xml:space="preserve">Menentukan nilai α 
α disebut pemulusan konstan. Dalam metode  exponential  smoothing, nilai  α  bisa 
ditentukan secara bebas, artinya tidak ada  suatu cara yang pasti untuk mendapatkan nilai  α 
yang optimal.  Maka pemilihan nilai  α  dilakukan dengan cara trial dan error.  Besarnya  α 
terletak antara 0 dan 1.
</t>
  </si>
  <si>
    <t>Rumus sama dengan di atas</t>
  </si>
  <si>
    <t>Fᵼ = ramalan sebelumnya (untuk periode waktu t)</t>
  </si>
  <si>
    <t>idenya sederhana - estimasi baru adalah estimasi lama</t>
  </si>
  <si>
    <t>ditambah sebagian kecil dari kesalahan di periode terakhir</t>
  </si>
  <si>
    <r>
      <rPr>
        <b/>
        <i/>
        <sz val="12"/>
        <color theme="1"/>
        <rFont val="Calibri"/>
        <family val="2"/>
        <scheme val="minor"/>
      </rPr>
      <t xml:space="preserve">Fᵼ₊₁ </t>
    </r>
    <r>
      <rPr>
        <b/>
        <sz val="12"/>
        <color theme="1"/>
        <rFont val="Calibri"/>
        <family val="2"/>
        <scheme val="minor"/>
      </rPr>
      <t>= perkiraan baru (untuk periode waktu ᵼ₊₁)</t>
    </r>
  </si>
  <si>
    <r>
      <t xml:space="preserve">α = konstanta perataan (0 </t>
    </r>
    <r>
      <rPr>
        <b/>
        <sz val="12"/>
        <color theme="1"/>
        <rFont val="Calibri"/>
        <family val="2"/>
      </rPr>
      <t>≤ α ≥ 1)</t>
    </r>
  </si>
  <si>
    <r>
      <t>Yt</t>
    </r>
    <r>
      <rPr>
        <b/>
        <sz val="12"/>
        <color theme="1"/>
        <rFont val="Calibri"/>
        <family val="2"/>
        <scheme val="minor"/>
      </rPr>
      <t xml:space="preserve"> = permintaan aktual periode sebelumnya</t>
    </r>
  </si>
  <si>
    <r>
      <rPr>
        <b/>
        <i/>
        <sz val="16"/>
        <color theme="1"/>
        <rFont val="Calibri"/>
        <family val="2"/>
        <scheme val="minor"/>
      </rPr>
      <t>F</t>
    </r>
    <r>
      <rPr>
        <b/>
        <i/>
        <sz val="16"/>
        <color theme="1"/>
        <rFont val="Calibri"/>
        <family val="2"/>
      </rPr>
      <t>ᵼ</t>
    </r>
    <r>
      <rPr>
        <b/>
        <sz val="16"/>
        <color theme="1"/>
        <rFont val="Calibri"/>
        <family val="2"/>
      </rPr>
      <t xml:space="preserve">₊₁ = </t>
    </r>
    <r>
      <rPr>
        <b/>
        <i/>
        <sz val="16"/>
        <color theme="1"/>
        <rFont val="Calibri"/>
        <family val="2"/>
      </rPr>
      <t>Fᵼ + α</t>
    </r>
    <r>
      <rPr>
        <b/>
        <sz val="16"/>
        <color theme="1"/>
        <rFont val="Calibri"/>
        <family val="2"/>
      </rPr>
      <t>(</t>
    </r>
    <r>
      <rPr>
        <b/>
        <i/>
        <sz val="16"/>
        <color theme="1"/>
        <rFont val="Calibri"/>
        <family val="2"/>
      </rPr>
      <t>Yᵼ - Fᵼ</t>
    </r>
    <r>
      <rPr>
        <b/>
        <sz val="16"/>
        <color theme="1"/>
        <rFont val="Calibri"/>
        <family val="2"/>
      </rPr>
      <t>)</t>
    </r>
  </si>
  <si>
    <t>Error</t>
  </si>
  <si>
    <t>Absolute (MAD)</t>
  </si>
  <si>
    <t>Squared (MSE)</t>
  </si>
  <si>
    <t>Total</t>
  </si>
  <si>
    <t>Rata-rata</t>
  </si>
  <si>
    <t>BIAS</t>
  </si>
  <si>
    <t>MAD</t>
  </si>
  <si>
    <t>MSE</t>
  </si>
  <si>
    <t>SE</t>
  </si>
  <si>
    <t>Tahun</t>
  </si>
  <si>
    <t>Penjualan(Y)</t>
  </si>
  <si>
    <t>Waktu(X)</t>
  </si>
  <si>
    <t>X*Y</t>
  </si>
  <si>
    <r>
      <t>X</t>
    </r>
    <r>
      <rPr>
        <sz val="11"/>
        <color theme="1"/>
        <rFont val="Calibri"/>
        <family val="2"/>
      </rPr>
      <t>²</t>
    </r>
  </si>
  <si>
    <t>MAPE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</si>
  <si>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</si>
  <si>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</si>
  <si>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</si>
  <si>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</si>
  <si>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</si>
  <si>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</si>
  <si>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</si>
  <si>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</si>
  <si>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</si>
  <si>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</si>
  <si>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</si>
  <si>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</si>
  <si>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Jumlah</t>
  </si>
  <si>
    <t xml:space="preserve">Mencari Nilai B </t>
  </si>
  <si>
    <t>Mencari Nilai A</t>
  </si>
  <si>
    <t>Mencari Nilai Trend Moment</t>
  </si>
  <si>
    <t>Mei</t>
  </si>
  <si>
    <t>Rata-rata Bulan Yang Akan DiPrediksi</t>
  </si>
  <si>
    <r>
      <t>∑X</t>
    </r>
    <r>
      <rPr>
        <sz val="11"/>
        <color theme="1"/>
        <rFont val="Calibri"/>
        <family val="2"/>
      </rPr>
      <t>²</t>
    </r>
  </si>
  <si>
    <t>∑Y</t>
  </si>
  <si>
    <t>∑X</t>
  </si>
  <si>
    <t>∑XY</t>
  </si>
  <si>
    <t>Rumus Persamaan 1 dan 2</t>
  </si>
  <si>
    <t>Persamaan Trend Moment</t>
  </si>
  <si>
    <t>Persamaan 1 dan 2 yg telah disubstitusi</t>
  </si>
  <si>
    <t>Mencari Indeks Musim</t>
  </si>
  <si>
    <t>Menentukan Indeks Musim</t>
  </si>
  <si>
    <t>Indeks musim = rata-rata bulan tertentu/rata-rata permintaan perbulan</t>
  </si>
  <si>
    <t>Y* = indeks musim * Y</t>
  </si>
  <si>
    <t>no</t>
  </si>
  <si>
    <t>No</t>
  </si>
  <si>
    <r>
      <t>X</t>
    </r>
    <r>
      <rPr>
        <b/>
        <sz val="11"/>
        <color theme="1"/>
        <rFont val="Calibri"/>
        <family val="2"/>
      </rPr>
      <t>²</t>
    </r>
  </si>
  <si>
    <t>Mencari Nilai a (a=∑Y/n)</t>
  </si>
  <si>
    <t>Mencari Nilai b (b=∑XY/∑X²)</t>
  </si>
  <si>
    <t>a =</t>
  </si>
  <si>
    <t>b =</t>
  </si>
  <si>
    <t>Mencari Nilai Y (Y=a+bX)</t>
  </si>
  <si>
    <t>Y =</t>
  </si>
  <si>
    <t>Mei 2015 =</t>
  </si>
  <si>
    <t>Data Ganjil Penggunaan X dari 0</t>
  </si>
  <si>
    <t>Data Genap Penggunan Waktu(x) dari -1 dan 1 (bilangan ganjil)</t>
  </si>
  <si>
    <t>Mei 2016</t>
  </si>
  <si>
    <t>Juni 2016</t>
  </si>
  <si>
    <t>Juli 2016</t>
  </si>
  <si>
    <t>Single Exponential Smoothing</t>
  </si>
  <si>
    <t>Penjualan</t>
  </si>
  <si>
    <t>Forecast α = 0,10</t>
  </si>
  <si>
    <t>Forecast α = 0,50</t>
  </si>
  <si>
    <t>Forecast α = 0,90</t>
  </si>
  <si>
    <t>Double Exponential Smoothing</t>
  </si>
  <si>
    <t>Double Exp S</t>
  </si>
  <si>
    <t>Nilai a</t>
  </si>
  <si>
    <t>Nilai b</t>
  </si>
  <si>
    <t>Forecast St+m = at+btm(bila m= 1)</t>
  </si>
  <si>
    <t>-</t>
  </si>
  <si>
    <t>Single Exp S α = 0,20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</si>
</sst>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0.00000"/>
  </numFmts>
  <fonts count="14" x14ac:knownFonts="1">
    <font>
      <sz val="11"/>
      <color theme="1"/>
      <name val="Calibri"/>
      <family val="2"/>
      <scheme val="minor"/>
    </font>
    <font>
      <sz val="10.5"/>
      <color rgb="FFFFFFFF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167" fontId="0" fillId="2" borderId="0" xfId="0" applyNumberFormat="1" applyFill="1"/>
    <xf numFmtId="166" fontId="0" fillId="2" borderId="0" xfId="0" applyNumberFormat="1" applyFill="1"/>
    <xf numFmtId="0" fontId="0" fillId="2" borderId="0" xfId="0" applyFill="1"/>
    <xf numFmtId="165" fontId="0" fillId="3" borderId="0" xfId="0" applyNumberFormat="1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9" fillId="0" borderId="1" xfId="0" applyFont="1" applyBorder="1"/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0" fillId="0" borderId="0" xfId="0" applyBorder="1" applyAlignment="1">
      <alignment horizontal="center"/>
    </xf>
    <xf numFmtId="0" fontId="10" fillId="6" borderId="0" xfId="0" applyFont="1" applyFill="1" applyAlignment="1"/>
    <xf numFmtId="0" fontId="10" fillId="0" borderId="0" xfId="0" applyFont="1" applyFill="1" applyAlignment="1"/>
    <xf numFmtId="0" fontId="10" fillId="6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/>
    <xf numFmtId="0" fontId="0" fillId="0" borderId="0" xfId="0" applyFill="1" applyBorder="1" applyAlignment="1"/>
    <xf numFmtId="0" fontId="0" fillId="2" borderId="4" xfId="0" applyFill="1" applyBorder="1"/>
    <xf numFmtId="0" fontId="0" fillId="0" borderId="4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0" fillId="0" borderId="5" xfId="0" applyFill="1" applyBorder="1"/>
    <xf numFmtId="0" fontId="0" fillId="0" borderId="1" xfId="0" applyBorder="1" applyAlignment="1">
      <alignment horizontal="right"/>
    </xf>
    <xf numFmtId="0" fontId="0" fillId="5" borderId="1" xfId="0" applyFill="1" applyBorder="1"/>
    <xf numFmtId="17" fontId="0" fillId="0" borderId="1" xfId="0" applyNumberFormat="1" applyBorder="1" applyAlignment="1">
      <alignment horizontal="left" vertical="center"/>
    </xf>
    <xf numFmtId="1" fontId="0" fillId="0" borderId="1" xfId="0" applyNumberFormat="1" applyBorder="1"/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 wrapText="1"/>
    </xf>
    <xf numFmtId="0" fontId="5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9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1" xfId="0" applyFont="1" applyBorder="1" applyAlignment="1">
      <alignment horizontal="center"/>
    </xf>
    <xf numFmtId="166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'Single Exponential Smoothing'!$C$2</c:f>
              <c:strCache>
                <c:ptCount val="1"/>
                <c:pt idx="0">
                  <c:v>Penjualan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Exponential Smoothing'!$B$3:$B$28</c:f>
              <c:numCache>
                <c:formatCode>mmm\-yy</c:formatCode>
                <c:ptCount val="2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</c:numCache>
            </c:numRef>
          </c:xVal>
          <c:yVal>
            <c:numRef>
              <c:f>'Single Exponential Smoothing'!$C$3:$C$28</c:f>
              <c:numCache>
                <c:formatCode>General</c:formatCode>
                <c:ptCount val="26"/>
                <c:pt idx="0">
                  <c:v>105</c:v>
                </c:pt>
                <c:pt idx="1">
                  <c:v>115</c:v>
                </c:pt>
                <c:pt idx="2">
                  <c:v>130</c:v>
                </c:pt>
                <c:pt idx="3">
                  <c:v>130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115</c:v>
                </c:pt>
                <c:pt idx="8">
                  <c:v>125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170</c:v>
                </c:pt>
                <c:pt idx="15">
                  <c:v>160</c:v>
                </c:pt>
                <c:pt idx="16">
                  <c:v>175</c:v>
                </c:pt>
                <c:pt idx="17">
                  <c:v>190</c:v>
                </c:pt>
                <c:pt idx="18">
                  <c:v>150</c:v>
                </c:pt>
                <c:pt idx="19">
                  <c:v>165</c:v>
                </c:pt>
                <c:pt idx="20">
                  <c:v>160</c:v>
                </c:pt>
                <c:pt idx="21">
                  <c:v>170</c:v>
                </c:pt>
                <c:pt idx="22">
                  <c:v>190</c:v>
                </c:pt>
                <c:pt idx="23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'Single Exponential Smoothing'!$D$2</c:f>
              <c:strCache>
                <c:ptCount val="1"/>
                <c:pt idx="0">
                  <c:v>Forecast α = 0,10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'Single Exponential Smoothing'!$B$3:$B$28</c:f>
              <c:numCache>
                <c:formatCode>mmm\-yy</c:formatCode>
                <c:ptCount val="2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</c:numCache>
            </c:numRef>
          </c:xVal>
          <c:yVal>
            <c:numRef>
              <c:f>'Single Exponential Smoothing'!$D$3:$D$28</c:f>
              <c:numCache>
                <c:formatCode>General</c:formatCode>
                <c:ptCount val="26"/>
                <c:pt idx="1">
                  <c:v>105</c:v>
                </c:pt>
                <c:pt idx="2">
                  <c:v>106</c:v>
                </c:pt>
                <c:pt idx="3">
                  <c:v>108.4</c:v>
                </c:pt>
                <c:pt idx="4">
                  <c:v>110.56</c:v>
                </c:pt>
                <c:pt idx="5">
                  <c:v>111.504</c:v>
                </c:pt>
                <c:pt idx="6">
                  <c:v>113.3536</c:v>
                </c:pt>
                <c:pt idx="7">
                  <c:v>116.01824000000001</c:v>
                </c:pt>
                <c:pt idx="8">
                  <c:v>115.91641600000001</c:v>
                </c:pt>
                <c:pt idx="9">
                  <c:v>116.82477440000001</c:v>
                </c:pt>
                <c:pt idx="10">
                  <c:v>117.14229696000001</c:v>
                </c:pt>
                <c:pt idx="11">
                  <c:v>118.42806726400001</c:v>
                </c:pt>
                <c:pt idx="12">
                  <c:v>120.58526053760001</c:v>
                </c:pt>
                <c:pt idx="13">
                  <c:v>123.02673448384</c:v>
                </c:pt>
                <c:pt idx="14">
                  <c:v>126.224061035456</c:v>
                </c:pt>
                <c:pt idx="15">
                  <c:v>130.60165493191039</c:v>
                </c:pt>
                <c:pt idx="16">
                  <c:v>133.54148943871934</c:v>
                </c:pt>
                <c:pt idx="17">
                  <c:v>137.6873404948474</c:v>
                </c:pt>
                <c:pt idx="18">
                  <c:v>142.91860644536268</c:v>
                </c:pt>
                <c:pt idx="19">
                  <c:v>143.62674580082643</c:v>
                </c:pt>
                <c:pt idx="20">
                  <c:v>145.7640712207438</c:v>
                </c:pt>
                <c:pt idx="21">
                  <c:v>147.18766409866942</c:v>
                </c:pt>
                <c:pt idx="22">
                  <c:v>149.46889768880249</c:v>
                </c:pt>
                <c:pt idx="23">
                  <c:v>153.52200791992223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'Single Exponential Smoothing'!$E$2</c:f>
              <c:strCache>
                <c:ptCount val="1"/>
                <c:pt idx="0">
                  <c:v>Forecast α = 0,50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'Single Exponential Smoothing'!$B$3:$B$28</c:f>
              <c:numCache>
                <c:formatCode>mmm\-yy</c:formatCode>
                <c:ptCount val="2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</c:numCache>
            </c:numRef>
          </c:xVal>
          <c:yVal>
            <c:numRef>
              <c:f>'Single Exponential Smoothing'!$E$3:$E$28</c:f>
              <c:numCache>
                <c:formatCode>General</c:formatCode>
                <c:ptCount val="26"/>
                <c:pt idx="1">
                  <c:v>105</c:v>
                </c:pt>
                <c:pt idx="2">
                  <c:v>110</c:v>
                </c:pt>
                <c:pt idx="3">
                  <c:v>120</c:v>
                </c:pt>
                <c:pt idx="4">
                  <c:v>125</c:v>
                </c:pt>
                <c:pt idx="5">
                  <c:v>122.5</c:v>
                </c:pt>
                <c:pt idx="6">
                  <c:v>126.25</c:v>
                </c:pt>
                <c:pt idx="7">
                  <c:v>133.125</c:v>
                </c:pt>
                <c:pt idx="8">
                  <c:v>124.0625</c:v>
                </c:pt>
                <c:pt idx="9">
                  <c:v>124.53125</c:v>
                </c:pt>
                <c:pt idx="10">
                  <c:v>122.265625</c:v>
                </c:pt>
                <c:pt idx="11">
                  <c:v>126.1328125</c:v>
                </c:pt>
                <c:pt idx="12">
                  <c:v>133.06640625</c:v>
                </c:pt>
                <c:pt idx="13">
                  <c:v>139.033203125</c:v>
                </c:pt>
                <c:pt idx="14">
                  <c:v>147.0166015625</c:v>
                </c:pt>
                <c:pt idx="15">
                  <c:v>158.50830078125</c:v>
                </c:pt>
                <c:pt idx="16">
                  <c:v>159.254150390625</c:v>
                </c:pt>
                <c:pt idx="17">
                  <c:v>167.1270751953125</c:v>
                </c:pt>
                <c:pt idx="18">
                  <c:v>178.56353759765625</c:v>
                </c:pt>
                <c:pt idx="19">
                  <c:v>164.28176879882812</c:v>
                </c:pt>
                <c:pt idx="20">
                  <c:v>164.64088439941406</c:v>
                </c:pt>
                <c:pt idx="21">
                  <c:v>162.32044219970703</c:v>
                </c:pt>
                <c:pt idx="22">
                  <c:v>166.16022109985352</c:v>
                </c:pt>
                <c:pt idx="23">
                  <c:v>178.08011054992676</c:v>
                </c:pt>
                <c:pt idx="24">
                  <c:v>179.04005527496338</c:v>
                </c:pt>
                <c:pt idx="25">
                  <c:v>179.52002763748169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'Single Exponential Smoothing'!$F$2</c:f>
              <c:strCache>
                <c:ptCount val="1"/>
                <c:pt idx="0">
                  <c:v>Forecast α = 0,90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'Single Exponential Smoothing'!$B$3:$B$28</c:f>
              <c:numCache>
                <c:formatCode>mmm\-yy</c:formatCode>
                <c:ptCount val="2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</c:numCache>
            </c:numRef>
          </c:xVal>
          <c:yVal>
            <c:numRef>
              <c:f>'Single Exponential Smoothing'!$F$3:$F$28</c:f>
              <c:numCache>
                <c:formatCode>0</c:formatCode>
                <c:ptCount val="26"/>
                <c:pt idx="1">
                  <c:v>105</c:v>
                </c:pt>
                <c:pt idx="2">
                  <c:v>114</c:v>
                </c:pt>
                <c:pt idx="3">
                  <c:v>128.4</c:v>
                </c:pt>
                <c:pt idx="4">
                  <c:v>129.84</c:v>
                </c:pt>
                <c:pt idx="5">
                  <c:v>120.98399999999999</c:v>
                </c:pt>
                <c:pt idx="6">
                  <c:v>129.0984</c:v>
                </c:pt>
                <c:pt idx="7">
                  <c:v>138.90984</c:v>
                </c:pt>
                <c:pt idx="8">
                  <c:v>117.390984</c:v>
                </c:pt>
                <c:pt idx="9">
                  <c:v>124.2390984</c:v>
                </c:pt>
                <c:pt idx="10">
                  <c:v>120.42390983999999</c:v>
                </c:pt>
                <c:pt idx="11">
                  <c:v>129.04239098400001</c:v>
                </c:pt>
                <c:pt idx="12">
                  <c:v>138.90423909840001</c:v>
                </c:pt>
                <c:pt idx="13">
                  <c:v>144.39042390984</c:v>
                </c:pt>
                <c:pt idx="14">
                  <c:v>153.93904239098399</c:v>
                </c:pt>
                <c:pt idx="15">
                  <c:v>168.39390423909839</c:v>
                </c:pt>
                <c:pt idx="16">
                  <c:v>160.83939042390983</c:v>
                </c:pt>
                <c:pt idx="17">
                  <c:v>173.58393904239097</c:v>
                </c:pt>
                <c:pt idx="18">
                  <c:v>188.35839390423911</c:v>
                </c:pt>
                <c:pt idx="19">
                  <c:v>153.8358393904239</c:v>
                </c:pt>
                <c:pt idx="20">
                  <c:v>163.88358393904238</c:v>
                </c:pt>
                <c:pt idx="21">
                  <c:v>160.38835839390424</c:v>
                </c:pt>
                <c:pt idx="22">
                  <c:v>169.03883583939043</c:v>
                </c:pt>
                <c:pt idx="23">
                  <c:v>187.90388358393903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50992"/>
        <c:axId val="585850432"/>
      </c:scatterChart>
      <c:valAx>
        <c:axId val="5858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50432"/>
        <c:crosses val="autoZero"/>
        <c:crossBetween val="midCat"/>
      </c:valAx>
      <c:valAx>
        <c:axId val="5858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  <a:r>
              <a:rPr lang="en-US" baseline="0"/>
              <a:t> Exponential Smoothing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Smoothing'!$B$2</c:f>
              <c:strCache>
                <c:ptCount val="1"/>
                <c:pt idx="0">
                  <c:v>Penjualan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'Double Exponential Smoothing'!$A$3:$A$26</c:f>
              <c:numCache>
                <c:formatCode>mmm\-yy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'Double Exponential Smoothing'!$B$3:$B$26</c:f>
              <c:numCache>
                <c:formatCode>General</c:formatCode>
                <c:ptCount val="24"/>
                <c:pt idx="0">
                  <c:v>105</c:v>
                </c:pt>
                <c:pt idx="1">
                  <c:v>115</c:v>
                </c:pt>
                <c:pt idx="2">
                  <c:v>130</c:v>
                </c:pt>
                <c:pt idx="3">
                  <c:v>130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115</c:v>
                </c:pt>
                <c:pt idx="8">
                  <c:v>125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170</c:v>
                </c:pt>
                <c:pt idx="15">
                  <c:v>160</c:v>
                </c:pt>
                <c:pt idx="16">
                  <c:v>175</c:v>
                </c:pt>
                <c:pt idx="17">
                  <c:v>190</c:v>
                </c:pt>
                <c:pt idx="18">
                  <c:v>150</c:v>
                </c:pt>
                <c:pt idx="19">
                  <c:v>165</c:v>
                </c:pt>
                <c:pt idx="20">
                  <c:v>160</c:v>
                </c:pt>
                <c:pt idx="21">
                  <c:v>170</c:v>
                </c:pt>
                <c:pt idx="22">
                  <c:v>190</c:v>
                </c:pt>
                <c:pt idx="23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'Double Exponential Smoothing'!$G$2</c:f>
              <c:strCache>
                <c:ptCount val="1"/>
                <c:pt idx="0">
                  <c:v>Forecast St+m = at+btm(bila m=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'Double Exponential Smoothing'!$A$3:$A$26</c:f>
              <c:numCache>
                <c:formatCode>mmm\-yy</c:formatCode>
                <c:ptCount val="2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</c:numCache>
            </c:numRef>
          </c:cat>
          <c:val>
            <c:numRef>
              <c:f>'Double Exponential Smoothing'!$G$3:$G$26</c:f>
              <c:numCache>
                <c:formatCode>0</c:formatCode>
                <c:ptCount val="24"/>
                <c:pt idx="1">
                  <c:v>109</c:v>
                </c:pt>
                <c:pt idx="2">
                  <c:v>128.99999999999997</c:v>
                </c:pt>
                <c:pt idx="3">
                  <c:v>142</c:v>
                </c:pt>
                <c:pt idx="4">
                  <c:v>126</c:v>
                </c:pt>
                <c:pt idx="5">
                  <c:v>115.99999999999999</c:v>
                </c:pt>
                <c:pt idx="6">
                  <c:v>142</c:v>
                </c:pt>
                <c:pt idx="7">
                  <c:v>137.99999999999997</c:v>
                </c:pt>
                <c:pt idx="8">
                  <c:v>99</c:v>
                </c:pt>
                <c:pt idx="9">
                  <c:v>131</c:v>
                </c:pt>
                <c:pt idx="10">
                  <c:v>119.99999999999999</c:v>
                </c:pt>
                <c:pt idx="11">
                  <c:v>142</c:v>
                </c:pt>
                <c:pt idx="12">
                  <c:v>150</c:v>
                </c:pt>
                <c:pt idx="13">
                  <c:v>152.99999999999997</c:v>
                </c:pt>
                <c:pt idx="14">
                  <c:v>168.99999999999997</c:v>
                </c:pt>
                <c:pt idx="15">
                  <c:v>178</c:v>
                </c:pt>
                <c:pt idx="16">
                  <c:v>158</c:v>
                </c:pt>
                <c:pt idx="17">
                  <c:v>193</c:v>
                </c:pt>
                <c:pt idx="18">
                  <c:v>186</c:v>
                </c:pt>
                <c:pt idx="19">
                  <c:v>124.00000000000001</c:v>
                </c:pt>
                <c:pt idx="20">
                  <c:v>174.99999999999997</c:v>
                </c:pt>
                <c:pt idx="21">
                  <c:v>159.99999999999997</c:v>
                </c:pt>
                <c:pt idx="22">
                  <c:v>186</c:v>
                </c:pt>
                <c:pt idx="23">
                  <c:v>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24256"/>
        <c:axId val="589220336"/>
      </c:lineChart>
      <c:dateAx>
        <c:axId val="589224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20336"/>
        <c:crosses val="autoZero"/>
        <c:auto val="1"/>
        <c:lblOffset val="100"/>
        <c:baseTimeUnit val="months"/>
      </c:dateAx>
      <c:valAx>
        <c:axId val="5892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Moment'!$D$1</c:f>
              <c:strCache>
                <c:ptCount val="1"/>
                <c:pt idx="0">
                  <c:v>Penjualan(Y)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'Trend Moment'!$B$2:$C$33</c15:sqref>
                  </c15:fullRef>
                  <c15:levelRef>
                    <c15:sqref>'Trend Moment'!$B$2:$B$33</c15:sqref>
                  </c15:levelRef>
                </c:ext>
              </c:extLst>
              <c:f>'Trend Moment'!$B$2:$B$33</c:f>
              <c:strCache>
                <c:ptCount val="3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  <c:pt idx="12">
                  <c:v>September</c:v>
                </c:pt>
                <c:pt idx="13">
                  <c:v>October</c:v>
                </c:pt>
                <c:pt idx="14">
                  <c:v>November</c:v>
                </c:pt>
                <c:pt idx="15">
                  <c:v>December</c:v>
                </c:pt>
                <c:pt idx="16">
                  <c:v>January</c:v>
                </c:pt>
                <c:pt idx="17">
                  <c:v>February</c:v>
                </c:pt>
                <c:pt idx="18">
                  <c:v>March</c:v>
                </c:pt>
                <c:pt idx="19">
                  <c:v>April</c:v>
                </c:pt>
                <c:pt idx="20">
                  <c:v>May</c:v>
                </c:pt>
                <c:pt idx="21">
                  <c:v>June</c:v>
                </c:pt>
                <c:pt idx="22">
                  <c:v>July</c:v>
                </c:pt>
                <c:pt idx="23">
                  <c:v>August</c:v>
                </c:pt>
                <c:pt idx="24">
                  <c:v>September</c:v>
                </c:pt>
                <c:pt idx="25">
                  <c:v>October</c:v>
                </c:pt>
                <c:pt idx="26">
                  <c:v>November</c:v>
                </c:pt>
                <c:pt idx="27">
                  <c:v>December</c:v>
                </c:pt>
                <c:pt idx="28">
                  <c:v>January</c:v>
                </c:pt>
                <c:pt idx="29">
                  <c:v>February</c:v>
                </c:pt>
                <c:pt idx="30">
                  <c:v>March</c:v>
                </c:pt>
                <c:pt idx="31">
                  <c:v>April</c:v>
                </c:pt>
              </c:strCache>
            </c:strRef>
          </c:cat>
          <c:val>
            <c:numRef>
              <c:f>'Trend Moment'!$D$2:$D$33</c:f>
              <c:numCache>
                <c:formatCode>General</c:formatCode>
                <c:ptCount val="32"/>
                <c:pt idx="0">
                  <c:v>3321</c:v>
                </c:pt>
                <c:pt idx="1">
                  <c:v>5295</c:v>
                </c:pt>
                <c:pt idx="2">
                  <c:v>4758</c:v>
                </c:pt>
                <c:pt idx="3">
                  <c:v>4544</c:v>
                </c:pt>
                <c:pt idx="4">
                  <c:v>6249</c:v>
                </c:pt>
                <c:pt idx="5">
                  <c:v>6767</c:v>
                </c:pt>
                <c:pt idx="6">
                  <c:v>4230</c:v>
                </c:pt>
                <c:pt idx="7">
                  <c:v>4674</c:v>
                </c:pt>
                <c:pt idx="8">
                  <c:v>5094</c:v>
                </c:pt>
                <c:pt idx="9">
                  <c:v>5258</c:v>
                </c:pt>
                <c:pt idx="10">
                  <c:v>5659</c:v>
                </c:pt>
                <c:pt idx="11">
                  <c:v>4915</c:v>
                </c:pt>
                <c:pt idx="12">
                  <c:v>6056</c:v>
                </c:pt>
                <c:pt idx="13">
                  <c:v>8382</c:v>
                </c:pt>
                <c:pt idx="14">
                  <c:v>8610</c:v>
                </c:pt>
                <c:pt idx="15">
                  <c:v>9557</c:v>
                </c:pt>
                <c:pt idx="16">
                  <c:v>10157</c:v>
                </c:pt>
                <c:pt idx="17">
                  <c:v>9158</c:v>
                </c:pt>
                <c:pt idx="18">
                  <c:v>9144</c:v>
                </c:pt>
                <c:pt idx="19">
                  <c:v>6315</c:v>
                </c:pt>
                <c:pt idx="20">
                  <c:v>6036</c:v>
                </c:pt>
                <c:pt idx="21">
                  <c:v>7624</c:v>
                </c:pt>
                <c:pt idx="22">
                  <c:v>10906</c:v>
                </c:pt>
                <c:pt idx="23">
                  <c:v>5460</c:v>
                </c:pt>
                <c:pt idx="24">
                  <c:v>8111</c:v>
                </c:pt>
                <c:pt idx="25">
                  <c:v>6283</c:v>
                </c:pt>
                <c:pt idx="26">
                  <c:v>10430</c:v>
                </c:pt>
                <c:pt idx="27">
                  <c:v>12490</c:v>
                </c:pt>
                <c:pt idx="28">
                  <c:v>9985</c:v>
                </c:pt>
                <c:pt idx="29">
                  <c:v>9260</c:v>
                </c:pt>
                <c:pt idx="30">
                  <c:v>8776</c:v>
                </c:pt>
                <c:pt idx="31">
                  <c:v>7390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7632"/>
        <c:axId val="585847072"/>
      </c:lineChart>
      <c:catAx>
        <c:axId val="585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7072"/>
        <c:crosses val="autoZero"/>
        <c:auto val="1"/>
        <c:lblAlgn val="ctr"/>
        <c:lblOffset val="100"/>
        <c:noMultiLvlLbl val="0"/>
      </c:catAx>
      <c:valAx>
        <c:axId val="5858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15</xdr:col>
      <xdr:colOff>28575</xdr:colOff>
      <xdr:row>11</xdr:row>
      <xdr:rowOff>51397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0" y="762000"/>
          <a:ext cx="3076575" cy="1384897"/>
        </a:xfrm>
        <a:prstGeom prst="rect">
          <a:avLst/>
        </a:prstGeom>
      </xdr:spPr>
    </xdr:pic>
    <xdr:clientData/>
  </xdr:twoCellAnchor>
  <xdr:twoCellAnchor>
    <xdr:from>
      <xdr:col>2</xdr:col>
      <xdr:colOff>400050</xdr:colOff>
      <xdr:row>30</xdr:row>
      <xdr:rowOff>171449</xdr:rowOff>
    </xdr:from>
    <xdr:to>
      <xdr:col>9</xdr:col>
      <xdr:colOff>561975</xdr:colOff>
      <xdr:row>48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1</xdr:row>
      <xdr:rowOff>23811</xdr:rowOff>
    </xdr:from>
    <xdr:to>
      <xdr:col>18</xdr:col>
      <xdr:colOff>514349</xdr:colOff>
      <xdr:row>15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9</xdr:row>
      <xdr:rowOff>57150</xdr:rowOff>
    </xdr:from>
    <xdr:to>
      <xdr:col>14</xdr:col>
      <xdr:colOff>1857039</xdr:colOff>
      <xdr:row>11</xdr:row>
      <xdr:rowOff>152340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1771650"/>
          <a:ext cx="2685714" cy="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14</xdr:row>
      <xdr:rowOff>28574</xdr:rowOff>
    </xdr:from>
    <xdr:to>
      <xdr:col>14</xdr:col>
      <xdr:colOff>1814515</xdr:colOff>
      <xdr:row>16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7575" y="2695574"/>
          <a:ext cx="2566990" cy="466725"/>
        </a:xfrm>
        <a:prstGeom prst="rect">
          <a:avLst/>
        </a:prstGeom>
      </xdr:spPr>
    </xdr:pic>
    <xdr:clientData/>
  </xdr:twoCellAnchor>
  <xdr:twoCellAnchor editAs="oneCell">
    <xdr:from>
      <xdr:col>14</xdr:col>
      <xdr:colOff>590550</xdr:colOff>
      <xdr:row>5</xdr:row>
      <xdr:rowOff>19050</xdr:rowOff>
    </xdr:from>
    <xdr:to>
      <xdr:col>14</xdr:col>
      <xdr:colOff>1295312</xdr:colOff>
      <xdr:row>6</xdr:row>
      <xdr:rowOff>95217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0" y="971550"/>
          <a:ext cx="704762" cy="266667"/>
        </a:xfrm>
        <a:prstGeom prst="rect">
          <a:avLst/>
        </a:prstGeom>
      </xdr:spPr>
    </xdr:pic>
    <xdr:clientData/>
  </xdr:twoCellAnchor>
  <xdr:twoCellAnchor>
    <xdr:from>
      <xdr:col>7</xdr:col>
      <xdr:colOff>352424</xdr:colOff>
      <xdr:row>29</xdr:row>
      <xdr:rowOff>171450</xdr:rowOff>
    </xdr:from>
    <xdr:to>
      <xdr:col>18</xdr:col>
      <xdr:colOff>457200</xdr:colOff>
      <xdr:row>45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B1" workbookViewId="0">
      <selection activeCell="F22" sqref="F22"/>
    </sheetView>
  </sheetViews>
  <sheetFormatPr defaultRowHeight="15" x14ac:dyDescent="0.25"/>
  <cols>
    <col min="1" max="1" width="7.140625" style="2" bestFit="1" customWidth="1"/>
    <col min="2" max="2" width="7.42578125" bestFit="1" customWidth="1"/>
    <col min="3" max="3" width="14.42578125" bestFit="1" customWidth="1"/>
    <col min="4" max="6" width="15.7109375" bestFit="1" customWidth="1"/>
    <col min="7" max="7" width="10.42578125" customWidth="1"/>
    <col min="8" max="8" width="15.28515625" bestFit="1" customWidth="1"/>
    <col min="9" max="9" width="14" bestFit="1" customWidth="1"/>
    <col min="10" max="10" width="16.85546875" customWidth="1"/>
    <col min="15" max="15" width="9.140625" customWidth="1"/>
    <col min="16" max="16" width="7" customWidth="1"/>
  </cols>
  <sheetData>
    <row r="1" spans="1:26" ht="18.75" x14ac:dyDescent="0.3">
      <c r="B1" s="48" t="s">
        <v>73</v>
      </c>
      <c r="C1" s="48"/>
      <c r="D1" s="48"/>
      <c r="E1" s="48"/>
      <c r="F1" s="48"/>
      <c r="G1" s="48"/>
      <c r="H1" s="48"/>
      <c r="I1" s="48"/>
    </row>
    <row r="2" spans="1:26" x14ac:dyDescent="0.25">
      <c r="A2" s="2" t="s">
        <v>1</v>
      </c>
      <c r="B2" s="41" t="s">
        <v>0</v>
      </c>
      <c r="C2" s="41" t="s">
        <v>74</v>
      </c>
      <c r="D2" s="41" t="s">
        <v>75</v>
      </c>
      <c r="E2" s="41" t="s">
        <v>76</v>
      </c>
      <c r="F2" s="41" t="s">
        <v>77</v>
      </c>
      <c r="G2" s="11" t="s">
        <v>14</v>
      </c>
      <c r="H2" s="11" t="s">
        <v>15</v>
      </c>
      <c r="I2" s="11" t="s">
        <v>16</v>
      </c>
    </row>
    <row r="3" spans="1:26" x14ac:dyDescent="0.25">
      <c r="A3" s="2">
        <v>1</v>
      </c>
      <c r="B3" s="42">
        <v>43466</v>
      </c>
      <c r="C3" s="18">
        <v>105</v>
      </c>
      <c r="D3" s="18"/>
      <c r="E3" s="18"/>
      <c r="F3" s="18"/>
      <c r="G3" s="7"/>
      <c r="H3" s="7"/>
      <c r="I3" s="7"/>
      <c r="K3" t="s">
        <v>3</v>
      </c>
    </row>
    <row r="4" spans="1:26" x14ac:dyDescent="0.25">
      <c r="A4" s="2">
        <v>2</v>
      </c>
      <c r="B4" s="42">
        <v>43497</v>
      </c>
      <c r="C4" s="18">
        <v>115</v>
      </c>
      <c r="D4" s="18">
        <v>105</v>
      </c>
      <c r="E4" s="18">
        <v>105</v>
      </c>
      <c r="F4" s="43">
        <v>105</v>
      </c>
      <c r="G4" s="7">
        <f t="shared" ref="G4:G26" si="0">C4-F4</f>
        <v>10</v>
      </c>
      <c r="H4" s="7">
        <f t="shared" ref="H4:H26" si="1">ABS(G4)</f>
        <v>10</v>
      </c>
      <c r="I4" s="7">
        <f t="shared" ref="I4:I26" si="2">G4^2</f>
        <v>100</v>
      </c>
      <c r="K4" s="9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 x14ac:dyDescent="0.25">
      <c r="A5" s="2">
        <v>3</v>
      </c>
      <c r="B5" s="42">
        <v>43525</v>
      </c>
      <c r="C5" s="18">
        <v>130</v>
      </c>
      <c r="D5" s="18">
        <f>0.1*C4 +( (1-0.1)*D4)</f>
        <v>106</v>
      </c>
      <c r="E5" s="18">
        <f>0.5*C4 +( (1-0.5)*E4)</f>
        <v>110</v>
      </c>
      <c r="F5" s="43">
        <f>0.9*C4 +( (1-0.9)*F4)</f>
        <v>114</v>
      </c>
      <c r="G5" s="7">
        <f t="shared" si="0"/>
        <v>16</v>
      </c>
      <c r="H5" s="7">
        <f t="shared" si="1"/>
        <v>16</v>
      </c>
      <c r="I5" s="7">
        <f t="shared" si="2"/>
        <v>256</v>
      </c>
      <c r="Q5" s="46" t="s">
        <v>5</v>
      </c>
      <c r="R5" s="46"/>
      <c r="S5" s="46"/>
      <c r="T5" s="46"/>
      <c r="U5" s="46"/>
    </row>
    <row r="6" spans="1:26" x14ac:dyDescent="0.25">
      <c r="A6" s="2">
        <v>4</v>
      </c>
      <c r="B6" s="42">
        <v>43556</v>
      </c>
      <c r="C6" s="18">
        <v>130</v>
      </c>
      <c r="D6" s="18">
        <f t="shared" ref="D6:D26" si="3">0.1*C5 +( (1-0.1)*D5)</f>
        <v>108.4</v>
      </c>
      <c r="E6" s="18">
        <f t="shared" ref="E6:E26" si="4">0.5*C5 +( (1-0.5)*E5)</f>
        <v>120</v>
      </c>
      <c r="F6" s="43">
        <f t="shared" ref="F6:F25" si="5">0.9*C5 +( (1-0.9)*F5)</f>
        <v>128.4</v>
      </c>
      <c r="G6" s="6">
        <f t="shared" si="0"/>
        <v>1.5999999999999943</v>
      </c>
      <c r="H6" s="7">
        <f t="shared" si="1"/>
        <v>1.5999999999999943</v>
      </c>
      <c r="I6" s="7">
        <f t="shared" si="2"/>
        <v>2.5599999999999818</v>
      </c>
      <c r="Q6" s="46"/>
      <c r="R6" s="46"/>
      <c r="S6" s="46"/>
      <c r="T6" s="46"/>
      <c r="U6" s="46"/>
    </row>
    <row r="7" spans="1:26" x14ac:dyDescent="0.25">
      <c r="A7" s="2">
        <v>5</v>
      </c>
      <c r="B7" s="42">
        <v>43586</v>
      </c>
      <c r="C7" s="18">
        <v>120</v>
      </c>
      <c r="D7" s="18">
        <f t="shared" si="3"/>
        <v>110.56</v>
      </c>
      <c r="E7" s="18">
        <f t="shared" si="4"/>
        <v>125</v>
      </c>
      <c r="F7" s="43">
        <f t="shared" si="5"/>
        <v>129.84</v>
      </c>
      <c r="G7" s="3">
        <f>C7-F7</f>
        <v>-9.8400000000000034</v>
      </c>
      <c r="H7" s="7">
        <f t="shared" si="1"/>
        <v>9.8400000000000034</v>
      </c>
      <c r="I7" s="7">
        <f t="shared" si="2"/>
        <v>96.825600000000065</v>
      </c>
      <c r="Q7" s="46"/>
      <c r="R7" s="46"/>
      <c r="S7" s="46"/>
      <c r="T7" s="46"/>
      <c r="U7" s="46"/>
    </row>
    <row r="8" spans="1:26" x14ac:dyDescent="0.25">
      <c r="A8" s="2">
        <v>6</v>
      </c>
      <c r="B8" s="42">
        <v>43617</v>
      </c>
      <c r="C8" s="18">
        <v>130</v>
      </c>
      <c r="D8" s="18">
        <f t="shared" si="3"/>
        <v>111.504</v>
      </c>
      <c r="E8" s="18">
        <f t="shared" si="4"/>
        <v>122.5</v>
      </c>
      <c r="F8" s="43">
        <f t="shared" si="5"/>
        <v>120.98399999999999</v>
      </c>
      <c r="G8" s="4">
        <f t="shared" si="0"/>
        <v>9.0160000000000053</v>
      </c>
      <c r="H8" s="7">
        <f t="shared" si="1"/>
        <v>9.0160000000000053</v>
      </c>
      <c r="I8" s="7">
        <f t="shared" si="2"/>
        <v>81.288256000000089</v>
      </c>
      <c r="Q8" s="46"/>
      <c r="R8" s="46"/>
      <c r="S8" s="46"/>
      <c r="T8" s="46"/>
      <c r="U8" s="46"/>
    </row>
    <row r="9" spans="1:26" x14ac:dyDescent="0.25">
      <c r="A9" s="2">
        <v>7</v>
      </c>
      <c r="B9" s="42">
        <v>43647</v>
      </c>
      <c r="C9" s="18">
        <v>140</v>
      </c>
      <c r="D9" s="18">
        <f t="shared" si="3"/>
        <v>113.3536</v>
      </c>
      <c r="E9" s="18">
        <f t="shared" si="4"/>
        <v>126.25</v>
      </c>
      <c r="F9" s="43">
        <f t="shared" si="5"/>
        <v>129.0984</v>
      </c>
      <c r="G9" s="5">
        <f t="shared" si="0"/>
        <v>10.901600000000002</v>
      </c>
      <c r="H9" s="7">
        <f t="shared" si="1"/>
        <v>10.901600000000002</v>
      </c>
      <c r="I9" s="7">
        <f t="shared" si="2"/>
        <v>118.84488256000004</v>
      </c>
      <c r="Q9" s="46"/>
      <c r="R9" s="46"/>
      <c r="S9" s="46"/>
      <c r="T9" s="46"/>
      <c r="U9" s="46"/>
    </row>
    <row r="10" spans="1:26" x14ac:dyDescent="0.25">
      <c r="A10" s="2">
        <v>8</v>
      </c>
      <c r="B10" s="42">
        <v>43678</v>
      </c>
      <c r="C10" s="18">
        <v>115</v>
      </c>
      <c r="D10" s="18">
        <f t="shared" si="3"/>
        <v>116.01824000000001</v>
      </c>
      <c r="E10" s="18">
        <f t="shared" si="4"/>
        <v>133.125</v>
      </c>
      <c r="F10" s="43">
        <f t="shared" si="5"/>
        <v>138.90984</v>
      </c>
      <c r="G10" s="5">
        <f t="shared" si="0"/>
        <v>-23.909840000000003</v>
      </c>
      <c r="H10" s="7">
        <f t="shared" si="1"/>
        <v>23.909840000000003</v>
      </c>
      <c r="I10" s="7">
        <f t="shared" si="2"/>
        <v>571.68044882560014</v>
      </c>
      <c r="Q10" s="46"/>
      <c r="R10" s="46"/>
      <c r="S10" s="46"/>
      <c r="T10" s="46"/>
      <c r="U10" s="46"/>
    </row>
    <row r="11" spans="1:26" x14ac:dyDescent="0.25">
      <c r="A11" s="2">
        <v>9</v>
      </c>
      <c r="B11" s="42">
        <v>43709</v>
      </c>
      <c r="C11" s="18">
        <v>125</v>
      </c>
      <c r="D11" s="18">
        <f t="shared" si="3"/>
        <v>115.91641600000001</v>
      </c>
      <c r="E11" s="18">
        <f t="shared" si="4"/>
        <v>124.0625</v>
      </c>
      <c r="F11" s="43">
        <f t="shared" si="5"/>
        <v>117.390984</v>
      </c>
      <c r="G11" s="5">
        <f t="shared" si="0"/>
        <v>7.6090159999999969</v>
      </c>
      <c r="H11" s="7">
        <f t="shared" si="1"/>
        <v>7.6090159999999969</v>
      </c>
      <c r="I11" s="7">
        <f t="shared" si="2"/>
        <v>57.897124488255955</v>
      </c>
      <c r="Q11" s="46"/>
      <c r="R11" s="46"/>
      <c r="S11" s="46"/>
      <c r="T11" s="46"/>
      <c r="U11" s="46"/>
    </row>
    <row r="12" spans="1:26" x14ac:dyDescent="0.25">
      <c r="A12" s="2">
        <v>10</v>
      </c>
      <c r="B12" s="42">
        <v>43739</v>
      </c>
      <c r="C12" s="18">
        <v>120</v>
      </c>
      <c r="D12" s="18">
        <f t="shared" si="3"/>
        <v>116.82477440000001</v>
      </c>
      <c r="E12" s="18">
        <f t="shared" si="4"/>
        <v>124.53125</v>
      </c>
      <c r="F12" s="43">
        <f t="shared" si="5"/>
        <v>124.2390984</v>
      </c>
      <c r="G12" s="5">
        <f t="shared" si="0"/>
        <v>-4.2390984000000032</v>
      </c>
      <c r="H12" s="7">
        <f t="shared" si="1"/>
        <v>4.2390984000000032</v>
      </c>
      <c r="I12" s="7">
        <f t="shared" si="2"/>
        <v>17.969955244882588</v>
      </c>
      <c r="Q12" s="46"/>
      <c r="R12" s="46"/>
      <c r="S12" s="46"/>
      <c r="T12" s="46"/>
      <c r="U12" s="46"/>
    </row>
    <row r="13" spans="1:26" x14ac:dyDescent="0.25">
      <c r="A13" s="2">
        <v>11</v>
      </c>
      <c r="B13" s="42">
        <v>43770</v>
      </c>
      <c r="C13" s="18">
        <v>130</v>
      </c>
      <c r="D13" s="18">
        <f t="shared" si="3"/>
        <v>117.14229696000001</v>
      </c>
      <c r="E13" s="18">
        <f t="shared" si="4"/>
        <v>122.265625</v>
      </c>
      <c r="F13" s="43">
        <f t="shared" si="5"/>
        <v>120.42390983999999</v>
      </c>
      <c r="G13" s="5">
        <f t="shared" si="0"/>
        <v>9.5760901600000068</v>
      </c>
      <c r="H13" s="7">
        <f t="shared" si="1"/>
        <v>9.5760901600000068</v>
      </c>
      <c r="I13" s="7">
        <f t="shared" si="2"/>
        <v>91.70150275244896</v>
      </c>
      <c r="K13" s="45" t="s">
        <v>4</v>
      </c>
      <c r="L13" s="45"/>
      <c r="M13" s="45"/>
      <c r="N13" s="45"/>
      <c r="O13" s="45"/>
      <c r="Q13" s="46"/>
      <c r="R13" s="46"/>
      <c r="S13" s="46"/>
      <c r="T13" s="46"/>
      <c r="U13" s="46"/>
    </row>
    <row r="14" spans="1:26" x14ac:dyDescent="0.25">
      <c r="A14" s="2">
        <v>12</v>
      </c>
      <c r="B14" s="42">
        <v>43800</v>
      </c>
      <c r="C14" s="18">
        <v>140</v>
      </c>
      <c r="D14" s="18">
        <f t="shared" si="3"/>
        <v>118.42806726400001</v>
      </c>
      <c r="E14" s="18">
        <f t="shared" si="4"/>
        <v>126.1328125</v>
      </c>
      <c r="F14" s="43">
        <f t="shared" si="5"/>
        <v>129.04239098400001</v>
      </c>
      <c r="G14" s="5">
        <f t="shared" si="0"/>
        <v>10.957609015999992</v>
      </c>
      <c r="H14" s="7">
        <f t="shared" si="1"/>
        <v>10.957609015999992</v>
      </c>
      <c r="I14" s="7">
        <f t="shared" si="2"/>
        <v>120.06919534752431</v>
      </c>
      <c r="Q14" s="46"/>
      <c r="R14" s="46"/>
      <c r="S14" s="46"/>
      <c r="T14" s="46"/>
      <c r="U14" s="46"/>
    </row>
    <row r="15" spans="1:26" x14ac:dyDescent="0.25">
      <c r="A15" s="2">
        <v>13</v>
      </c>
      <c r="B15" s="42">
        <v>43831</v>
      </c>
      <c r="C15" s="18">
        <v>145</v>
      </c>
      <c r="D15" s="18">
        <f t="shared" si="3"/>
        <v>120.58526053760001</v>
      </c>
      <c r="E15" s="18">
        <f t="shared" si="4"/>
        <v>133.06640625</v>
      </c>
      <c r="F15" s="43">
        <f t="shared" si="5"/>
        <v>138.90423909840001</v>
      </c>
      <c r="G15" s="5">
        <f t="shared" si="0"/>
        <v>6.0957609015999878</v>
      </c>
      <c r="H15" s="7">
        <f t="shared" si="1"/>
        <v>6.0957609015999878</v>
      </c>
      <c r="I15" s="7">
        <f t="shared" si="2"/>
        <v>37.1583009694751</v>
      </c>
      <c r="K15" t="s">
        <v>6</v>
      </c>
    </row>
    <row r="16" spans="1:26" x14ac:dyDescent="0.25">
      <c r="A16" s="2">
        <v>14</v>
      </c>
      <c r="B16" s="42">
        <v>43862</v>
      </c>
      <c r="C16" s="18">
        <v>155</v>
      </c>
      <c r="D16" s="18">
        <f t="shared" si="3"/>
        <v>123.02673448384</v>
      </c>
      <c r="E16" s="18">
        <f t="shared" si="4"/>
        <v>139.033203125</v>
      </c>
      <c r="F16" s="43">
        <f t="shared" si="5"/>
        <v>144.39042390984</v>
      </c>
      <c r="G16" s="5">
        <f t="shared" si="0"/>
        <v>10.609576090160004</v>
      </c>
      <c r="H16" s="7">
        <f t="shared" si="1"/>
        <v>10.609576090160004</v>
      </c>
      <c r="I16" s="7">
        <f t="shared" si="2"/>
        <v>112.56310481289485</v>
      </c>
      <c r="K16" s="47" t="s">
        <v>13</v>
      </c>
      <c r="L16" s="47"/>
      <c r="M16" s="47"/>
      <c r="Q16" s="44" t="s">
        <v>2</v>
      </c>
      <c r="R16" s="44"/>
      <c r="S16" s="44"/>
      <c r="T16" s="44"/>
      <c r="U16" s="44"/>
    </row>
    <row r="17" spans="1:21" x14ac:dyDescent="0.25">
      <c r="A17" s="2">
        <v>15</v>
      </c>
      <c r="B17" s="42">
        <v>43891</v>
      </c>
      <c r="C17" s="18">
        <v>170</v>
      </c>
      <c r="D17" s="18">
        <f t="shared" si="3"/>
        <v>126.224061035456</v>
      </c>
      <c r="E17" s="18">
        <f t="shared" si="4"/>
        <v>147.0166015625</v>
      </c>
      <c r="F17" s="43">
        <f t="shared" si="5"/>
        <v>153.93904239098399</v>
      </c>
      <c r="G17" s="5">
        <f t="shared" si="0"/>
        <v>16.060957609016015</v>
      </c>
      <c r="H17" s="7">
        <f t="shared" si="1"/>
        <v>16.060957609016015</v>
      </c>
      <c r="I17" s="7">
        <f t="shared" si="2"/>
        <v>257.95435931860942</v>
      </c>
      <c r="K17" s="47"/>
      <c r="L17" s="47"/>
      <c r="M17" s="47"/>
      <c r="Q17" s="44"/>
      <c r="R17" s="44"/>
      <c r="S17" s="44"/>
      <c r="T17" s="44"/>
      <c r="U17" s="44"/>
    </row>
    <row r="18" spans="1:21" ht="15.75" x14ac:dyDescent="0.25">
      <c r="A18" s="2">
        <v>16</v>
      </c>
      <c r="B18" s="42">
        <v>43922</v>
      </c>
      <c r="C18" s="18">
        <v>160</v>
      </c>
      <c r="D18" s="18">
        <f t="shared" si="3"/>
        <v>130.60165493191039</v>
      </c>
      <c r="E18" s="18">
        <f t="shared" si="4"/>
        <v>158.50830078125</v>
      </c>
      <c r="F18" s="43">
        <f t="shared" si="5"/>
        <v>168.39390423909839</v>
      </c>
      <c r="G18" s="5">
        <f t="shared" si="0"/>
        <v>-8.39390423909839</v>
      </c>
      <c r="H18" s="7">
        <f t="shared" si="1"/>
        <v>8.39390423909839</v>
      </c>
      <c r="I18" s="7">
        <f t="shared" si="2"/>
        <v>70.457628375153917</v>
      </c>
      <c r="K18" s="12" t="s">
        <v>10</v>
      </c>
      <c r="L18" s="12"/>
      <c r="M18" s="12"/>
      <c r="N18" s="12"/>
      <c r="O18" s="12"/>
      <c r="Q18" s="44"/>
      <c r="R18" s="44"/>
      <c r="S18" s="44"/>
      <c r="T18" s="44"/>
      <c r="U18" s="44"/>
    </row>
    <row r="19" spans="1:21" ht="15.75" x14ac:dyDescent="0.25">
      <c r="A19" s="2">
        <v>17</v>
      </c>
      <c r="B19" s="42">
        <v>43952</v>
      </c>
      <c r="C19" s="18">
        <v>175</v>
      </c>
      <c r="D19" s="18">
        <f t="shared" si="3"/>
        <v>133.54148943871934</v>
      </c>
      <c r="E19" s="18">
        <f t="shared" si="4"/>
        <v>159.254150390625</v>
      </c>
      <c r="F19" s="43">
        <f t="shared" si="5"/>
        <v>160.83939042390983</v>
      </c>
      <c r="G19" s="5">
        <f t="shared" si="0"/>
        <v>14.160609576090167</v>
      </c>
      <c r="H19" s="7">
        <f t="shared" si="1"/>
        <v>14.160609576090167</v>
      </c>
      <c r="I19" s="7">
        <f t="shared" si="2"/>
        <v>200.52286356645652</v>
      </c>
      <c r="K19" s="12" t="s">
        <v>7</v>
      </c>
      <c r="L19" s="12"/>
      <c r="M19" s="12"/>
      <c r="N19" s="12"/>
      <c r="O19" s="12"/>
      <c r="Q19" s="44"/>
      <c r="R19" s="44"/>
      <c r="S19" s="44"/>
      <c r="T19" s="44"/>
      <c r="U19" s="44"/>
    </row>
    <row r="20" spans="1:21" ht="15.75" x14ac:dyDescent="0.25">
      <c r="A20" s="2">
        <v>18</v>
      </c>
      <c r="B20" s="42">
        <v>43983</v>
      </c>
      <c r="C20" s="18">
        <v>190</v>
      </c>
      <c r="D20" s="18">
        <f t="shared" si="3"/>
        <v>137.6873404948474</v>
      </c>
      <c r="E20" s="18">
        <f t="shared" si="4"/>
        <v>167.1270751953125</v>
      </c>
      <c r="F20" s="43">
        <f t="shared" si="5"/>
        <v>173.58393904239097</v>
      </c>
      <c r="G20" s="5">
        <f t="shared" si="0"/>
        <v>16.416060957609034</v>
      </c>
      <c r="H20" s="7">
        <f t="shared" si="1"/>
        <v>16.416060957609034</v>
      </c>
      <c r="I20" s="7">
        <f t="shared" si="2"/>
        <v>269.48705736393561</v>
      </c>
      <c r="K20" s="12" t="s">
        <v>11</v>
      </c>
      <c r="L20" s="12"/>
      <c r="M20" s="12"/>
      <c r="N20" s="12"/>
      <c r="O20" s="12"/>
      <c r="Q20" s="44"/>
      <c r="R20" s="44"/>
      <c r="S20" s="44"/>
      <c r="T20" s="44"/>
      <c r="U20" s="44"/>
    </row>
    <row r="21" spans="1:21" ht="15.75" x14ac:dyDescent="0.25">
      <c r="A21" s="2">
        <v>19</v>
      </c>
      <c r="B21" s="42">
        <v>44013</v>
      </c>
      <c r="C21" s="18">
        <v>150</v>
      </c>
      <c r="D21" s="18">
        <f t="shared" si="3"/>
        <v>142.91860644536268</v>
      </c>
      <c r="E21" s="18">
        <f t="shared" si="4"/>
        <v>178.56353759765625</v>
      </c>
      <c r="F21" s="43">
        <f t="shared" si="5"/>
        <v>188.35839390423911</v>
      </c>
      <c r="G21" s="5">
        <f t="shared" si="0"/>
        <v>-38.358393904239108</v>
      </c>
      <c r="H21" s="7">
        <f t="shared" si="1"/>
        <v>38.358393904239108</v>
      </c>
      <c r="I21" s="7">
        <f t="shared" si="2"/>
        <v>1471.3663829127679</v>
      </c>
      <c r="K21" s="13" t="s">
        <v>12</v>
      </c>
      <c r="L21" s="12"/>
      <c r="M21" s="12"/>
      <c r="N21" s="12"/>
      <c r="O21" s="12"/>
    </row>
    <row r="22" spans="1:21" x14ac:dyDescent="0.25">
      <c r="A22" s="2">
        <v>20</v>
      </c>
      <c r="B22" s="42">
        <v>44044</v>
      </c>
      <c r="C22" s="18">
        <v>165</v>
      </c>
      <c r="D22" s="18">
        <f t="shared" si="3"/>
        <v>143.62674580082643</v>
      </c>
      <c r="E22" s="18">
        <f t="shared" si="4"/>
        <v>164.28176879882812</v>
      </c>
      <c r="F22" s="43">
        <f t="shared" si="5"/>
        <v>153.8358393904239</v>
      </c>
      <c r="G22" s="5">
        <f t="shared" si="0"/>
        <v>11.164160609576101</v>
      </c>
      <c r="H22" s="7">
        <f t="shared" si="1"/>
        <v>11.164160609576101</v>
      </c>
      <c r="I22" s="7">
        <f t="shared" si="2"/>
        <v>124.63848211641061</v>
      </c>
      <c r="K22" t="s">
        <v>8</v>
      </c>
    </row>
    <row r="23" spans="1:21" x14ac:dyDescent="0.25">
      <c r="A23" s="2">
        <v>21</v>
      </c>
      <c r="B23" s="42">
        <v>44075</v>
      </c>
      <c r="C23" s="18">
        <v>160</v>
      </c>
      <c r="D23" s="18">
        <f t="shared" si="3"/>
        <v>145.7640712207438</v>
      </c>
      <c r="E23" s="18">
        <f t="shared" si="4"/>
        <v>164.64088439941406</v>
      </c>
      <c r="F23" s="43">
        <f t="shared" si="5"/>
        <v>163.88358393904238</v>
      </c>
      <c r="G23" s="5">
        <f t="shared" si="0"/>
        <v>-3.8835839390423814</v>
      </c>
      <c r="H23" s="7">
        <f t="shared" si="1"/>
        <v>3.8835839390423814</v>
      </c>
      <c r="I23" s="7">
        <f t="shared" si="2"/>
        <v>15.08222421158794</v>
      </c>
      <c r="K23" t="s">
        <v>9</v>
      </c>
    </row>
    <row r="24" spans="1:21" x14ac:dyDescent="0.25">
      <c r="A24" s="2">
        <v>22</v>
      </c>
      <c r="B24" s="42">
        <v>44105</v>
      </c>
      <c r="C24" s="18">
        <v>170</v>
      </c>
      <c r="D24" s="18">
        <f t="shared" si="3"/>
        <v>147.18766409866942</v>
      </c>
      <c r="E24" s="18">
        <f t="shared" si="4"/>
        <v>162.32044219970703</v>
      </c>
      <c r="F24" s="43">
        <f t="shared" si="5"/>
        <v>160.38835839390424</v>
      </c>
      <c r="G24" s="5">
        <f t="shared" si="0"/>
        <v>9.611641606095759</v>
      </c>
      <c r="H24" s="7">
        <f t="shared" si="1"/>
        <v>9.611641606095759</v>
      </c>
      <c r="I24" s="7">
        <f t="shared" si="2"/>
        <v>92.383654364031059</v>
      </c>
    </row>
    <row r="25" spans="1:21" x14ac:dyDescent="0.25">
      <c r="A25" s="2">
        <v>23</v>
      </c>
      <c r="B25" s="42">
        <v>44136</v>
      </c>
      <c r="C25" s="18">
        <v>190</v>
      </c>
      <c r="D25" s="18">
        <f t="shared" si="3"/>
        <v>149.46889768880249</v>
      </c>
      <c r="E25" s="18">
        <f t="shared" si="4"/>
        <v>166.16022109985352</v>
      </c>
      <c r="F25" s="43">
        <f t="shared" si="5"/>
        <v>169.03883583939043</v>
      </c>
      <c r="G25" s="5">
        <f t="shared" si="0"/>
        <v>20.96116416060957</v>
      </c>
      <c r="H25" s="7">
        <f t="shared" si="1"/>
        <v>20.96116416060957</v>
      </c>
      <c r="I25" s="7">
        <f t="shared" si="2"/>
        <v>439.37040296802309</v>
      </c>
    </row>
    <row r="26" spans="1:21" x14ac:dyDescent="0.25">
      <c r="A26" s="2">
        <v>24</v>
      </c>
      <c r="B26" s="42">
        <v>44166</v>
      </c>
      <c r="C26" s="18">
        <v>180</v>
      </c>
      <c r="D26" s="18">
        <f t="shared" si="3"/>
        <v>153.52200791992223</v>
      </c>
      <c r="E26" s="18">
        <f t="shared" si="4"/>
        <v>178.08011054992676</v>
      </c>
      <c r="F26" s="43">
        <f>0.9*C25 +( (1-0.9)*F25)</f>
        <v>187.90388358393903</v>
      </c>
      <c r="G26" s="5">
        <f t="shared" si="0"/>
        <v>-7.9038835839390345</v>
      </c>
      <c r="H26" s="7">
        <f t="shared" si="1"/>
        <v>7.9038835839390345</v>
      </c>
      <c r="I26" s="7">
        <f t="shared" si="2"/>
        <v>62.471375708460954</v>
      </c>
    </row>
    <row r="27" spans="1:21" x14ac:dyDescent="0.25">
      <c r="B27" s="1">
        <v>44197</v>
      </c>
      <c r="E27" s="18">
        <f>0.5*C26 +( (1-0.5)*E26)</f>
        <v>179.04005527496338</v>
      </c>
      <c r="F27" s="7"/>
      <c r="G27" s="14">
        <f>SUM(G3:G26)</f>
        <v>84.211542620437712</v>
      </c>
      <c r="H27" s="14">
        <f>SUM(H3:H26)</f>
        <v>277.26895075307556</v>
      </c>
      <c r="I27" s="15">
        <f>SUM(I3:I26)</f>
        <v>4668.2928019065184</v>
      </c>
      <c r="J27" s="16" t="s">
        <v>17</v>
      </c>
    </row>
    <row r="28" spans="1:21" x14ac:dyDescent="0.25">
      <c r="E28" s="18">
        <f>0.5*C26 +( (1-0.5)*E27)</f>
        <v>179.52002763748169</v>
      </c>
      <c r="G28" s="17">
        <f>G27/24</f>
        <v>3.5088142758515715</v>
      </c>
      <c r="H28" s="17">
        <f>H27/24</f>
        <v>11.552872948044815</v>
      </c>
      <c r="I28" s="17">
        <f>I27/24</f>
        <v>194.51220007943826</v>
      </c>
      <c r="J28" s="10" t="s">
        <v>18</v>
      </c>
    </row>
    <row r="29" spans="1:21" x14ac:dyDescent="0.25">
      <c r="G29" t="s">
        <v>19</v>
      </c>
      <c r="H29" t="s">
        <v>20</v>
      </c>
      <c r="I29" t="s">
        <v>21</v>
      </c>
    </row>
    <row r="30" spans="1:21" x14ac:dyDescent="0.25">
      <c r="H30" t="s">
        <v>22</v>
      </c>
      <c r="I30">
        <f>SQRT(I27/20)</f>
        <v>15.277913473224212</v>
      </c>
    </row>
  </sheetData>
  <mergeCells count="5">
    <mergeCell ref="Q16:U20"/>
    <mergeCell ref="K13:O13"/>
    <mergeCell ref="Q5:U14"/>
    <mergeCell ref="K16:M17"/>
    <mergeCell ref="B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5" sqref="E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4" width="15.7109375" bestFit="1" customWidth="1"/>
    <col min="5" max="5" width="8.140625" customWidth="1"/>
    <col min="6" max="6" width="9" customWidth="1"/>
    <col min="7" max="7" width="17" customWidth="1"/>
    <col min="8" max="8" width="8.28515625" bestFit="1" customWidth="1"/>
    <col min="9" max="9" width="15.28515625" bestFit="1" customWidth="1"/>
    <col min="10" max="10" width="14" bestFit="1" customWidth="1"/>
  </cols>
  <sheetData>
    <row r="1" spans="1:10" ht="18.75" x14ac:dyDescent="0.3">
      <c r="A1" s="67" t="s">
        <v>78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ht="30" x14ac:dyDescent="0.25">
      <c r="A2" s="72" t="s">
        <v>0</v>
      </c>
      <c r="B2" s="72" t="s">
        <v>74</v>
      </c>
      <c r="C2" s="73" t="s">
        <v>84</v>
      </c>
      <c r="D2" s="72" t="s">
        <v>79</v>
      </c>
      <c r="E2" s="72" t="s">
        <v>80</v>
      </c>
      <c r="F2" s="72" t="s">
        <v>81</v>
      </c>
      <c r="G2" s="73" t="s">
        <v>82</v>
      </c>
      <c r="H2" s="72" t="s">
        <v>14</v>
      </c>
      <c r="I2" s="72" t="s">
        <v>15</v>
      </c>
      <c r="J2" s="72" t="s">
        <v>16</v>
      </c>
    </row>
    <row r="3" spans="1:10" x14ac:dyDescent="0.25">
      <c r="A3" s="42">
        <v>43466</v>
      </c>
      <c r="B3" s="18">
        <v>105</v>
      </c>
      <c r="C3" s="18">
        <v>105</v>
      </c>
      <c r="D3" s="18">
        <v>105</v>
      </c>
      <c r="E3" s="18">
        <v>105</v>
      </c>
      <c r="F3" s="18" t="s">
        <v>83</v>
      </c>
      <c r="G3" s="18"/>
      <c r="H3" s="43"/>
      <c r="I3" s="43"/>
      <c r="J3" s="43"/>
    </row>
    <row r="4" spans="1:10" x14ac:dyDescent="0.25">
      <c r="A4" s="42">
        <v>43497</v>
      </c>
      <c r="B4" s="18">
        <v>115</v>
      </c>
      <c r="C4" s="18">
        <f>0.2*B4 +( (1-0.2)*B3)</f>
        <v>107</v>
      </c>
      <c r="D4" s="18">
        <f>0.2*C4 +( (1-0.2)*C3)</f>
        <v>105.4</v>
      </c>
      <c r="E4" s="43">
        <f>(2*C4)-D4</f>
        <v>108.6</v>
      </c>
      <c r="F4" s="68">
        <f>(0.2/0.8)*(C4-D4)</f>
        <v>0.39999999999999858</v>
      </c>
      <c r="G4" s="43">
        <f>E4+F4</f>
        <v>109</v>
      </c>
      <c r="H4" s="43">
        <f t="shared" ref="H4:H26" si="0">B4-E4</f>
        <v>6.4000000000000057</v>
      </c>
      <c r="I4" s="43">
        <f t="shared" ref="I4:I26" si="1">ABS(H4)</f>
        <v>6.4000000000000057</v>
      </c>
      <c r="J4" s="43">
        <f t="shared" ref="J4:J26" si="2">H4^2</f>
        <v>40.960000000000072</v>
      </c>
    </row>
    <row r="5" spans="1:10" x14ac:dyDescent="0.25">
      <c r="A5" s="42">
        <v>43525</v>
      </c>
      <c r="B5" s="18">
        <v>130</v>
      </c>
      <c r="C5" s="18">
        <f t="shared" ref="C5:D26" si="3">0.2*B5 +( (1-0.2)*B4)</f>
        <v>118</v>
      </c>
      <c r="D5" s="18">
        <f t="shared" si="3"/>
        <v>109.20000000000002</v>
      </c>
      <c r="E5" s="43">
        <f t="shared" ref="E5:E26" si="4">(2*C5)-D5</f>
        <v>126.79999999999998</v>
      </c>
      <c r="F5" s="68">
        <f t="shared" ref="F5:F26" si="5">(0.2/0.8)*(C5-D5)</f>
        <v>2.1999999999999957</v>
      </c>
      <c r="G5" s="43">
        <f>E5+F5</f>
        <v>128.99999999999997</v>
      </c>
      <c r="H5" s="43">
        <f t="shared" si="0"/>
        <v>3.2000000000000171</v>
      </c>
      <c r="I5" s="43">
        <f t="shared" si="1"/>
        <v>3.2000000000000171</v>
      </c>
      <c r="J5" s="43">
        <f t="shared" si="2"/>
        <v>10.240000000000109</v>
      </c>
    </row>
    <row r="6" spans="1:10" x14ac:dyDescent="0.25">
      <c r="A6" s="42">
        <v>43556</v>
      </c>
      <c r="B6" s="18">
        <v>130</v>
      </c>
      <c r="C6" s="18">
        <f t="shared" si="3"/>
        <v>130</v>
      </c>
      <c r="D6" s="18">
        <f t="shared" si="3"/>
        <v>120.4</v>
      </c>
      <c r="E6" s="43">
        <f t="shared" si="4"/>
        <v>139.6</v>
      </c>
      <c r="F6" s="68">
        <f t="shared" si="5"/>
        <v>2.3999999999999986</v>
      </c>
      <c r="G6" s="43">
        <f t="shared" ref="G6:G26" si="6">E6+F6</f>
        <v>142</v>
      </c>
      <c r="H6" s="68">
        <f t="shared" si="0"/>
        <v>-9.5999999999999943</v>
      </c>
      <c r="I6" s="43">
        <f t="shared" si="1"/>
        <v>9.5999999999999943</v>
      </c>
      <c r="J6" s="43">
        <f t="shared" si="2"/>
        <v>92.159999999999897</v>
      </c>
    </row>
    <row r="7" spans="1:10" x14ac:dyDescent="0.25">
      <c r="A7" s="42">
        <v>43586</v>
      </c>
      <c r="B7" s="18">
        <v>120</v>
      </c>
      <c r="C7" s="18">
        <f t="shared" si="3"/>
        <v>128</v>
      </c>
      <c r="D7" s="18">
        <f t="shared" si="3"/>
        <v>129.6</v>
      </c>
      <c r="E7" s="43">
        <f t="shared" si="4"/>
        <v>126.4</v>
      </c>
      <c r="F7" s="68">
        <f t="shared" si="5"/>
        <v>-0.39999999999999858</v>
      </c>
      <c r="G7" s="43">
        <f t="shared" si="6"/>
        <v>126</v>
      </c>
      <c r="H7" s="69">
        <f>B7-E7</f>
        <v>-6.4000000000000057</v>
      </c>
      <c r="I7" s="43">
        <f t="shared" si="1"/>
        <v>6.4000000000000057</v>
      </c>
      <c r="J7" s="43">
        <f t="shared" si="2"/>
        <v>40.960000000000072</v>
      </c>
    </row>
    <row r="8" spans="1:10" x14ac:dyDescent="0.25">
      <c r="A8" s="42">
        <v>43617</v>
      </c>
      <c r="B8" s="18">
        <v>130</v>
      </c>
      <c r="C8" s="18">
        <f t="shared" si="3"/>
        <v>122</v>
      </c>
      <c r="D8" s="18">
        <f t="shared" si="3"/>
        <v>126.80000000000001</v>
      </c>
      <c r="E8" s="43">
        <f t="shared" si="4"/>
        <v>117.19999999999999</v>
      </c>
      <c r="F8" s="68">
        <f t="shared" si="5"/>
        <v>-1.2000000000000028</v>
      </c>
      <c r="G8" s="43">
        <f t="shared" si="6"/>
        <v>115.99999999999999</v>
      </c>
      <c r="H8" s="70">
        <f t="shared" si="0"/>
        <v>12.800000000000011</v>
      </c>
      <c r="I8" s="43">
        <f t="shared" si="1"/>
        <v>12.800000000000011</v>
      </c>
      <c r="J8" s="43">
        <f t="shared" si="2"/>
        <v>163.84000000000029</v>
      </c>
    </row>
    <row r="9" spans="1:10" x14ac:dyDescent="0.25">
      <c r="A9" s="42">
        <v>43647</v>
      </c>
      <c r="B9" s="18">
        <v>140</v>
      </c>
      <c r="C9" s="18">
        <f t="shared" si="3"/>
        <v>132</v>
      </c>
      <c r="D9" s="18">
        <f t="shared" si="3"/>
        <v>124.00000000000001</v>
      </c>
      <c r="E9" s="43">
        <f t="shared" si="4"/>
        <v>140</v>
      </c>
      <c r="F9" s="68">
        <f t="shared" si="5"/>
        <v>1.9999999999999964</v>
      </c>
      <c r="G9" s="43">
        <f t="shared" si="6"/>
        <v>142</v>
      </c>
      <c r="H9" s="71">
        <f t="shared" si="0"/>
        <v>0</v>
      </c>
      <c r="I9" s="43">
        <f t="shared" si="1"/>
        <v>0</v>
      </c>
      <c r="J9" s="43">
        <f t="shared" si="2"/>
        <v>0</v>
      </c>
    </row>
    <row r="10" spans="1:10" x14ac:dyDescent="0.25">
      <c r="A10" s="42">
        <v>43678</v>
      </c>
      <c r="B10" s="18">
        <v>115</v>
      </c>
      <c r="C10" s="18">
        <f t="shared" si="3"/>
        <v>135</v>
      </c>
      <c r="D10" s="18">
        <f t="shared" si="3"/>
        <v>132.60000000000002</v>
      </c>
      <c r="E10" s="43">
        <f t="shared" si="4"/>
        <v>137.39999999999998</v>
      </c>
      <c r="F10" s="68">
        <f t="shared" si="5"/>
        <v>0.59999999999999432</v>
      </c>
      <c r="G10" s="43">
        <f t="shared" si="6"/>
        <v>137.99999999999997</v>
      </c>
      <c r="H10" s="71">
        <f t="shared" si="0"/>
        <v>-22.399999999999977</v>
      </c>
      <c r="I10" s="43">
        <f t="shared" si="1"/>
        <v>22.399999999999977</v>
      </c>
      <c r="J10" s="43">
        <f t="shared" si="2"/>
        <v>501.75999999999897</v>
      </c>
    </row>
    <row r="11" spans="1:10" x14ac:dyDescent="0.25">
      <c r="A11" s="42">
        <v>43709</v>
      </c>
      <c r="B11" s="18">
        <v>125</v>
      </c>
      <c r="C11" s="18">
        <f t="shared" si="3"/>
        <v>117</v>
      </c>
      <c r="D11" s="18">
        <f t="shared" si="3"/>
        <v>131.4</v>
      </c>
      <c r="E11" s="43">
        <f t="shared" si="4"/>
        <v>102.6</v>
      </c>
      <c r="F11" s="68">
        <f t="shared" si="5"/>
        <v>-3.6000000000000014</v>
      </c>
      <c r="G11" s="43">
        <f t="shared" si="6"/>
        <v>99</v>
      </c>
      <c r="H11" s="71">
        <f t="shared" si="0"/>
        <v>22.400000000000006</v>
      </c>
      <c r="I11" s="43">
        <f t="shared" si="1"/>
        <v>22.400000000000006</v>
      </c>
      <c r="J11" s="43">
        <f t="shared" si="2"/>
        <v>501.76000000000028</v>
      </c>
    </row>
    <row r="12" spans="1:10" x14ac:dyDescent="0.25">
      <c r="A12" s="42">
        <v>43739</v>
      </c>
      <c r="B12" s="18">
        <v>120</v>
      </c>
      <c r="C12" s="18">
        <f t="shared" si="3"/>
        <v>124</v>
      </c>
      <c r="D12" s="18">
        <f t="shared" si="3"/>
        <v>118.4</v>
      </c>
      <c r="E12" s="43">
        <f t="shared" si="4"/>
        <v>129.6</v>
      </c>
      <c r="F12" s="68">
        <f t="shared" si="5"/>
        <v>1.3999999999999986</v>
      </c>
      <c r="G12" s="43">
        <f t="shared" si="6"/>
        <v>131</v>
      </c>
      <c r="H12" s="71">
        <f t="shared" si="0"/>
        <v>-9.5999999999999943</v>
      </c>
      <c r="I12" s="43">
        <f t="shared" si="1"/>
        <v>9.5999999999999943</v>
      </c>
      <c r="J12" s="43">
        <f t="shared" si="2"/>
        <v>92.159999999999897</v>
      </c>
    </row>
    <row r="13" spans="1:10" x14ac:dyDescent="0.25">
      <c r="A13" s="42">
        <v>43770</v>
      </c>
      <c r="B13" s="18">
        <v>130</v>
      </c>
      <c r="C13" s="18">
        <f t="shared" si="3"/>
        <v>122</v>
      </c>
      <c r="D13" s="18">
        <f t="shared" si="3"/>
        <v>123.60000000000001</v>
      </c>
      <c r="E13" s="43">
        <f t="shared" si="4"/>
        <v>120.39999999999999</v>
      </c>
      <c r="F13" s="68">
        <f t="shared" si="5"/>
        <v>-0.40000000000000213</v>
      </c>
      <c r="G13" s="43">
        <f t="shared" si="6"/>
        <v>119.99999999999999</v>
      </c>
      <c r="H13" s="71">
        <f t="shared" si="0"/>
        <v>9.6000000000000085</v>
      </c>
      <c r="I13" s="43">
        <f t="shared" si="1"/>
        <v>9.6000000000000085</v>
      </c>
      <c r="J13" s="43">
        <f t="shared" si="2"/>
        <v>92.160000000000167</v>
      </c>
    </row>
    <row r="14" spans="1:10" x14ac:dyDescent="0.25">
      <c r="A14" s="42">
        <v>43800</v>
      </c>
      <c r="B14" s="18">
        <v>140</v>
      </c>
      <c r="C14" s="18">
        <f t="shared" si="3"/>
        <v>132</v>
      </c>
      <c r="D14" s="18">
        <f t="shared" si="3"/>
        <v>124.00000000000001</v>
      </c>
      <c r="E14" s="43">
        <f t="shared" si="4"/>
        <v>140</v>
      </c>
      <c r="F14" s="68">
        <f t="shared" si="5"/>
        <v>1.9999999999999964</v>
      </c>
      <c r="G14" s="43">
        <f t="shared" si="6"/>
        <v>142</v>
      </c>
      <c r="H14" s="71">
        <f t="shared" si="0"/>
        <v>0</v>
      </c>
      <c r="I14" s="43">
        <f t="shared" si="1"/>
        <v>0</v>
      </c>
      <c r="J14" s="43">
        <f t="shared" si="2"/>
        <v>0</v>
      </c>
    </row>
    <row r="15" spans="1:10" x14ac:dyDescent="0.25">
      <c r="A15" s="42">
        <v>43831</v>
      </c>
      <c r="B15" s="18">
        <v>145</v>
      </c>
      <c r="C15" s="18">
        <f t="shared" si="3"/>
        <v>141</v>
      </c>
      <c r="D15" s="18">
        <f t="shared" si="3"/>
        <v>133.80000000000001</v>
      </c>
      <c r="E15" s="43">
        <f t="shared" si="4"/>
        <v>148.19999999999999</v>
      </c>
      <c r="F15" s="68">
        <f t="shared" si="5"/>
        <v>1.7999999999999972</v>
      </c>
      <c r="G15" s="43">
        <f t="shared" si="6"/>
        <v>150</v>
      </c>
      <c r="H15" s="71">
        <f t="shared" si="0"/>
        <v>-3.1999999999999886</v>
      </c>
      <c r="I15" s="43">
        <f t="shared" si="1"/>
        <v>3.1999999999999886</v>
      </c>
      <c r="J15" s="43">
        <f t="shared" si="2"/>
        <v>10.239999999999927</v>
      </c>
    </row>
    <row r="16" spans="1:10" x14ac:dyDescent="0.25">
      <c r="A16" s="42">
        <v>43862</v>
      </c>
      <c r="B16" s="18">
        <v>155</v>
      </c>
      <c r="C16" s="18">
        <f t="shared" si="3"/>
        <v>147</v>
      </c>
      <c r="D16" s="18">
        <f t="shared" si="3"/>
        <v>142.20000000000002</v>
      </c>
      <c r="E16" s="43">
        <f t="shared" si="4"/>
        <v>151.79999999999998</v>
      </c>
      <c r="F16" s="68">
        <f t="shared" si="5"/>
        <v>1.1999999999999957</v>
      </c>
      <c r="G16" s="43">
        <f t="shared" si="6"/>
        <v>152.99999999999997</v>
      </c>
      <c r="H16" s="71">
        <f t="shared" si="0"/>
        <v>3.2000000000000171</v>
      </c>
      <c r="I16" s="43">
        <f t="shared" si="1"/>
        <v>3.2000000000000171</v>
      </c>
      <c r="J16" s="43">
        <f t="shared" si="2"/>
        <v>10.240000000000109</v>
      </c>
    </row>
    <row r="17" spans="1:10" x14ac:dyDescent="0.25">
      <c r="A17" s="42">
        <v>43891</v>
      </c>
      <c r="B17" s="18">
        <v>170</v>
      </c>
      <c r="C17" s="18">
        <f t="shared" si="3"/>
        <v>158</v>
      </c>
      <c r="D17" s="18">
        <f t="shared" si="3"/>
        <v>149.20000000000002</v>
      </c>
      <c r="E17" s="43">
        <f t="shared" si="4"/>
        <v>166.79999999999998</v>
      </c>
      <c r="F17" s="68">
        <f t="shared" si="5"/>
        <v>2.1999999999999957</v>
      </c>
      <c r="G17" s="43">
        <f t="shared" si="6"/>
        <v>168.99999999999997</v>
      </c>
      <c r="H17" s="71">
        <f t="shared" si="0"/>
        <v>3.2000000000000171</v>
      </c>
      <c r="I17" s="43">
        <f t="shared" si="1"/>
        <v>3.2000000000000171</v>
      </c>
      <c r="J17" s="43">
        <f t="shared" si="2"/>
        <v>10.240000000000109</v>
      </c>
    </row>
    <row r="18" spans="1:10" x14ac:dyDescent="0.25">
      <c r="A18" s="42">
        <v>43922</v>
      </c>
      <c r="B18" s="18">
        <v>160</v>
      </c>
      <c r="C18" s="18">
        <f t="shared" si="3"/>
        <v>168</v>
      </c>
      <c r="D18" s="18">
        <f t="shared" si="3"/>
        <v>160</v>
      </c>
      <c r="E18" s="43">
        <f t="shared" si="4"/>
        <v>176</v>
      </c>
      <c r="F18" s="68">
        <f t="shared" si="5"/>
        <v>2</v>
      </c>
      <c r="G18" s="43">
        <f t="shared" si="6"/>
        <v>178</v>
      </c>
      <c r="H18" s="71">
        <f t="shared" si="0"/>
        <v>-16</v>
      </c>
      <c r="I18" s="43">
        <f t="shared" si="1"/>
        <v>16</v>
      </c>
      <c r="J18" s="43">
        <f t="shared" si="2"/>
        <v>256</v>
      </c>
    </row>
    <row r="19" spans="1:10" x14ac:dyDescent="0.25">
      <c r="A19" s="42">
        <v>43952</v>
      </c>
      <c r="B19" s="18">
        <v>175</v>
      </c>
      <c r="C19" s="18">
        <f t="shared" si="3"/>
        <v>163</v>
      </c>
      <c r="D19" s="18">
        <f t="shared" si="3"/>
        <v>167</v>
      </c>
      <c r="E19" s="43">
        <f t="shared" si="4"/>
        <v>159</v>
      </c>
      <c r="F19" s="68">
        <f t="shared" si="5"/>
        <v>-1</v>
      </c>
      <c r="G19" s="43">
        <f t="shared" si="6"/>
        <v>158</v>
      </c>
      <c r="H19" s="71">
        <f t="shared" si="0"/>
        <v>16</v>
      </c>
      <c r="I19" s="43">
        <f t="shared" si="1"/>
        <v>16</v>
      </c>
      <c r="J19" s="43">
        <f t="shared" si="2"/>
        <v>256</v>
      </c>
    </row>
    <row r="20" spans="1:10" x14ac:dyDescent="0.25">
      <c r="A20" s="42">
        <v>43983</v>
      </c>
      <c r="B20" s="18">
        <v>190</v>
      </c>
      <c r="C20" s="18">
        <f t="shared" si="3"/>
        <v>178</v>
      </c>
      <c r="D20" s="18">
        <f t="shared" si="3"/>
        <v>166</v>
      </c>
      <c r="E20" s="43">
        <f t="shared" si="4"/>
        <v>190</v>
      </c>
      <c r="F20" s="68">
        <f t="shared" si="5"/>
        <v>3</v>
      </c>
      <c r="G20" s="43">
        <f t="shared" si="6"/>
        <v>193</v>
      </c>
      <c r="H20" s="71">
        <f t="shared" si="0"/>
        <v>0</v>
      </c>
      <c r="I20" s="43">
        <f t="shared" si="1"/>
        <v>0</v>
      </c>
      <c r="J20" s="43">
        <f t="shared" si="2"/>
        <v>0</v>
      </c>
    </row>
    <row r="21" spans="1:10" x14ac:dyDescent="0.25">
      <c r="A21" s="42">
        <v>44013</v>
      </c>
      <c r="B21" s="18">
        <v>150</v>
      </c>
      <c r="C21" s="18">
        <f t="shared" si="3"/>
        <v>182</v>
      </c>
      <c r="D21" s="18">
        <f t="shared" si="3"/>
        <v>178.8</v>
      </c>
      <c r="E21" s="43">
        <f t="shared" si="4"/>
        <v>185.2</v>
      </c>
      <c r="F21" s="68">
        <f t="shared" si="5"/>
        <v>0.79999999999999716</v>
      </c>
      <c r="G21" s="43">
        <f t="shared" si="6"/>
        <v>186</v>
      </c>
      <c r="H21" s="71">
        <f t="shared" si="0"/>
        <v>-35.199999999999989</v>
      </c>
      <c r="I21" s="43">
        <f t="shared" si="1"/>
        <v>35.199999999999989</v>
      </c>
      <c r="J21" s="43">
        <f t="shared" si="2"/>
        <v>1239.0399999999993</v>
      </c>
    </row>
    <row r="22" spans="1:10" x14ac:dyDescent="0.25">
      <c r="A22" s="42">
        <v>44044</v>
      </c>
      <c r="B22" s="18">
        <v>165</v>
      </c>
      <c r="C22" s="18">
        <f t="shared" si="3"/>
        <v>153</v>
      </c>
      <c r="D22" s="18">
        <f t="shared" si="3"/>
        <v>176.2</v>
      </c>
      <c r="E22" s="43">
        <f t="shared" si="4"/>
        <v>129.80000000000001</v>
      </c>
      <c r="F22" s="68">
        <f t="shared" si="5"/>
        <v>-5.7999999999999972</v>
      </c>
      <c r="G22" s="43">
        <f t="shared" si="6"/>
        <v>124.00000000000001</v>
      </c>
      <c r="H22" s="71">
        <f t="shared" si="0"/>
        <v>35.199999999999989</v>
      </c>
      <c r="I22" s="43">
        <f t="shared" si="1"/>
        <v>35.199999999999989</v>
      </c>
      <c r="J22" s="43">
        <f t="shared" si="2"/>
        <v>1239.0399999999993</v>
      </c>
    </row>
    <row r="23" spans="1:10" x14ac:dyDescent="0.25">
      <c r="A23" s="42">
        <v>44075</v>
      </c>
      <c r="B23" s="18">
        <v>160</v>
      </c>
      <c r="C23" s="18">
        <f t="shared" si="3"/>
        <v>164</v>
      </c>
      <c r="D23" s="18">
        <f t="shared" si="3"/>
        <v>155.20000000000002</v>
      </c>
      <c r="E23" s="43">
        <f t="shared" si="4"/>
        <v>172.79999999999998</v>
      </c>
      <c r="F23" s="68">
        <f t="shared" si="5"/>
        <v>2.1999999999999957</v>
      </c>
      <c r="G23" s="43">
        <f t="shared" si="6"/>
        <v>174.99999999999997</v>
      </c>
      <c r="H23" s="71">
        <f t="shared" si="0"/>
        <v>-12.799999999999983</v>
      </c>
      <c r="I23" s="43">
        <f t="shared" si="1"/>
        <v>12.799999999999983</v>
      </c>
      <c r="J23" s="43">
        <f t="shared" si="2"/>
        <v>163.83999999999958</v>
      </c>
    </row>
    <row r="24" spans="1:10" x14ac:dyDescent="0.25">
      <c r="A24" s="42">
        <v>44105</v>
      </c>
      <c r="B24" s="18">
        <v>170</v>
      </c>
      <c r="C24" s="18">
        <f t="shared" si="3"/>
        <v>162</v>
      </c>
      <c r="D24" s="18">
        <f t="shared" si="3"/>
        <v>163.60000000000002</v>
      </c>
      <c r="E24" s="43">
        <f t="shared" si="4"/>
        <v>160.39999999999998</v>
      </c>
      <c r="F24" s="68">
        <f t="shared" si="5"/>
        <v>-0.40000000000000568</v>
      </c>
      <c r="G24" s="43">
        <f t="shared" si="6"/>
        <v>159.99999999999997</v>
      </c>
      <c r="H24" s="71">
        <f t="shared" si="0"/>
        <v>9.6000000000000227</v>
      </c>
      <c r="I24" s="43">
        <f t="shared" si="1"/>
        <v>9.6000000000000227</v>
      </c>
      <c r="J24" s="43">
        <f t="shared" si="2"/>
        <v>92.160000000000437</v>
      </c>
    </row>
    <row r="25" spans="1:10" x14ac:dyDescent="0.25">
      <c r="A25" s="42">
        <v>44136</v>
      </c>
      <c r="B25" s="18">
        <v>190</v>
      </c>
      <c r="C25" s="18">
        <f t="shared" si="3"/>
        <v>174</v>
      </c>
      <c r="D25" s="18">
        <f t="shared" si="3"/>
        <v>164.4</v>
      </c>
      <c r="E25" s="43">
        <f t="shared" si="4"/>
        <v>183.6</v>
      </c>
      <c r="F25" s="68">
        <f t="shared" si="5"/>
        <v>2.3999999999999986</v>
      </c>
      <c r="G25" s="43">
        <f t="shared" si="6"/>
        <v>186</v>
      </c>
      <c r="H25" s="71">
        <f t="shared" si="0"/>
        <v>6.4000000000000057</v>
      </c>
      <c r="I25" s="43">
        <f t="shared" si="1"/>
        <v>6.4000000000000057</v>
      </c>
      <c r="J25" s="43">
        <f t="shared" si="2"/>
        <v>40.960000000000072</v>
      </c>
    </row>
    <row r="26" spans="1:10" x14ac:dyDescent="0.25">
      <c r="A26" s="42">
        <v>44166</v>
      </c>
      <c r="B26" s="18">
        <v>180</v>
      </c>
      <c r="C26" s="18">
        <f>0.2*B26 +( (1-0.2)*B25)</f>
        <v>188</v>
      </c>
      <c r="D26" s="18">
        <f>0.2*C26 +( (1-0.2)*C25)</f>
        <v>176.8</v>
      </c>
      <c r="E26" s="43">
        <f>(2*C26)-D26</f>
        <v>199.2</v>
      </c>
      <c r="F26" s="68">
        <f t="shared" si="5"/>
        <v>2.7999999999999972</v>
      </c>
      <c r="G26" s="43">
        <f>E26+F26</f>
        <v>202</v>
      </c>
      <c r="H26" s="71">
        <f t="shared" si="0"/>
        <v>-19.199999999999989</v>
      </c>
      <c r="I26" s="43">
        <f t="shared" si="1"/>
        <v>19.199999999999989</v>
      </c>
      <c r="J26" s="43">
        <f t="shared" si="2"/>
        <v>368.63999999999959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27" workbookViewId="0">
      <selection activeCell="G43" sqref="G43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7.85546875" customWidth="1"/>
    <col min="4" max="4" width="12.28515625" bestFit="1" customWidth="1"/>
    <col min="8" max="8" width="5.28515625" customWidth="1"/>
    <col min="10" max="10" width="12.28515625" bestFit="1" customWidth="1"/>
    <col min="15" max="15" width="28" customWidth="1"/>
  </cols>
  <sheetData>
    <row r="1" spans="1:18" x14ac:dyDescent="0.25">
      <c r="A1" s="19" t="s">
        <v>58</v>
      </c>
      <c r="B1" s="34" t="s">
        <v>0</v>
      </c>
      <c r="C1" s="31" t="s">
        <v>23</v>
      </c>
      <c r="D1" s="19" t="s">
        <v>24</v>
      </c>
      <c r="E1" s="19" t="s">
        <v>25</v>
      </c>
      <c r="F1" s="19" t="s">
        <v>26</v>
      </c>
      <c r="G1" s="19" t="s">
        <v>27</v>
      </c>
      <c r="H1" s="23"/>
      <c r="J1" s="26" t="s">
        <v>48</v>
      </c>
      <c r="K1" s="19" t="s">
        <v>49</v>
      </c>
      <c r="L1" s="19" t="s">
        <v>50</v>
      </c>
      <c r="M1" s="19" t="s">
        <v>47</v>
      </c>
      <c r="N1" s="23"/>
      <c r="P1" s="19" t="s">
        <v>21</v>
      </c>
      <c r="Q1" s="19" t="s">
        <v>20</v>
      </c>
      <c r="R1" s="19" t="s">
        <v>28</v>
      </c>
    </row>
    <row r="2" spans="1:18" x14ac:dyDescent="0.25">
      <c r="A2" s="18">
        <v>1</v>
      </c>
      <c r="B2" s="35" t="s">
        <v>29</v>
      </c>
      <c r="C2" s="18">
        <v>2012</v>
      </c>
      <c r="D2" s="18">
        <v>3321</v>
      </c>
      <c r="E2" s="18">
        <v>0</v>
      </c>
      <c r="F2" s="18">
        <f>D2*E2</f>
        <v>0</v>
      </c>
      <c r="G2" s="18">
        <f>E2^2</f>
        <v>0</v>
      </c>
      <c r="H2" s="21"/>
      <c r="I2" s="22" t="s">
        <v>41</v>
      </c>
      <c r="J2" s="20">
        <f>SUM(D2:D33)</f>
        <v>230894</v>
      </c>
      <c r="K2" s="20">
        <f>SUM(E2:E33)</f>
        <v>496</v>
      </c>
      <c r="L2" s="20">
        <f>SUM(F2:F33)</f>
        <v>4039384</v>
      </c>
      <c r="M2" s="20">
        <f>SUM(G2:G33)</f>
        <v>10416</v>
      </c>
      <c r="N2" s="23"/>
    </row>
    <row r="3" spans="1:18" x14ac:dyDescent="0.25">
      <c r="A3" s="18">
        <v>2</v>
      </c>
      <c r="B3" s="35" t="s">
        <v>30</v>
      </c>
      <c r="C3" s="18">
        <v>2012</v>
      </c>
      <c r="D3" s="18">
        <v>5295</v>
      </c>
      <c r="E3" s="18">
        <v>1</v>
      </c>
      <c r="F3" s="18">
        <f t="shared" ref="F3:F33" si="0">D3*E3</f>
        <v>5295</v>
      </c>
      <c r="G3" s="18">
        <f t="shared" ref="G3:G33" si="1">E3^2</f>
        <v>1</v>
      </c>
      <c r="H3" s="21"/>
      <c r="I3" s="22" t="s">
        <v>18</v>
      </c>
      <c r="J3" s="18">
        <f>AVERAGE(D2:D33)</f>
        <v>7215.4375</v>
      </c>
      <c r="K3" s="18">
        <f>AVERAGE(E2:E33)</f>
        <v>15.5</v>
      </c>
      <c r="L3" s="18"/>
      <c r="M3" s="18"/>
      <c r="N3" s="21"/>
    </row>
    <row r="4" spans="1:18" x14ac:dyDescent="0.25">
      <c r="A4" s="18">
        <v>3</v>
      </c>
      <c r="B4" s="35" t="s">
        <v>31</v>
      </c>
      <c r="C4" s="18">
        <v>2012</v>
      </c>
      <c r="D4" s="18">
        <v>4758</v>
      </c>
      <c r="E4" s="18">
        <v>2</v>
      </c>
      <c r="F4" s="18">
        <f t="shared" si="0"/>
        <v>9516</v>
      </c>
      <c r="G4" s="18">
        <f t="shared" si="1"/>
        <v>4</v>
      </c>
      <c r="H4" s="21"/>
      <c r="J4" s="37"/>
      <c r="K4" s="36"/>
      <c r="L4" s="36"/>
      <c r="M4" s="36"/>
      <c r="N4" s="36"/>
      <c r="O4" s="36"/>
    </row>
    <row r="5" spans="1:18" x14ac:dyDescent="0.25">
      <c r="A5" s="18">
        <v>4</v>
      </c>
      <c r="B5" s="35" t="s">
        <v>32</v>
      </c>
      <c r="C5" s="18">
        <v>2012</v>
      </c>
      <c r="D5" s="18">
        <v>4544</v>
      </c>
      <c r="E5" s="18">
        <v>3</v>
      </c>
      <c r="F5" s="18">
        <f t="shared" si="0"/>
        <v>13632</v>
      </c>
      <c r="G5" s="18">
        <f t="shared" si="1"/>
        <v>9</v>
      </c>
      <c r="H5" s="21"/>
      <c r="I5" s="51" t="s">
        <v>42</v>
      </c>
      <c r="J5" s="51"/>
      <c r="K5" s="51"/>
      <c r="L5" s="51"/>
      <c r="M5" s="51"/>
      <c r="N5" s="24"/>
      <c r="O5" s="30" t="s">
        <v>52</v>
      </c>
    </row>
    <row r="6" spans="1:18" x14ac:dyDescent="0.25">
      <c r="A6" s="18">
        <v>5</v>
      </c>
      <c r="B6" s="35" t="s">
        <v>33</v>
      </c>
      <c r="C6" s="18">
        <v>2013</v>
      </c>
      <c r="D6" s="18">
        <v>6249</v>
      </c>
      <c r="E6" s="18">
        <v>4</v>
      </c>
      <c r="F6" s="18">
        <f t="shared" si="0"/>
        <v>24996</v>
      </c>
      <c r="G6" s="18">
        <f t="shared" si="1"/>
        <v>16</v>
      </c>
      <c r="H6" s="21"/>
      <c r="I6" s="49">
        <f>((32*L2) - (J2*K2))/((32*M2)-(K2*K2))</f>
        <v>168.81488269794721</v>
      </c>
      <c r="J6" s="49"/>
      <c r="K6" s="49"/>
      <c r="L6" s="49"/>
      <c r="M6" s="49"/>
      <c r="N6" s="27"/>
    </row>
    <row r="7" spans="1:18" x14ac:dyDescent="0.25">
      <c r="A7" s="18">
        <v>6</v>
      </c>
      <c r="B7" s="35" t="s">
        <v>34</v>
      </c>
      <c r="C7" s="18">
        <v>2013</v>
      </c>
      <c r="D7" s="18">
        <v>6767</v>
      </c>
      <c r="E7" s="18">
        <v>5</v>
      </c>
      <c r="F7" s="18">
        <f t="shared" si="0"/>
        <v>33835</v>
      </c>
      <c r="G7" s="18">
        <f t="shared" si="1"/>
        <v>25</v>
      </c>
      <c r="H7" s="21"/>
      <c r="I7" s="49"/>
      <c r="J7" s="49"/>
      <c r="K7" s="49"/>
      <c r="L7" s="49"/>
      <c r="M7" s="49"/>
      <c r="N7" s="27"/>
    </row>
    <row r="8" spans="1:18" x14ac:dyDescent="0.25">
      <c r="A8" s="18">
        <v>7</v>
      </c>
      <c r="B8" s="35" t="s">
        <v>35</v>
      </c>
      <c r="C8" s="18">
        <v>2013</v>
      </c>
      <c r="D8" s="18">
        <v>4230</v>
      </c>
      <c r="E8" s="18">
        <v>6</v>
      </c>
      <c r="F8" s="18">
        <f t="shared" si="0"/>
        <v>25380</v>
      </c>
      <c r="G8" s="18">
        <f t="shared" si="1"/>
        <v>36</v>
      </c>
      <c r="H8" s="21"/>
    </row>
    <row r="9" spans="1:18" x14ac:dyDescent="0.25">
      <c r="A9" s="18">
        <v>8</v>
      </c>
      <c r="B9" s="35" t="s">
        <v>36</v>
      </c>
      <c r="C9" s="18">
        <v>2013</v>
      </c>
      <c r="D9" s="18">
        <v>4674</v>
      </c>
      <c r="E9" s="18">
        <v>7</v>
      </c>
      <c r="F9" s="18">
        <f t="shared" si="0"/>
        <v>32718</v>
      </c>
      <c r="G9" s="18">
        <f t="shared" si="1"/>
        <v>49</v>
      </c>
      <c r="H9" s="21"/>
      <c r="I9" s="51" t="s">
        <v>43</v>
      </c>
      <c r="J9" s="51"/>
      <c r="K9" s="51"/>
      <c r="N9" s="29"/>
      <c r="O9" s="28" t="s">
        <v>51</v>
      </c>
    </row>
    <row r="10" spans="1:18" x14ac:dyDescent="0.25">
      <c r="A10" s="18">
        <v>9</v>
      </c>
      <c r="B10" s="35" t="s">
        <v>37</v>
      </c>
      <c r="C10" s="18">
        <v>2013</v>
      </c>
      <c r="D10" s="18">
        <v>5094</v>
      </c>
      <c r="E10" s="18">
        <v>8</v>
      </c>
      <c r="F10" s="18">
        <f t="shared" si="0"/>
        <v>40752</v>
      </c>
      <c r="G10" s="18">
        <f t="shared" si="1"/>
        <v>64</v>
      </c>
      <c r="H10" s="21"/>
      <c r="I10" s="52">
        <f>(J2-(I6*K2))/32</f>
        <v>4598.806818181818</v>
      </c>
      <c r="J10" s="53"/>
      <c r="K10" s="54"/>
    </row>
    <row r="11" spans="1:18" x14ac:dyDescent="0.25">
      <c r="A11" s="18">
        <v>10</v>
      </c>
      <c r="B11" s="35" t="s">
        <v>38</v>
      </c>
      <c r="C11" s="18">
        <v>2013</v>
      </c>
      <c r="D11" s="18">
        <v>5258</v>
      </c>
      <c r="E11" s="18">
        <v>9</v>
      </c>
      <c r="F11" s="18">
        <f t="shared" si="0"/>
        <v>47322</v>
      </c>
      <c r="G11" s="18">
        <f t="shared" si="1"/>
        <v>81</v>
      </c>
      <c r="H11" s="21"/>
    </row>
    <row r="12" spans="1:18" x14ac:dyDescent="0.25">
      <c r="A12" s="18">
        <v>11</v>
      </c>
      <c r="B12" s="35" t="s">
        <v>39</v>
      </c>
      <c r="C12" s="18">
        <v>2013</v>
      </c>
      <c r="D12" s="18">
        <v>5659</v>
      </c>
      <c r="E12" s="18">
        <v>10</v>
      </c>
      <c r="F12" s="18">
        <f t="shared" si="0"/>
        <v>56590</v>
      </c>
      <c r="G12" s="18">
        <f t="shared" si="1"/>
        <v>100</v>
      </c>
      <c r="H12" s="21"/>
      <c r="I12" s="51" t="s">
        <v>44</v>
      </c>
      <c r="J12" s="51"/>
      <c r="K12" s="51"/>
    </row>
    <row r="13" spans="1:18" x14ac:dyDescent="0.25">
      <c r="A13" s="18">
        <v>12</v>
      </c>
      <c r="B13" s="35" t="s">
        <v>40</v>
      </c>
      <c r="C13" s="18">
        <v>2013</v>
      </c>
      <c r="D13" s="18">
        <v>4915</v>
      </c>
      <c r="E13" s="18">
        <v>11</v>
      </c>
      <c r="F13" s="18">
        <f t="shared" si="0"/>
        <v>54065</v>
      </c>
      <c r="G13" s="18">
        <f t="shared" si="1"/>
        <v>121</v>
      </c>
      <c r="H13" s="21"/>
      <c r="I13" s="22" t="s">
        <v>45</v>
      </c>
      <c r="J13" s="52">
        <f>I10+(I6*33)</f>
        <v>10169.697947214076</v>
      </c>
      <c r="K13" s="54"/>
    </row>
    <row r="14" spans="1:18" x14ac:dyDescent="0.25">
      <c r="A14" s="18">
        <v>13</v>
      </c>
      <c r="B14" s="35" t="s">
        <v>29</v>
      </c>
      <c r="C14" s="18">
        <v>2013</v>
      </c>
      <c r="D14" s="18">
        <v>6056</v>
      </c>
      <c r="E14" s="18">
        <v>12</v>
      </c>
      <c r="F14" s="18">
        <f t="shared" si="0"/>
        <v>72672</v>
      </c>
      <c r="G14" s="18">
        <f t="shared" si="1"/>
        <v>144</v>
      </c>
      <c r="H14" s="21"/>
      <c r="I14" s="22" t="s">
        <v>38</v>
      </c>
      <c r="J14" s="52">
        <f>I10+(I6*34)</f>
        <v>10338.512829912022</v>
      </c>
      <c r="K14" s="54"/>
      <c r="N14" s="55" t="s">
        <v>53</v>
      </c>
      <c r="O14" s="55"/>
    </row>
    <row r="15" spans="1:18" x14ac:dyDescent="0.25">
      <c r="A15" s="18">
        <v>14</v>
      </c>
      <c r="B15" s="35" t="s">
        <v>30</v>
      </c>
      <c r="C15" s="18">
        <v>2013</v>
      </c>
      <c r="D15" s="18">
        <v>8382</v>
      </c>
      <c r="E15" s="18">
        <v>13</v>
      </c>
      <c r="F15" s="18">
        <f t="shared" si="0"/>
        <v>108966</v>
      </c>
      <c r="G15" s="18">
        <f t="shared" si="1"/>
        <v>169</v>
      </c>
      <c r="H15" s="21"/>
      <c r="I15" s="22" t="s">
        <v>39</v>
      </c>
      <c r="J15" s="52">
        <f>I10+(I6*35)</f>
        <v>10507.327712609971</v>
      </c>
      <c r="K15" s="54"/>
    </row>
    <row r="16" spans="1:18" x14ac:dyDescent="0.25">
      <c r="A16" s="18">
        <v>15</v>
      </c>
      <c r="B16" s="35" t="s">
        <v>31</v>
      </c>
      <c r="C16" s="18">
        <v>2013</v>
      </c>
      <c r="D16" s="18">
        <v>8610</v>
      </c>
      <c r="E16" s="18">
        <v>14</v>
      </c>
      <c r="F16" s="18">
        <f t="shared" si="0"/>
        <v>120540</v>
      </c>
      <c r="G16" s="18">
        <f t="shared" si="1"/>
        <v>196</v>
      </c>
      <c r="H16" s="21"/>
      <c r="J16" s="50">
        <f>I10+(I6*36)</f>
        <v>10676.142595307918</v>
      </c>
      <c r="K16" s="50"/>
    </row>
    <row r="17" spans="1:15" x14ac:dyDescent="0.25">
      <c r="A17" s="18">
        <v>16</v>
      </c>
      <c r="B17" s="35" t="s">
        <v>32</v>
      </c>
      <c r="C17" s="18">
        <v>2013</v>
      </c>
      <c r="D17" s="18">
        <v>9557</v>
      </c>
      <c r="E17" s="18">
        <v>15</v>
      </c>
      <c r="F17" s="18">
        <f t="shared" si="0"/>
        <v>143355</v>
      </c>
      <c r="G17" s="18">
        <f t="shared" si="1"/>
        <v>225</v>
      </c>
      <c r="H17" s="21"/>
    </row>
    <row r="18" spans="1:15" x14ac:dyDescent="0.25">
      <c r="A18" s="18">
        <v>17</v>
      </c>
      <c r="B18" s="35" t="s">
        <v>33</v>
      </c>
      <c r="C18" s="18">
        <v>2014</v>
      </c>
      <c r="D18" s="18">
        <v>10157</v>
      </c>
      <c r="E18" s="18">
        <v>16</v>
      </c>
      <c r="F18" s="18">
        <f t="shared" si="0"/>
        <v>162512</v>
      </c>
      <c r="G18" s="18">
        <f t="shared" si="1"/>
        <v>256</v>
      </c>
      <c r="H18" s="21"/>
      <c r="I18" s="56" t="s">
        <v>46</v>
      </c>
      <c r="J18" s="57"/>
      <c r="K18" s="57"/>
      <c r="L18" s="58"/>
    </row>
    <row r="19" spans="1:15" x14ac:dyDescent="0.25">
      <c r="A19" s="18">
        <v>18</v>
      </c>
      <c r="B19" s="35" t="s">
        <v>34</v>
      </c>
      <c r="C19" s="18">
        <v>2014</v>
      </c>
      <c r="D19" s="18">
        <v>9158</v>
      </c>
      <c r="E19" s="18">
        <v>17</v>
      </c>
      <c r="F19" s="18">
        <f t="shared" si="0"/>
        <v>155686</v>
      </c>
      <c r="G19" s="18">
        <f t="shared" si="1"/>
        <v>289</v>
      </c>
      <c r="H19" s="21"/>
      <c r="I19" s="59" t="s">
        <v>70</v>
      </c>
      <c r="J19" s="59"/>
      <c r="K19" s="49">
        <f>(AVERAGE(D10,D22))/J3</f>
        <v>0.7712630038026107</v>
      </c>
      <c r="L19" s="49"/>
      <c r="N19" s="55" t="s">
        <v>55</v>
      </c>
      <c r="O19" s="55"/>
    </row>
    <row r="20" spans="1:15" x14ac:dyDescent="0.25">
      <c r="A20" s="18">
        <v>19</v>
      </c>
      <c r="B20" s="35" t="s">
        <v>35</v>
      </c>
      <c r="C20" s="18">
        <v>2014</v>
      </c>
      <c r="D20" s="18">
        <v>9144</v>
      </c>
      <c r="E20" s="18">
        <v>18</v>
      </c>
      <c r="F20" s="18">
        <f t="shared" si="0"/>
        <v>164592</v>
      </c>
      <c r="G20" s="18">
        <f t="shared" si="1"/>
        <v>324</v>
      </c>
      <c r="H20" s="21"/>
      <c r="I20" s="60" t="s">
        <v>71</v>
      </c>
      <c r="J20" s="60"/>
      <c r="K20" s="49">
        <f>(AVERAGE(D11,D23))/J3</f>
        <v>0.89266936343083836</v>
      </c>
      <c r="L20" s="49"/>
      <c r="N20" s="61" t="s">
        <v>56</v>
      </c>
      <c r="O20" s="61"/>
    </row>
    <row r="21" spans="1:15" x14ac:dyDescent="0.25">
      <c r="A21" s="18">
        <v>20</v>
      </c>
      <c r="B21" s="35" t="s">
        <v>36</v>
      </c>
      <c r="C21" s="18">
        <v>2014</v>
      </c>
      <c r="D21" s="18">
        <v>6315</v>
      </c>
      <c r="E21" s="18">
        <v>19</v>
      </c>
      <c r="F21" s="18">
        <f t="shared" si="0"/>
        <v>119985</v>
      </c>
      <c r="G21" s="18">
        <f t="shared" si="1"/>
        <v>361</v>
      </c>
      <c r="H21" s="21"/>
      <c r="I21" s="60" t="s">
        <v>72</v>
      </c>
      <c r="J21" s="60"/>
      <c r="K21" s="49">
        <f>(AVERAGE(D12,D24))/J3</f>
        <v>1.1478860429461137</v>
      </c>
      <c r="L21" s="49"/>
      <c r="N21" s="61"/>
      <c r="O21" s="61"/>
    </row>
    <row r="22" spans="1:15" x14ac:dyDescent="0.25">
      <c r="A22" s="18">
        <v>21</v>
      </c>
      <c r="B22" s="35" t="s">
        <v>37</v>
      </c>
      <c r="C22" s="18">
        <v>2014</v>
      </c>
      <c r="D22" s="18">
        <v>6036</v>
      </c>
      <c r="E22" s="18">
        <v>20</v>
      </c>
      <c r="F22" s="18">
        <f t="shared" si="0"/>
        <v>120720</v>
      </c>
      <c r="G22" s="18">
        <f t="shared" si="1"/>
        <v>400</v>
      </c>
      <c r="H22" s="21"/>
      <c r="K22" s="49">
        <f>(AVERAGE(D13,D25))/J3</f>
        <v>0.71894462393998981</v>
      </c>
      <c r="L22" s="49"/>
    </row>
    <row r="23" spans="1:15" x14ac:dyDescent="0.25">
      <c r="A23" s="18">
        <v>22</v>
      </c>
      <c r="B23" s="35" t="s">
        <v>38</v>
      </c>
      <c r="C23" s="18">
        <v>2014</v>
      </c>
      <c r="D23" s="18">
        <v>7624</v>
      </c>
      <c r="E23" s="18">
        <v>21</v>
      </c>
      <c r="F23" s="18">
        <f t="shared" si="0"/>
        <v>160104</v>
      </c>
      <c r="G23" s="18">
        <f t="shared" si="1"/>
        <v>441</v>
      </c>
      <c r="H23" s="21"/>
      <c r="I23" s="51" t="s">
        <v>54</v>
      </c>
      <c r="J23" s="51"/>
      <c r="K23" s="51"/>
      <c r="L23" s="51"/>
      <c r="N23" s="55" t="s">
        <v>54</v>
      </c>
      <c r="O23" s="55"/>
    </row>
    <row r="24" spans="1:15" x14ac:dyDescent="0.25">
      <c r="A24" s="18">
        <v>23</v>
      </c>
      <c r="B24" s="35" t="s">
        <v>39</v>
      </c>
      <c r="C24" s="18">
        <v>2014</v>
      </c>
      <c r="D24" s="18">
        <v>10906</v>
      </c>
      <c r="E24" s="18">
        <v>22</v>
      </c>
      <c r="F24" s="18">
        <f t="shared" si="0"/>
        <v>239932</v>
      </c>
      <c r="G24" s="18">
        <f t="shared" si="1"/>
        <v>484</v>
      </c>
      <c r="H24" s="21"/>
      <c r="I24" s="59" t="s">
        <v>70</v>
      </c>
      <c r="J24" s="59"/>
      <c r="K24" s="49">
        <f>K19*J13</f>
        <v>7843.5117865335715</v>
      </c>
      <c r="L24" s="49"/>
      <c r="N24" s="62" t="s">
        <v>57</v>
      </c>
      <c r="O24" s="62"/>
    </row>
    <row r="25" spans="1:15" x14ac:dyDescent="0.25">
      <c r="A25" s="18">
        <v>24</v>
      </c>
      <c r="B25" s="35" t="s">
        <v>40</v>
      </c>
      <c r="C25" s="18">
        <v>2014</v>
      </c>
      <c r="D25" s="18">
        <v>5460</v>
      </c>
      <c r="E25" s="18">
        <v>23</v>
      </c>
      <c r="F25" s="18">
        <f t="shared" si="0"/>
        <v>125580</v>
      </c>
      <c r="G25" s="18">
        <f t="shared" si="1"/>
        <v>529</v>
      </c>
      <c r="H25" s="21"/>
      <c r="I25" s="60" t="s">
        <v>71</v>
      </c>
      <c r="J25" s="60"/>
      <c r="K25" s="49">
        <f t="shared" ref="K25:K26" si="2">K20*J14</f>
        <v>9228.8736666991208</v>
      </c>
      <c r="L25" s="49"/>
    </row>
    <row r="26" spans="1:15" x14ac:dyDescent="0.25">
      <c r="A26" s="18">
        <v>25</v>
      </c>
      <c r="B26" s="35" t="s">
        <v>29</v>
      </c>
      <c r="C26" s="18">
        <v>2014</v>
      </c>
      <c r="D26" s="18">
        <v>8111</v>
      </c>
      <c r="E26" s="18">
        <v>24</v>
      </c>
      <c r="F26" s="18">
        <f t="shared" si="0"/>
        <v>194664</v>
      </c>
      <c r="G26" s="18">
        <f t="shared" si="1"/>
        <v>576</v>
      </c>
      <c r="H26" s="21"/>
      <c r="I26" s="60" t="s">
        <v>72</v>
      </c>
      <c r="J26" s="60"/>
      <c r="K26" s="49">
        <f t="shared" si="2"/>
        <v>12061.2148299659</v>
      </c>
      <c r="L26" s="49"/>
    </row>
    <row r="27" spans="1:15" x14ac:dyDescent="0.25">
      <c r="A27" s="18">
        <v>26</v>
      </c>
      <c r="B27" s="35" t="s">
        <v>30</v>
      </c>
      <c r="C27" s="18">
        <v>2014</v>
      </c>
      <c r="D27" s="18">
        <v>6283</v>
      </c>
      <c r="E27" s="18">
        <v>25</v>
      </c>
      <c r="F27" s="18">
        <f t="shared" si="0"/>
        <v>157075</v>
      </c>
      <c r="G27" s="18">
        <f t="shared" si="1"/>
        <v>625</v>
      </c>
      <c r="H27" s="21"/>
      <c r="K27" s="49">
        <f>K22*J16</f>
        <v>7675.5553233133578</v>
      </c>
      <c r="L27" s="49"/>
    </row>
    <row r="28" spans="1:15" x14ac:dyDescent="0.25">
      <c r="A28" s="18">
        <v>27</v>
      </c>
      <c r="B28" s="35" t="s">
        <v>31</v>
      </c>
      <c r="C28" s="18">
        <v>2014</v>
      </c>
      <c r="D28" s="18">
        <v>10430</v>
      </c>
      <c r="E28" s="18">
        <v>26</v>
      </c>
      <c r="F28" s="18">
        <f t="shared" si="0"/>
        <v>271180</v>
      </c>
      <c r="G28" s="18">
        <f t="shared" si="1"/>
        <v>676</v>
      </c>
      <c r="H28" s="21"/>
    </row>
    <row r="29" spans="1:15" x14ac:dyDescent="0.25">
      <c r="A29" s="18">
        <v>28</v>
      </c>
      <c r="B29" s="35" t="s">
        <v>32</v>
      </c>
      <c r="C29" s="18">
        <v>2014</v>
      </c>
      <c r="D29" s="18">
        <v>12490</v>
      </c>
      <c r="E29" s="18">
        <v>27</v>
      </c>
      <c r="F29" s="18">
        <f t="shared" si="0"/>
        <v>337230</v>
      </c>
      <c r="G29" s="18">
        <f t="shared" si="1"/>
        <v>729</v>
      </c>
      <c r="H29" s="21"/>
    </row>
    <row r="30" spans="1:15" x14ac:dyDescent="0.25">
      <c r="A30" s="18">
        <v>29</v>
      </c>
      <c r="B30" s="35" t="s">
        <v>33</v>
      </c>
      <c r="C30" s="18">
        <v>2015</v>
      </c>
      <c r="D30" s="18">
        <v>9985</v>
      </c>
      <c r="E30" s="18">
        <v>28</v>
      </c>
      <c r="F30" s="18">
        <f t="shared" si="0"/>
        <v>279580</v>
      </c>
      <c r="G30" s="18">
        <f t="shared" si="1"/>
        <v>784</v>
      </c>
      <c r="H30" s="21"/>
    </row>
    <row r="31" spans="1:15" x14ac:dyDescent="0.25">
      <c r="A31" s="18">
        <v>30</v>
      </c>
      <c r="B31" s="35" t="s">
        <v>34</v>
      </c>
      <c r="C31" s="18">
        <v>2015</v>
      </c>
      <c r="D31" s="18">
        <v>9260</v>
      </c>
      <c r="E31" s="18">
        <v>29</v>
      </c>
      <c r="F31" s="18">
        <f t="shared" si="0"/>
        <v>268540</v>
      </c>
      <c r="G31" s="18">
        <f t="shared" si="1"/>
        <v>841</v>
      </c>
      <c r="H31" s="21"/>
    </row>
    <row r="32" spans="1:15" x14ac:dyDescent="0.25">
      <c r="A32" s="18">
        <v>31</v>
      </c>
      <c r="B32" s="35" t="s">
        <v>35</v>
      </c>
      <c r="C32" s="18">
        <v>2015</v>
      </c>
      <c r="D32" s="18">
        <v>8776</v>
      </c>
      <c r="E32" s="18">
        <v>30</v>
      </c>
      <c r="F32" s="18">
        <f t="shared" si="0"/>
        <v>263280</v>
      </c>
      <c r="G32" s="18">
        <f t="shared" si="1"/>
        <v>900</v>
      </c>
      <c r="H32" s="21"/>
    </row>
    <row r="33" spans="1:8" x14ac:dyDescent="0.25">
      <c r="A33" s="18">
        <v>32</v>
      </c>
      <c r="B33" s="35" t="s">
        <v>36</v>
      </c>
      <c r="C33" s="18">
        <v>2015</v>
      </c>
      <c r="D33" s="18">
        <v>7390</v>
      </c>
      <c r="E33" s="18">
        <v>31</v>
      </c>
      <c r="F33" s="18">
        <f t="shared" si="0"/>
        <v>229090</v>
      </c>
      <c r="G33" s="18">
        <f t="shared" si="1"/>
        <v>961</v>
      </c>
      <c r="H33" s="21"/>
    </row>
    <row r="34" spans="1:8" x14ac:dyDescent="0.25">
      <c r="A34" s="18">
        <v>33</v>
      </c>
      <c r="B34" s="32"/>
      <c r="C34" s="32"/>
      <c r="D34" s="23"/>
      <c r="E34" s="23"/>
      <c r="F34" s="23"/>
      <c r="G34" s="23"/>
      <c r="H34" s="23"/>
    </row>
    <row r="35" spans="1:8" x14ac:dyDescent="0.25">
      <c r="A35" s="18">
        <v>34</v>
      </c>
      <c r="B35" s="33"/>
      <c r="C35" s="33"/>
      <c r="D35" s="23"/>
      <c r="E35" s="23"/>
      <c r="F35" s="23"/>
      <c r="G35" s="23"/>
      <c r="H35" s="23"/>
    </row>
    <row r="36" spans="1:8" x14ac:dyDescent="0.25">
      <c r="A36" s="18">
        <v>35</v>
      </c>
    </row>
    <row r="37" spans="1:8" x14ac:dyDescent="0.25">
      <c r="A37" s="18">
        <v>36</v>
      </c>
    </row>
    <row r="38" spans="1:8" x14ac:dyDescent="0.25">
      <c r="A38" s="18">
        <v>37</v>
      </c>
    </row>
    <row r="39" spans="1:8" x14ac:dyDescent="0.25">
      <c r="A39" s="18">
        <v>38</v>
      </c>
    </row>
  </sheetData>
  <mergeCells count="30">
    <mergeCell ref="N24:O24"/>
    <mergeCell ref="K24:L24"/>
    <mergeCell ref="K25:L25"/>
    <mergeCell ref="K26:L26"/>
    <mergeCell ref="I24:J24"/>
    <mergeCell ref="I25:J25"/>
    <mergeCell ref="I26:J26"/>
    <mergeCell ref="N14:O14"/>
    <mergeCell ref="I18:L18"/>
    <mergeCell ref="I23:L23"/>
    <mergeCell ref="J13:K13"/>
    <mergeCell ref="J14:K14"/>
    <mergeCell ref="J15:K15"/>
    <mergeCell ref="K19:L19"/>
    <mergeCell ref="K20:L20"/>
    <mergeCell ref="K21:L21"/>
    <mergeCell ref="I19:J19"/>
    <mergeCell ref="I20:J20"/>
    <mergeCell ref="I21:J21"/>
    <mergeCell ref="N19:O19"/>
    <mergeCell ref="N23:O23"/>
    <mergeCell ref="N20:O21"/>
    <mergeCell ref="K22:L22"/>
    <mergeCell ref="J16:K16"/>
    <mergeCell ref="K27:L27"/>
    <mergeCell ref="I5:M5"/>
    <mergeCell ref="I6:M7"/>
    <mergeCell ref="I9:K9"/>
    <mergeCell ref="I12:K12"/>
    <mergeCell ref="I10:K1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J11" sqref="J11:L11"/>
    </sheetView>
  </sheetViews>
  <sheetFormatPr defaultRowHeight="15" x14ac:dyDescent="0.25"/>
  <cols>
    <col min="1" max="1" width="3.28515625" bestFit="1" customWidth="1"/>
    <col min="2" max="2" width="10.85546875" bestFit="1" customWidth="1"/>
    <col min="3" max="3" width="6.42578125" bestFit="1" customWidth="1"/>
    <col min="4" max="4" width="12.28515625" bestFit="1" customWidth="1"/>
    <col min="6" max="6" width="7.42578125" customWidth="1"/>
    <col min="7" max="7" width="7.28515625" customWidth="1"/>
    <col min="9" max="9" width="10.28515625" customWidth="1"/>
  </cols>
  <sheetData>
    <row r="1" spans="1:13" x14ac:dyDescent="0.25">
      <c r="A1" s="63" t="s">
        <v>69</v>
      </c>
      <c r="B1" s="63"/>
      <c r="C1" s="63"/>
      <c r="D1" s="63"/>
      <c r="E1" s="63"/>
      <c r="F1" s="63"/>
      <c r="G1" s="63"/>
    </row>
    <row r="2" spans="1:13" x14ac:dyDescent="0.25">
      <c r="A2" s="25" t="s">
        <v>59</v>
      </c>
      <c r="B2" s="38" t="s">
        <v>0</v>
      </c>
      <c r="C2" s="25" t="s">
        <v>23</v>
      </c>
      <c r="D2" s="25" t="s">
        <v>24</v>
      </c>
      <c r="E2" s="25" t="s">
        <v>25</v>
      </c>
      <c r="F2" s="25" t="s">
        <v>26</v>
      </c>
      <c r="G2" s="25" t="s">
        <v>60</v>
      </c>
      <c r="J2" s="26" t="s">
        <v>48</v>
      </c>
      <c r="K2" s="19" t="s">
        <v>49</v>
      </c>
      <c r="L2" s="19" t="s">
        <v>50</v>
      </c>
      <c r="M2" s="19" t="s">
        <v>47</v>
      </c>
    </row>
    <row r="3" spans="1:13" x14ac:dyDescent="0.25">
      <c r="A3" s="18">
        <v>1</v>
      </c>
      <c r="B3" s="35" t="s">
        <v>29</v>
      </c>
      <c r="C3" s="18">
        <v>2012</v>
      </c>
      <c r="D3" s="18">
        <v>3321</v>
      </c>
      <c r="E3" s="18">
        <v>-31</v>
      </c>
      <c r="F3" s="18">
        <f>E3*D3</f>
        <v>-102951</v>
      </c>
      <c r="G3" s="18">
        <f>E3^2</f>
        <v>961</v>
      </c>
      <c r="I3" s="22" t="s">
        <v>41</v>
      </c>
      <c r="J3" s="20">
        <f>SUM(D3:D34)</f>
        <v>230894</v>
      </c>
      <c r="K3" s="20">
        <f>SUM(E3:E34)</f>
        <v>0</v>
      </c>
      <c r="L3" s="20">
        <f>SUM(F3:F34)</f>
        <v>921054</v>
      </c>
      <c r="M3" s="20">
        <f>SUM(G3:G34)</f>
        <v>10912</v>
      </c>
    </row>
    <row r="4" spans="1:13" x14ac:dyDescent="0.25">
      <c r="A4" s="18">
        <v>2</v>
      </c>
      <c r="B4" s="35" t="s">
        <v>30</v>
      </c>
      <c r="C4" s="18">
        <v>2012</v>
      </c>
      <c r="D4" s="18">
        <v>5295</v>
      </c>
      <c r="E4" s="18">
        <v>-29</v>
      </c>
      <c r="F4" s="18">
        <f t="shared" ref="F4:F34" si="0">E4*D4</f>
        <v>-153555</v>
      </c>
      <c r="G4" s="18">
        <f t="shared" ref="G4:G35" si="1">E4^2</f>
        <v>841</v>
      </c>
      <c r="I4" s="22" t="s">
        <v>18</v>
      </c>
      <c r="J4" s="18">
        <f>AVERAGE(D3:D34)</f>
        <v>7215.4375</v>
      </c>
      <c r="K4" s="18">
        <f>AVERAGE(E3:E34)</f>
        <v>0</v>
      </c>
      <c r="L4" s="18"/>
      <c r="M4" s="18"/>
    </row>
    <row r="5" spans="1:13" x14ac:dyDescent="0.25">
      <c r="A5" s="18">
        <v>3</v>
      </c>
      <c r="B5" s="35" t="s">
        <v>31</v>
      </c>
      <c r="C5" s="18">
        <v>2012</v>
      </c>
      <c r="D5" s="18">
        <v>4758</v>
      </c>
      <c r="E5" s="18">
        <v>-27</v>
      </c>
      <c r="F5" s="18">
        <f t="shared" si="0"/>
        <v>-128466</v>
      </c>
      <c r="G5" s="18">
        <f t="shared" si="1"/>
        <v>729</v>
      </c>
    </row>
    <row r="6" spans="1:13" x14ac:dyDescent="0.25">
      <c r="A6" s="18">
        <v>4</v>
      </c>
      <c r="B6" s="35" t="s">
        <v>32</v>
      </c>
      <c r="C6" s="18">
        <v>2012</v>
      </c>
      <c r="D6" s="18">
        <v>4544</v>
      </c>
      <c r="E6" s="18">
        <v>-25</v>
      </c>
      <c r="F6" s="18">
        <f t="shared" si="0"/>
        <v>-113600</v>
      </c>
      <c r="G6" s="18">
        <f t="shared" si="1"/>
        <v>625</v>
      </c>
      <c r="I6" s="51" t="s">
        <v>61</v>
      </c>
      <c r="J6" s="51"/>
      <c r="K6" s="51"/>
      <c r="L6" s="51"/>
    </row>
    <row r="7" spans="1:13" x14ac:dyDescent="0.25">
      <c r="A7" s="18">
        <v>5</v>
      </c>
      <c r="B7" s="35" t="s">
        <v>33</v>
      </c>
      <c r="C7" s="18">
        <v>2013</v>
      </c>
      <c r="D7" s="18">
        <v>6249</v>
      </c>
      <c r="E7" s="18">
        <v>-23</v>
      </c>
      <c r="F7" s="18">
        <f t="shared" si="0"/>
        <v>-143727</v>
      </c>
      <c r="G7" s="18">
        <f t="shared" si="1"/>
        <v>529</v>
      </c>
      <c r="I7" s="40" t="s">
        <v>63</v>
      </c>
      <c r="J7" s="64">
        <f>J3/32</f>
        <v>7215.4375</v>
      </c>
      <c r="K7" s="65"/>
      <c r="L7" s="66"/>
    </row>
    <row r="8" spans="1:13" x14ac:dyDescent="0.25">
      <c r="A8" s="18">
        <v>6</v>
      </c>
      <c r="B8" s="35" t="s">
        <v>34</v>
      </c>
      <c r="C8" s="18">
        <v>2013</v>
      </c>
      <c r="D8" s="18">
        <v>6767</v>
      </c>
      <c r="E8" s="18">
        <v>-21</v>
      </c>
      <c r="F8" s="18">
        <f t="shared" si="0"/>
        <v>-142107</v>
      </c>
      <c r="G8" s="18">
        <f t="shared" si="1"/>
        <v>441</v>
      </c>
    </row>
    <row r="9" spans="1:13" x14ac:dyDescent="0.25">
      <c r="A9" s="18">
        <v>7</v>
      </c>
      <c r="B9" s="35" t="s">
        <v>35</v>
      </c>
      <c r="C9" s="18">
        <v>2013</v>
      </c>
      <c r="D9" s="18">
        <v>4230</v>
      </c>
      <c r="E9" s="18">
        <v>-19</v>
      </c>
      <c r="F9" s="18">
        <f t="shared" si="0"/>
        <v>-80370</v>
      </c>
      <c r="G9" s="18">
        <f t="shared" si="1"/>
        <v>361</v>
      </c>
    </row>
    <row r="10" spans="1:13" x14ac:dyDescent="0.25">
      <c r="A10" s="18">
        <v>8</v>
      </c>
      <c r="B10" s="35" t="s">
        <v>36</v>
      </c>
      <c r="C10" s="18">
        <v>2013</v>
      </c>
      <c r="D10" s="18">
        <v>4674</v>
      </c>
      <c r="E10" s="18">
        <v>-17</v>
      </c>
      <c r="F10" s="18">
        <f t="shared" si="0"/>
        <v>-79458</v>
      </c>
      <c r="G10" s="18">
        <f t="shared" si="1"/>
        <v>289</v>
      </c>
      <c r="I10" s="51" t="s">
        <v>62</v>
      </c>
      <c r="J10" s="51"/>
      <c r="K10" s="51"/>
      <c r="L10" s="51"/>
    </row>
    <row r="11" spans="1:13" x14ac:dyDescent="0.25">
      <c r="A11" s="18">
        <v>9</v>
      </c>
      <c r="B11" s="35" t="s">
        <v>37</v>
      </c>
      <c r="C11" s="18">
        <v>2013</v>
      </c>
      <c r="D11" s="18">
        <v>5094</v>
      </c>
      <c r="E11" s="18">
        <v>-15</v>
      </c>
      <c r="F11" s="18">
        <f t="shared" si="0"/>
        <v>-76410</v>
      </c>
      <c r="G11" s="18">
        <f t="shared" si="1"/>
        <v>225</v>
      </c>
      <c r="I11" s="40" t="s">
        <v>64</v>
      </c>
      <c r="J11" s="64">
        <f>L3/M3</f>
        <v>84.407441348973606</v>
      </c>
      <c r="K11" s="65"/>
      <c r="L11" s="66"/>
    </row>
    <row r="12" spans="1:13" x14ac:dyDescent="0.25">
      <c r="A12" s="18">
        <v>10</v>
      </c>
      <c r="B12" s="35" t="s">
        <v>38</v>
      </c>
      <c r="C12" s="18">
        <v>2013</v>
      </c>
      <c r="D12" s="18">
        <v>5258</v>
      </c>
      <c r="E12" s="18">
        <v>-13</v>
      </c>
      <c r="F12" s="18">
        <f t="shared" si="0"/>
        <v>-68354</v>
      </c>
      <c r="G12" s="18">
        <f t="shared" si="1"/>
        <v>169</v>
      </c>
    </row>
    <row r="13" spans="1:13" x14ac:dyDescent="0.25">
      <c r="A13" s="18">
        <v>11</v>
      </c>
      <c r="B13" s="35" t="s">
        <v>39</v>
      </c>
      <c r="C13" s="18">
        <v>2013</v>
      </c>
      <c r="D13" s="18">
        <v>5659</v>
      </c>
      <c r="E13" s="18">
        <v>-11</v>
      </c>
      <c r="F13" s="18">
        <f t="shared" si="0"/>
        <v>-62249</v>
      </c>
      <c r="G13" s="18">
        <f t="shared" si="1"/>
        <v>121</v>
      </c>
      <c r="I13" s="51" t="s">
        <v>65</v>
      </c>
      <c r="J13" s="51"/>
      <c r="K13" s="51"/>
      <c r="L13" s="51"/>
    </row>
    <row r="14" spans="1:13" x14ac:dyDescent="0.25">
      <c r="A14" s="18">
        <v>12</v>
      </c>
      <c r="B14" s="35" t="s">
        <v>40</v>
      </c>
      <c r="C14" s="18">
        <v>2013</v>
      </c>
      <c r="D14" s="18">
        <v>4915</v>
      </c>
      <c r="E14" s="18">
        <v>-9</v>
      </c>
      <c r="F14" s="18">
        <f t="shared" si="0"/>
        <v>-44235</v>
      </c>
      <c r="G14" s="18">
        <f t="shared" si="1"/>
        <v>81</v>
      </c>
      <c r="I14" s="40" t="s">
        <v>66</v>
      </c>
      <c r="J14" s="64">
        <f>J7+(J11*33)</f>
        <v>10000.883064516129</v>
      </c>
      <c r="K14" s="65"/>
      <c r="L14" s="66"/>
    </row>
    <row r="15" spans="1:13" x14ac:dyDescent="0.25">
      <c r="A15" s="18">
        <v>13</v>
      </c>
      <c r="B15" s="35" t="s">
        <v>29</v>
      </c>
      <c r="C15" s="18">
        <v>2013</v>
      </c>
      <c r="D15" s="18">
        <v>6056</v>
      </c>
      <c r="E15" s="18">
        <v>-7</v>
      </c>
      <c r="F15" s="18">
        <f t="shared" si="0"/>
        <v>-42392</v>
      </c>
      <c r="G15" s="18">
        <f t="shared" si="1"/>
        <v>49</v>
      </c>
      <c r="I15" s="40" t="s">
        <v>67</v>
      </c>
      <c r="J15" s="64">
        <f>J7+(J11*33)</f>
        <v>10000.883064516129</v>
      </c>
      <c r="K15" s="65"/>
      <c r="L15" s="66"/>
    </row>
    <row r="16" spans="1:13" x14ac:dyDescent="0.25">
      <c r="A16" s="18">
        <v>14</v>
      </c>
      <c r="B16" s="35" t="s">
        <v>30</v>
      </c>
      <c r="C16" s="18">
        <v>2013</v>
      </c>
      <c r="D16" s="18">
        <v>8382</v>
      </c>
      <c r="E16" s="18">
        <v>-5</v>
      </c>
      <c r="F16" s="18">
        <f t="shared" si="0"/>
        <v>-41910</v>
      </c>
      <c r="G16" s="18">
        <f t="shared" si="1"/>
        <v>25</v>
      </c>
    </row>
    <row r="17" spans="1:7" x14ac:dyDescent="0.25">
      <c r="A17" s="18">
        <v>15</v>
      </c>
      <c r="B17" s="35" t="s">
        <v>31</v>
      </c>
      <c r="C17" s="18">
        <v>2013</v>
      </c>
      <c r="D17" s="18">
        <v>8610</v>
      </c>
      <c r="E17" s="18">
        <v>-3</v>
      </c>
      <c r="F17" s="18">
        <f t="shared" si="0"/>
        <v>-25830</v>
      </c>
      <c r="G17" s="18">
        <f t="shared" si="1"/>
        <v>9</v>
      </c>
    </row>
    <row r="18" spans="1:7" x14ac:dyDescent="0.25">
      <c r="A18" s="18">
        <v>16</v>
      </c>
      <c r="B18" s="35" t="s">
        <v>32</v>
      </c>
      <c r="C18" s="18">
        <v>2013</v>
      </c>
      <c r="D18" s="18">
        <v>9557</v>
      </c>
      <c r="E18" s="18">
        <v>-1</v>
      </c>
      <c r="F18" s="18">
        <f t="shared" si="0"/>
        <v>-9557</v>
      </c>
      <c r="G18" s="18">
        <f t="shared" si="1"/>
        <v>1</v>
      </c>
    </row>
    <row r="19" spans="1:7" x14ac:dyDescent="0.25">
      <c r="A19" s="18">
        <v>17</v>
      </c>
      <c r="B19" s="35" t="s">
        <v>33</v>
      </c>
      <c r="C19" s="18">
        <v>2014</v>
      </c>
      <c r="D19" s="18">
        <v>10157</v>
      </c>
      <c r="E19" s="18">
        <v>1</v>
      </c>
      <c r="F19" s="18">
        <f t="shared" si="0"/>
        <v>10157</v>
      </c>
      <c r="G19" s="18">
        <f t="shared" si="1"/>
        <v>1</v>
      </c>
    </row>
    <row r="20" spans="1:7" x14ac:dyDescent="0.25">
      <c r="A20" s="18">
        <v>18</v>
      </c>
      <c r="B20" s="35" t="s">
        <v>34</v>
      </c>
      <c r="C20" s="18">
        <v>2014</v>
      </c>
      <c r="D20" s="18">
        <v>9158</v>
      </c>
      <c r="E20" s="18">
        <v>3</v>
      </c>
      <c r="F20" s="18">
        <f t="shared" si="0"/>
        <v>27474</v>
      </c>
      <c r="G20" s="18">
        <f t="shared" si="1"/>
        <v>9</v>
      </c>
    </row>
    <row r="21" spans="1:7" x14ac:dyDescent="0.25">
      <c r="A21" s="18">
        <v>19</v>
      </c>
      <c r="B21" s="35" t="s">
        <v>35</v>
      </c>
      <c r="C21" s="18">
        <v>2014</v>
      </c>
      <c r="D21" s="18">
        <v>9144</v>
      </c>
      <c r="E21" s="18">
        <v>5</v>
      </c>
      <c r="F21" s="18">
        <f t="shared" si="0"/>
        <v>45720</v>
      </c>
      <c r="G21" s="18">
        <f t="shared" si="1"/>
        <v>25</v>
      </c>
    </row>
    <row r="22" spans="1:7" x14ac:dyDescent="0.25">
      <c r="A22" s="18">
        <v>20</v>
      </c>
      <c r="B22" s="35" t="s">
        <v>36</v>
      </c>
      <c r="C22" s="18">
        <v>2014</v>
      </c>
      <c r="D22" s="18">
        <v>6315</v>
      </c>
      <c r="E22" s="18">
        <v>7</v>
      </c>
      <c r="F22" s="18">
        <f t="shared" si="0"/>
        <v>44205</v>
      </c>
      <c r="G22" s="18">
        <f t="shared" si="1"/>
        <v>49</v>
      </c>
    </row>
    <row r="23" spans="1:7" x14ac:dyDescent="0.25">
      <c r="A23" s="18">
        <v>21</v>
      </c>
      <c r="B23" s="35" t="s">
        <v>37</v>
      </c>
      <c r="C23" s="18">
        <v>2014</v>
      </c>
      <c r="D23" s="18">
        <v>6036</v>
      </c>
      <c r="E23" s="18">
        <v>9</v>
      </c>
      <c r="F23" s="18">
        <f t="shared" si="0"/>
        <v>54324</v>
      </c>
      <c r="G23" s="18">
        <f t="shared" si="1"/>
        <v>81</v>
      </c>
    </row>
    <row r="24" spans="1:7" x14ac:dyDescent="0.25">
      <c r="A24" s="18">
        <v>22</v>
      </c>
      <c r="B24" s="35" t="s">
        <v>38</v>
      </c>
      <c r="C24" s="18">
        <v>2014</v>
      </c>
      <c r="D24" s="18">
        <v>7624</v>
      </c>
      <c r="E24" s="18">
        <v>11</v>
      </c>
      <c r="F24" s="18">
        <f t="shared" si="0"/>
        <v>83864</v>
      </c>
      <c r="G24" s="18">
        <f t="shared" si="1"/>
        <v>121</v>
      </c>
    </row>
    <row r="25" spans="1:7" x14ac:dyDescent="0.25">
      <c r="A25" s="18">
        <v>23</v>
      </c>
      <c r="B25" s="35" t="s">
        <v>39</v>
      </c>
      <c r="C25" s="18">
        <v>2014</v>
      </c>
      <c r="D25" s="18">
        <v>10906</v>
      </c>
      <c r="E25" s="18">
        <v>13</v>
      </c>
      <c r="F25" s="18">
        <f t="shared" si="0"/>
        <v>141778</v>
      </c>
      <c r="G25" s="18">
        <f t="shared" si="1"/>
        <v>169</v>
      </c>
    </row>
    <row r="26" spans="1:7" x14ac:dyDescent="0.25">
      <c r="A26" s="18">
        <v>24</v>
      </c>
      <c r="B26" s="35" t="s">
        <v>40</v>
      </c>
      <c r="C26" s="18">
        <v>2014</v>
      </c>
      <c r="D26" s="18">
        <v>5460</v>
      </c>
      <c r="E26" s="18">
        <v>15</v>
      </c>
      <c r="F26" s="18">
        <f t="shared" si="0"/>
        <v>81900</v>
      </c>
      <c r="G26" s="18">
        <f t="shared" si="1"/>
        <v>225</v>
      </c>
    </row>
    <row r="27" spans="1:7" x14ac:dyDescent="0.25">
      <c r="A27" s="18">
        <v>25</v>
      </c>
      <c r="B27" s="35" t="s">
        <v>29</v>
      </c>
      <c r="C27" s="18">
        <v>2014</v>
      </c>
      <c r="D27" s="18">
        <v>8111</v>
      </c>
      <c r="E27" s="18">
        <v>17</v>
      </c>
      <c r="F27" s="18">
        <f t="shared" si="0"/>
        <v>137887</v>
      </c>
      <c r="G27" s="18">
        <f t="shared" si="1"/>
        <v>289</v>
      </c>
    </row>
    <row r="28" spans="1:7" x14ac:dyDescent="0.25">
      <c r="A28" s="18">
        <v>26</v>
      </c>
      <c r="B28" s="35" t="s">
        <v>30</v>
      </c>
      <c r="C28" s="18">
        <v>2014</v>
      </c>
      <c r="D28" s="18">
        <v>6283</v>
      </c>
      <c r="E28" s="18">
        <v>19</v>
      </c>
      <c r="F28" s="18">
        <f t="shared" si="0"/>
        <v>119377</v>
      </c>
      <c r="G28" s="18">
        <f t="shared" si="1"/>
        <v>361</v>
      </c>
    </row>
    <row r="29" spans="1:7" x14ac:dyDescent="0.25">
      <c r="A29" s="18">
        <v>27</v>
      </c>
      <c r="B29" s="35" t="s">
        <v>31</v>
      </c>
      <c r="C29" s="18">
        <v>2014</v>
      </c>
      <c r="D29" s="18">
        <v>10430</v>
      </c>
      <c r="E29" s="18">
        <v>21</v>
      </c>
      <c r="F29" s="18">
        <f t="shared" si="0"/>
        <v>219030</v>
      </c>
      <c r="G29" s="18">
        <f t="shared" si="1"/>
        <v>441</v>
      </c>
    </row>
    <row r="30" spans="1:7" x14ac:dyDescent="0.25">
      <c r="A30" s="18">
        <v>28</v>
      </c>
      <c r="B30" s="35" t="s">
        <v>32</v>
      </c>
      <c r="C30" s="18">
        <v>2014</v>
      </c>
      <c r="D30" s="18">
        <v>12490</v>
      </c>
      <c r="E30" s="18">
        <v>23</v>
      </c>
      <c r="F30" s="18">
        <f t="shared" si="0"/>
        <v>287270</v>
      </c>
      <c r="G30" s="18">
        <f t="shared" si="1"/>
        <v>529</v>
      </c>
    </row>
    <row r="31" spans="1:7" x14ac:dyDescent="0.25">
      <c r="A31" s="18">
        <v>29</v>
      </c>
      <c r="B31" s="35" t="s">
        <v>33</v>
      </c>
      <c r="C31" s="18">
        <v>2015</v>
      </c>
      <c r="D31" s="18">
        <v>9985</v>
      </c>
      <c r="E31" s="18">
        <v>25</v>
      </c>
      <c r="F31" s="18">
        <f t="shared" si="0"/>
        <v>249625</v>
      </c>
      <c r="G31" s="18">
        <f t="shared" si="1"/>
        <v>625</v>
      </c>
    </row>
    <row r="32" spans="1:7" x14ac:dyDescent="0.25">
      <c r="A32" s="18">
        <v>30</v>
      </c>
      <c r="B32" s="35" t="s">
        <v>34</v>
      </c>
      <c r="C32" s="18">
        <v>2015</v>
      </c>
      <c r="D32" s="18">
        <v>9260</v>
      </c>
      <c r="E32" s="18">
        <v>27</v>
      </c>
      <c r="F32" s="18">
        <f t="shared" si="0"/>
        <v>250020</v>
      </c>
      <c r="G32" s="18">
        <f t="shared" si="1"/>
        <v>729</v>
      </c>
    </row>
    <row r="33" spans="1:7" x14ac:dyDescent="0.25">
      <c r="A33" s="18">
        <v>31</v>
      </c>
      <c r="B33" s="35" t="s">
        <v>35</v>
      </c>
      <c r="C33" s="18">
        <v>2015</v>
      </c>
      <c r="D33" s="18">
        <v>8776</v>
      </c>
      <c r="E33" s="18">
        <v>29</v>
      </c>
      <c r="F33" s="18">
        <f t="shared" si="0"/>
        <v>254504</v>
      </c>
      <c r="G33" s="18">
        <f t="shared" si="1"/>
        <v>841</v>
      </c>
    </row>
    <row r="34" spans="1:7" x14ac:dyDescent="0.25">
      <c r="A34" s="18">
        <v>32</v>
      </c>
      <c r="B34" s="35" t="s">
        <v>36</v>
      </c>
      <c r="C34" s="18">
        <v>2015</v>
      </c>
      <c r="D34" s="18">
        <v>7390</v>
      </c>
      <c r="E34" s="18">
        <v>31</v>
      </c>
      <c r="F34" s="18">
        <f t="shared" si="0"/>
        <v>229090</v>
      </c>
      <c r="G34" s="18">
        <f t="shared" si="1"/>
        <v>961</v>
      </c>
    </row>
    <row r="35" spans="1:7" x14ac:dyDescent="0.25">
      <c r="E35" s="39">
        <v>33</v>
      </c>
      <c r="G35" s="39">
        <f t="shared" si="1"/>
        <v>1089</v>
      </c>
    </row>
    <row r="42" spans="1:7" x14ac:dyDescent="0.25">
      <c r="A42" s="63" t="s">
        <v>68</v>
      </c>
      <c r="B42" s="63"/>
      <c r="C42" s="63"/>
      <c r="D42" s="63"/>
      <c r="E42" s="63"/>
      <c r="F42" s="63"/>
      <c r="G42" s="63"/>
    </row>
    <row r="43" spans="1:7" x14ac:dyDescent="0.25">
      <c r="A43" s="25" t="s">
        <v>59</v>
      </c>
      <c r="B43" s="38" t="s">
        <v>0</v>
      </c>
      <c r="C43" s="25" t="s">
        <v>23</v>
      </c>
      <c r="D43" s="25" t="s">
        <v>24</v>
      </c>
      <c r="E43" s="25" t="s">
        <v>25</v>
      </c>
      <c r="F43" s="25" t="s">
        <v>26</v>
      </c>
      <c r="G43" s="25" t="s">
        <v>60</v>
      </c>
    </row>
    <row r="44" spans="1:7" x14ac:dyDescent="0.25">
      <c r="A44" s="18">
        <v>1</v>
      </c>
      <c r="B44" s="35" t="s">
        <v>29</v>
      </c>
      <c r="C44" s="18">
        <v>2012</v>
      </c>
      <c r="D44" s="18">
        <v>3321</v>
      </c>
      <c r="E44" s="18">
        <v>-5</v>
      </c>
      <c r="F44" s="18">
        <f>E44*D44</f>
        <v>-16605</v>
      </c>
      <c r="G44" s="18">
        <f>E44^2</f>
        <v>25</v>
      </c>
    </row>
    <row r="45" spans="1:7" x14ac:dyDescent="0.25">
      <c r="A45" s="18">
        <v>2</v>
      </c>
      <c r="B45" s="35" t="s">
        <v>30</v>
      </c>
      <c r="C45" s="18">
        <v>2012</v>
      </c>
      <c r="D45" s="18">
        <v>5295</v>
      </c>
      <c r="E45" s="18">
        <v>-4</v>
      </c>
      <c r="F45" s="18">
        <f t="shared" ref="F45:F54" si="2">E45*D45</f>
        <v>-21180</v>
      </c>
      <c r="G45" s="18">
        <f t="shared" ref="G45:G54" si="3">E45^2</f>
        <v>16</v>
      </c>
    </row>
    <row r="46" spans="1:7" x14ac:dyDescent="0.25">
      <c r="A46" s="18">
        <v>3</v>
      </c>
      <c r="B46" s="35" t="s">
        <v>31</v>
      </c>
      <c r="C46" s="18">
        <v>2012</v>
      </c>
      <c r="D46" s="18">
        <v>4758</v>
      </c>
      <c r="E46" s="18">
        <v>-3</v>
      </c>
      <c r="F46" s="18">
        <f t="shared" si="2"/>
        <v>-14274</v>
      </c>
      <c r="G46" s="18">
        <f t="shared" si="3"/>
        <v>9</v>
      </c>
    </row>
    <row r="47" spans="1:7" x14ac:dyDescent="0.25">
      <c r="A47" s="18">
        <v>4</v>
      </c>
      <c r="B47" s="35" t="s">
        <v>32</v>
      </c>
      <c r="C47" s="18">
        <v>2012</v>
      </c>
      <c r="D47" s="18">
        <v>4544</v>
      </c>
      <c r="E47" s="18">
        <v>-2</v>
      </c>
      <c r="F47" s="18">
        <f t="shared" si="2"/>
        <v>-9088</v>
      </c>
      <c r="G47" s="18">
        <f t="shared" si="3"/>
        <v>4</v>
      </c>
    </row>
    <row r="48" spans="1:7" x14ac:dyDescent="0.25">
      <c r="A48" s="18">
        <v>5</v>
      </c>
      <c r="B48" s="35" t="s">
        <v>33</v>
      </c>
      <c r="C48" s="18">
        <v>2013</v>
      </c>
      <c r="D48" s="18">
        <v>6249</v>
      </c>
      <c r="E48" s="18">
        <v>-1</v>
      </c>
      <c r="F48" s="18">
        <f t="shared" si="2"/>
        <v>-6249</v>
      </c>
      <c r="G48" s="18">
        <f t="shared" si="3"/>
        <v>1</v>
      </c>
    </row>
    <row r="49" spans="1:7" x14ac:dyDescent="0.25">
      <c r="A49" s="18">
        <v>6</v>
      </c>
      <c r="B49" s="35" t="s">
        <v>34</v>
      </c>
      <c r="C49" s="18">
        <v>2013</v>
      </c>
      <c r="D49" s="18">
        <v>6767</v>
      </c>
      <c r="E49" s="18">
        <v>0</v>
      </c>
      <c r="F49" s="18">
        <f t="shared" si="2"/>
        <v>0</v>
      </c>
      <c r="G49" s="18">
        <f t="shared" si="3"/>
        <v>0</v>
      </c>
    </row>
    <row r="50" spans="1:7" x14ac:dyDescent="0.25">
      <c r="A50" s="18">
        <v>7</v>
      </c>
      <c r="B50" s="35" t="s">
        <v>35</v>
      </c>
      <c r="C50" s="18">
        <v>2013</v>
      </c>
      <c r="D50" s="18">
        <v>4230</v>
      </c>
      <c r="E50" s="18">
        <v>1</v>
      </c>
      <c r="F50" s="18">
        <f t="shared" si="2"/>
        <v>4230</v>
      </c>
      <c r="G50" s="18">
        <f t="shared" si="3"/>
        <v>1</v>
      </c>
    </row>
    <row r="51" spans="1:7" x14ac:dyDescent="0.25">
      <c r="A51" s="18">
        <v>8</v>
      </c>
      <c r="B51" s="35" t="s">
        <v>36</v>
      </c>
      <c r="C51" s="18">
        <v>2013</v>
      </c>
      <c r="D51" s="18">
        <v>4674</v>
      </c>
      <c r="E51" s="18">
        <v>2</v>
      </c>
      <c r="F51" s="18">
        <f t="shared" si="2"/>
        <v>9348</v>
      </c>
      <c r="G51" s="18">
        <f t="shared" si="3"/>
        <v>4</v>
      </c>
    </row>
    <row r="52" spans="1:7" x14ac:dyDescent="0.25">
      <c r="A52" s="18">
        <v>9</v>
      </c>
      <c r="B52" s="35" t="s">
        <v>37</v>
      </c>
      <c r="C52" s="18">
        <v>2013</v>
      </c>
      <c r="D52" s="18">
        <v>5094</v>
      </c>
      <c r="E52" s="18">
        <v>3</v>
      </c>
      <c r="F52" s="18">
        <f t="shared" si="2"/>
        <v>15282</v>
      </c>
      <c r="G52" s="18">
        <f t="shared" si="3"/>
        <v>9</v>
      </c>
    </row>
    <row r="53" spans="1:7" x14ac:dyDescent="0.25">
      <c r="A53" s="18">
        <v>10</v>
      </c>
      <c r="B53" s="35" t="s">
        <v>38</v>
      </c>
      <c r="C53" s="18">
        <v>2013</v>
      </c>
      <c r="D53" s="18">
        <v>5258</v>
      </c>
      <c r="E53" s="18">
        <v>4</v>
      </c>
      <c r="F53" s="18">
        <f t="shared" si="2"/>
        <v>21032</v>
      </c>
      <c r="G53" s="18">
        <f t="shared" si="3"/>
        <v>16</v>
      </c>
    </row>
    <row r="54" spans="1:7" x14ac:dyDescent="0.25">
      <c r="A54" s="18">
        <v>11</v>
      </c>
      <c r="B54" s="35" t="s">
        <v>39</v>
      </c>
      <c r="C54" s="18">
        <v>2013</v>
      </c>
      <c r="D54" s="18">
        <v>5659</v>
      </c>
      <c r="E54" s="18">
        <v>5</v>
      </c>
      <c r="F54" s="18">
        <f t="shared" si="2"/>
        <v>28295</v>
      </c>
      <c r="G54" s="18">
        <f t="shared" si="3"/>
        <v>25</v>
      </c>
    </row>
  </sheetData>
  <mergeCells count="9">
    <mergeCell ref="A42:G42"/>
    <mergeCell ref="A1:G1"/>
    <mergeCell ref="J14:L14"/>
    <mergeCell ref="J15:L15"/>
    <mergeCell ref="I6:L6"/>
    <mergeCell ref="I10:L10"/>
    <mergeCell ref="I13:L13"/>
    <mergeCell ref="J7:L7"/>
    <mergeCell ref="J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Exponential Smoothing</vt:lpstr>
      <vt:lpstr>Double Exponential Smoothing</vt:lpstr>
      <vt:lpstr>Sheet2</vt:lpstr>
      <vt:lpstr>Trend Moment</vt:lpstr>
      <vt:lpstr>Least 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2020-12-22T23:54:53Z</dcterms:modified>
</cp:coreProperties>
</file>