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irwan/Downloads/"/>
    </mc:Choice>
  </mc:AlternateContent>
  <xr:revisionPtr revIDLastSave="0" documentId="13_ncr:1_{7657A676-98B9-CF47-AA97-8483086E8854}" xr6:coauthVersionLast="45" xr6:coauthVersionMax="45" xr10:uidLastSave="{00000000-0000-0000-0000-000000000000}"/>
  <bookViews>
    <workbookView xWindow="0" yWindow="460" windowWidth="28800" windowHeight="10880" tabRatio="815" activeTab="1" xr2:uid="{00000000-000D-0000-FFFF-FFFF00000000}"/>
  </bookViews>
  <sheets>
    <sheet name="ZCB+Options" sheetId="8" r:id="rId1"/>
    <sheet name="BondForward+Futures" sheetId="12" r:id="rId2"/>
    <sheet name="Caplets" sheetId="16" r:id="rId3"/>
    <sheet name="Swaps+Swaptions" sheetId="13" r:id="rId4"/>
    <sheet name="Elementary Prices" sheetId="9" r:id="rId5"/>
    <sheet name="BDT" sheetId="7" r:id="rId6"/>
    <sheet name="BDT_b=.005" sheetId="14" r:id="rId7"/>
    <sheet name="BDT_b=.01" sheetId="15" r:id="rId8"/>
  </sheets>
  <definedNames>
    <definedName name="_xlnm.Print_Area" localSheetId="5">BDT!$C$80:$L$105</definedName>
    <definedName name="_xlnm.Print_Area" localSheetId="6">'BDT_b=.005'!$C$80:$L$105</definedName>
    <definedName name="_xlnm.Print_Area" localSheetId="7">'BDT_b=.01'!$C$80:$L$105</definedName>
    <definedName name="solver_adj" localSheetId="5" hidden="1">BDT!$C$5:$P$5</definedName>
    <definedName name="solver_adj" localSheetId="6" hidden="1">'BDT_b=.005'!$C$5:$P$5</definedName>
    <definedName name="solver_adj" localSheetId="7" hidden="1">'BDT_b=.01'!$C$5:$P$5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5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5" hidden="1">100</definedName>
    <definedName name="solver_itr" localSheetId="6" hidden="1">100</definedName>
    <definedName name="solver_itr" localSheetId="7" hidden="1">100</definedName>
    <definedName name="solver_lin" localSheetId="5" hidden="1">2</definedName>
    <definedName name="solver_lin" localSheetId="6" hidden="1">2</definedName>
    <definedName name="solver_lin" localSheetId="7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5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5" hidden="1">BDT!$D$51</definedName>
    <definedName name="solver_opt" localSheetId="6" hidden="1">'BDT_b=.005'!$D$51</definedName>
    <definedName name="solver_opt" localSheetId="7" hidden="1">'BDT_b=.01'!$D$51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5" hidden="1">1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5" hidden="1">100</definedName>
    <definedName name="solver_tim" localSheetId="5" hidden="1">100</definedName>
    <definedName name="solver_tim" localSheetId="6" hidden="1">100</definedName>
    <definedName name="solver_tim" localSheetId="7" hidden="1">100</definedName>
    <definedName name="solver_tol" localSheetId="5" hidden="1">0.05</definedName>
    <definedName name="solver_tol" localSheetId="6" hidden="1">0.05</definedName>
    <definedName name="solver_tol" localSheetId="7" hidden="1">0.05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5" hidden="1">2</definedName>
    <definedName name="workspace" localSheetId="1">#REF!</definedName>
    <definedName name="workspace" localSheetId="2">#REF!</definedName>
    <definedName name="workspace" localSheetId="3">#REF!</definedName>
    <definedName name="workspa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6" l="1"/>
  <c r="C24" i="16"/>
  <c r="D24" i="16"/>
  <c r="E24" i="16"/>
  <c r="B25" i="16"/>
  <c r="C25" i="16"/>
  <c r="D25" i="16"/>
  <c r="E25" i="16"/>
  <c r="B26" i="16"/>
  <c r="C26" i="16"/>
  <c r="D26" i="16"/>
  <c r="B27" i="16"/>
  <c r="C27" i="16"/>
  <c r="B28" i="16"/>
  <c r="F24" i="16"/>
  <c r="B16" i="16"/>
  <c r="C15" i="16" s="1"/>
  <c r="D14" i="16" s="1"/>
  <c r="B6" i="16"/>
  <c r="C14" i="16"/>
  <c r="D13" i="16"/>
  <c r="C13" i="16"/>
  <c r="E12" i="16"/>
  <c r="D12" i="16"/>
  <c r="C12" i="16"/>
  <c r="F11" i="16"/>
  <c r="E11" i="16"/>
  <c r="D11" i="16"/>
  <c r="C11" i="16"/>
  <c r="C66" i="15"/>
  <c r="D65" i="15"/>
  <c r="C65" i="15"/>
  <c r="E64" i="15"/>
  <c r="D64" i="15"/>
  <c r="C64" i="15"/>
  <c r="F63" i="15"/>
  <c r="E63" i="15"/>
  <c r="D63" i="15"/>
  <c r="C63" i="15"/>
  <c r="G62" i="15"/>
  <c r="F62" i="15"/>
  <c r="E62" i="15"/>
  <c r="D62" i="15"/>
  <c r="C62" i="15"/>
  <c r="H61" i="15"/>
  <c r="G61" i="15"/>
  <c r="F61" i="15"/>
  <c r="E61" i="15"/>
  <c r="D61" i="15"/>
  <c r="C61" i="15"/>
  <c r="I60" i="15"/>
  <c r="H60" i="15"/>
  <c r="G60" i="15"/>
  <c r="F60" i="15"/>
  <c r="E60" i="15"/>
  <c r="D60" i="15"/>
  <c r="C60" i="15"/>
  <c r="J59" i="15"/>
  <c r="I59" i="15"/>
  <c r="H59" i="15"/>
  <c r="G59" i="15"/>
  <c r="F59" i="15"/>
  <c r="E59" i="15"/>
  <c r="D59" i="15"/>
  <c r="C59" i="15"/>
  <c r="K58" i="15"/>
  <c r="J58" i="15"/>
  <c r="I58" i="15"/>
  <c r="H58" i="15"/>
  <c r="G58" i="15"/>
  <c r="F58" i="15"/>
  <c r="E58" i="15"/>
  <c r="D58" i="15"/>
  <c r="C58" i="15"/>
  <c r="D42" i="15"/>
  <c r="E41" i="15"/>
  <c r="D41" i="15"/>
  <c r="F40" i="15"/>
  <c r="E40" i="15"/>
  <c r="D40" i="15"/>
  <c r="G39" i="15"/>
  <c r="F39" i="15"/>
  <c r="E39" i="15"/>
  <c r="D39" i="15"/>
  <c r="H38" i="15"/>
  <c r="G38" i="15"/>
  <c r="F38" i="15"/>
  <c r="E38" i="15"/>
  <c r="D38" i="15"/>
  <c r="I37" i="15"/>
  <c r="H37" i="15"/>
  <c r="G37" i="15"/>
  <c r="F37" i="15"/>
  <c r="E37" i="15"/>
  <c r="D37" i="15"/>
  <c r="J36" i="15"/>
  <c r="I36" i="15"/>
  <c r="H36" i="15"/>
  <c r="G36" i="15"/>
  <c r="F36" i="15"/>
  <c r="E36" i="15"/>
  <c r="D36" i="15"/>
  <c r="K35" i="15"/>
  <c r="J35" i="15"/>
  <c r="I35" i="15"/>
  <c r="H35" i="15"/>
  <c r="G35" i="15"/>
  <c r="F35" i="15"/>
  <c r="E35" i="15"/>
  <c r="D35" i="15"/>
  <c r="L34" i="15"/>
  <c r="K34" i="15"/>
  <c r="J34" i="15"/>
  <c r="I34" i="15"/>
  <c r="H34" i="15"/>
  <c r="G34" i="15"/>
  <c r="F34" i="15"/>
  <c r="E34" i="15"/>
  <c r="D34" i="15"/>
  <c r="M33" i="15"/>
  <c r="L33" i="15"/>
  <c r="K33" i="15"/>
  <c r="J33" i="15"/>
  <c r="I33" i="15"/>
  <c r="H33" i="15"/>
  <c r="G33" i="15"/>
  <c r="F33" i="15"/>
  <c r="E33" i="15"/>
  <c r="D33" i="15"/>
  <c r="N32" i="15"/>
  <c r="M32" i="15"/>
  <c r="L32" i="15"/>
  <c r="K32" i="15"/>
  <c r="J32" i="15"/>
  <c r="I32" i="15"/>
  <c r="H32" i="15"/>
  <c r="G32" i="15"/>
  <c r="F32" i="15"/>
  <c r="E32" i="15"/>
  <c r="D32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P25" i="15"/>
  <c r="O25" i="15"/>
  <c r="N25" i="15"/>
  <c r="M25" i="15"/>
  <c r="L25" i="15"/>
  <c r="L67" i="15" s="1"/>
  <c r="K67" i="15" s="1"/>
  <c r="K25" i="15"/>
  <c r="J25" i="15"/>
  <c r="I25" i="15"/>
  <c r="H25" i="15"/>
  <c r="G25" i="15"/>
  <c r="F25" i="15"/>
  <c r="E25" i="15"/>
  <c r="D25" i="15"/>
  <c r="C25" i="15"/>
  <c r="D43" i="15"/>
  <c r="E42" i="15" s="1"/>
  <c r="D24" i="15"/>
  <c r="E23" i="15"/>
  <c r="F22" i="15"/>
  <c r="G21" i="15"/>
  <c r="H20" i="15"/>
  <c r="I19" i="15"/>
  <c r="J18" i="15"/>
  <c r="K17" i="15"/>
  <c r="L16" i="15"/>
  <c r="M15" i="15"/>
  <c r="N14" i="15"/>
  <c r="O13" i="15"/>
  <c r="P12" i="15"/>
  <c r="P24" i="15"/>
  <c r="O24" i="15"/>
  <c r="N24" i="15"/>
  <c r="M24" i="15"/>
  <c r="L24" i="15"/>
  <c r="L66" i="15"/>
  <c r="K24" i="15"/>
  <c r="J24" i="15"/>
  <c r="I24" i="15"/>
  <c r="H24" i="15"/>
  <c r="G24" i="15"/>
  <c r="F24" i="15"/>
  <c r="E24" i="15"/>
  <c r="P23" i="15"/>
  <c r="O23" i="15"/>
  <c r="N23" i="15"/>
  <c r="M23" i="15"/>
  <c r="L23" i="15"/>
  <c r="L65" i="15"/>
  <c r="K23" i="15"/>
  <c r="J23" i="15"/>
  <c r="I23" i="15"/>
  <c r="H23" i="15"/>
  <c r="G23" i="15"/>
  <c r="F23" i="15"/>
  <c r="D23" i="15"/>
  <c r="P22" i="15"/>
  <c r="O22" i="15"/>
  <c r="N22" i="15"/>
  <c r="M22" i="15"/>
  <c r="L22" i="15"/>
  <c r="L64" i="15" s="1"/>
  <c r="K65" i="15" s="1"/>
  <c r="J66" i="15" s="1"/>
  <c r="K22" i="15"/>
  <c r="J22" i="15"/>
  <c r="I22" i="15"/>
  <c r="H22" i="15"/>
  <c r="G22" i="15"/>
  <c r="E22" i="15"/>
  <c r="D22" i="15"/>
  <c r="P21" i="15"/>
  <c r="O21" i="15"/>
  <c r="N21" i="15"/>
  <c r="M21" i="15"/>
  <c r="L21" i="15"/>
  <c r="L63" i="15" s="1"/>
  <c r="K21" i="15"/>
  <c r="J21" i="15"/>
  <c r="I21" i="15"/>
  <c r="H21" i="15"/>
  <c r="F21" i="15"/>
  <c r="E21" i="15"/>
  <c r="D21" i="15"/>
  <c r="P20" i="15"/>
  <c r="O20" i="15"/>
  <c r="N20" i="15"/>
  <c r="M20" i="15"/>
  <c r="L20" i="15"/>
  <c r="L62" i="15" s="1"/>
  <c r="K20" i="15"/>
  <c r="J20" i="15"/>
  <c r="I20" i="15"/>
  <c r="G20" i="15"/>
  <c r="F20" i="15"/>
  <c r="E20" i="15"/>
  <c r="D20" i="15"/>
  <c r="P19" i="15"/>
  <c r="O19" i="15"/>
  <c r="N19" i="15"/>
  <c r="M19" i="15"/>
  <c r="L19" i="15"/>
  <c r="L61" i="15"/>
  <c r="K19" i="15"/>
  <c r="J19" i="15"/>
  <c r="H19" i="15"/>
  <c r="G19" i="15"/>
  <c r="F19" i="15"/>
  <c r="E19" i="15"/>
  <c r="D19" i="15"/>
  <c r="P18" i="15"/>
  <c r="O18" i="15"/>
  <c r="N18" i="15"/>
  <c r="M18" i="15"/>
  <c r="L18" i="15"/>
  <c r="L60" i="15" s="1"/>
  <c r="K61" i="15" s="1"/>
  <c r="K18" i="15"/>
  <c r="I18" i="15"/>
  <c r="H18" i="15"/>
  <c r="G18" i="15"/>
  <c r="F18" i="15"/>
  <c r="E18" i="15"/>
  <c r="D18" i="15"/>
  <c r="P17" i="15"/>
  <c r="O17" i="15"/>
  <c r="N17" i="15"/>
  <c r="M17" i="15"/>
  <c r="L17" i="15"/>
  <c r="L59" i="15" s="1"/>
  <c r="J17" i="15"/>
  <c r="I17" i="15"/>
  <c r="H17" i="15"/>
  <c r="G17" i="15"/>
  <c r="F17" i="15"/>
  <c r="E17" i="15"/>
  <c r="D17" i="15"/>
  <c r="P16" i="15"/>
  <c r="O16" i="15"/>
  <c r="N16" i="15"/>
  <c r="M16" i="15"/>
  <c r="L58" i="15"/>
  <c r="K16" i="15"/>
  <c r="J16" i="15"/>
  <c r="I16" i="15"/>
  <c r="H16" i="15"/>
  <c r="G16" i="15"/>
  <c r="F16" i="15"/>
  <c r="E16" i="15"/>
  <c r="D16" i="15"/>
  <c r="P15" i="15"/>
  <c r="O15" i="15"/>
  <c r="N15" i="15"/>
  <c r="L15" i="15"/>
  <c r="K15" i="15"/>
  <c r="J15" i="15"/>
  <c r="I15" i="15"/>
  <c r="H15" i="15"/>
  <c r="G15" i="15"/>
  <c r="F15" i="15"/>
  <c r="E15" i="15"/>
  <c r="D15" i="15"/>
  <c r="P14" i="15"/>
  <c r="O14" i="15"/>
  <c r="M14" i="15"/>
  <c r="L14" i="15"/>
  <c r="K14" i="15"/>
  <c r="J14" i="15"/>
  <c r="I14" i="15"/>
  <c r="H14" i="15"/>
  <c r="G14" i="15"/>
  <c r="F14" i="15"/>
  <c r="E14" i="15"/>
  <c r="D14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B8" i="15"/>
  <c r="L24" i="14"/>
  <c r="L66" i="14" s="1"/>
  <c r="K67" i="14" s="1"/>
  <c r="C66" i="14"/>
  <c r="D65" i="14"/>
  <c r="C65" i="14"/>
  <c r="E64" i="14"/>
  <c r="D64" i="14"/>
  <c r="C64" i="14"/>
  <c r="F63" i="14"/>
  <c r="E63" i="14"/>
  <c r="D63" i="14"/>
  <c r="C63" i="14"/>
  <c r="L20" i="14"/>
  <c r="L62" i="14" s="1"/>
  <c r="G62" i="14"/>
  <c r="F62" i="14"/>
  <c r="E62" i="14"/>
  <c r="D62" i="14"/>
  <c r="C62" i="14"/>
  <c r="H61" i="14"/>
  <c r="G61" i="14"/>
  <c r="F61" i="14"/>
  <c r="E61" i="14"/>
  <c r="D61" i="14"/>
  <c r="C61" i="14"/>
  <c r="I60" i="14"/>
  <c r="H60" i="14"/>
  <c r="G60" i="14"/>
  <c r="F60" i="14"/>
  <c r="E60" i="14"/>
  <c r="D60" i="14"/>
  <c r="C60" i="14"/>
  <c r="J59" i="14"/>
  <c r="I59" i="14"/>
  <c r="H59" i="14"/>
  <c r="G59" i="14"/>
  <c r="F59" i="14"/>
  <c r="E59" i="14"/>
  <c r="D59" i="14"/>
  <c r="C59" i="14"/>
  <c r="L16" i="14"/>
  <c r="L58" i="14" s="1"/>
  <c r="K59" i="14" s="1"/>
  <c r="J60" i="14" s="1"/>
  <c r="I61" i="14" s="1"/>
  <c r="K58" i="14"/>
  <c r="J58" i="14"/>
  <c r="I58" i="14"/>
  <c r="H58" i="14"/>
  <c r="G58" i="14"/>
  <c r="F58" i="14"/>
  <c r="E58" i="14"/>
  <c r="D58" i="14"/>
  <c r="C58" i="14"/>
  <c r="D42" i="14"/>
  <c r="E41" i="14"/>
  <c r="D41" i="14"/>
  <c r="F40" i="14"/>
  <c r="E40" i="14"/>
  <c r="D40" i="14"/>
  <c r="G39" i="14"/>
  <c r="F39" i="14"/>
  <c r="E39" i="14"/>
  <c r="D39" i="14"/>
  <c r="H38" i="14"/>
  <c r="G38" i="14"/>
  <c r="F38" i="14"/>
  <c r="E38" i="14"/>
  <c r="D38" i="14"/>
  <c r="I37" i="14"/>
  <c r="H37" i="14"/>
  <c r="G37" i="14"/>
  <c r="F37" i="14"/>
  <c r="E37" i="14"/>
  <c r="D37" i="14"/>
  <c r="J36" i="14"/>
  <c r="I36" i="14"/>
  <c r="H36" i="14"/>
  <c r="G36" i="14"/>
  <c r="F36" i="14"/>
  <c r="E36" i="14"/>
  <c r="D36" i="14"/>
  <c r="K35" i="14"/>
  <c r="J35" i="14"/>
  <c r="I35" i="14"/>
  <c r="H35" i="14"/>
  <c r="G35" i="14"/>
  <c r="F35" i="14"/>
  <c r="E35" i="14"/>
  <c r="D35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N32" i="14"/>
  <c r="M32" i="14"/>
  <c r="L32" i="14"/>
  <c r="K32" i="14"/>
  <c r="J32" i="14"/>
  <c r="I32" i="14"/>
  <c r="H32" i="14"/>
  <c r="G32" i="14"/>
  <c r="F32" i="14"/>
  <c r="E32" i="14"/>
  <c r="D32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P25" i="14"/>
  <c r="O25" i="14"/>
  <c r="N25" i="14"/>
  <c r="M25" i="14"/>
  <c r="L25" i="14"/>
  <c r="L67" i="14"/>
  <c r="K25" i="14"/>
  <c r="B8" i="14"/>
  <c r="J25" i="14"/>
  <c r="I25" i="14"/>
  <c r="H25" i="14"/>
  <c r="G25" i="14"/>
  <c r="F25" i="14"/>
  <c r="E25" i="14"/>
  <c r="D25" i="14"/>
  <c r="C25" i="14"/>
  <c r="D43" i="14" s="1"/>
  <c r="D24" i="14"/>
  <c r="E23" i="14"/>
  <c r="F22" i="14"/>
  <c r="G21" i="14"/>
  <c r="H20" i="14"/>
  <c r="I19" i="14"/>
  <c r="J18" i="14"/>
  <c r="K17" i="14"/>
  <c r="M15" i="14"/>
  <c r="N14" i="14"/>
  <c r="O13" i="14"/>
  <c r="P24" i="14"/>
  <c r="O24" i="14"/>
  <c r="N24" i="14"/>
  <c r="M24" i="14"/>
  <c r="K24" i="14"/>
  <c r="J24" i="14"/>
  <c r="I24" i="14"/>
  <c r="H24" i="14"/>
  <c r="G24" i="14"/>
  <c r="F24" i="14"/>
  <c r="E24" i="14"/>
  <c r="P23" i="14"/>
  <c r="O23" i="14"/>
  <c r="N23" i="14"/>
  <c r="M23" i="14"/>
  <c r="L23" i="14"/>
  <c r="L65" i="14" s="1"/>
  <c r="K23" i="14"/>
  <c r="J23" i="14"/>
  <c r="I23" i="14"/>
  <c r="H23" i="14"/>
  <c r="G23" i="14"/>
  <c r="F23" i="14"/>
  <c r="D23" i="14"/>
  <c r="P22" i="14"/>
  <c r="O22" i="14"/>
  <c r="N22" i="14"/>
  <c r="M22" i="14"/>
  <c r="L22" i="14"/>
  <c r="L64" i="14"/>
  <c r="K22" i="14"/>
  <c r="J22" i="14"/>
  <c r="I22" i="14"/>
  <c r="H22" i="14"/>
  <c r="G22" i="14"/>
  <c r="E22" i="14"/>
  <c r="D22" i="14"/>
  <c r="P21" i="14"/>
  <c r="O21" i="14"/>
  <c r="N21" i="14"/>
  <c r="M21" i="14"/>
  <c r="L21" i="14"/>
  <c r="L63" i="14" s="1"/>
  <c r="K64" i="14" s="1"/>
  <c r="K21" i="14"/>
  <c r="J21" i="14"/>
  <c r="I21" i="14"/>
  <c r="H21" i="14"/>
  <c r="F21" i="14"/>
  <c r="E21" i="14"/>
  <c r="D21" i="14"/>
  <c r="P20" i="14"/>
  <c r="O20" i="14"/>
  <c r="N20" i="14"/>
  <c r="M20" i="14"/>
  <c r="K20" i="14"/>
  <c r="J20" i="14"/>
  <c r="I20" i="14"/>
  <c r="G20" i="14"/>
  <c r="F20" i="14"/>
  <c r="E20" i="14"/>
  <c r="D20" i="14"/>
  <c r="P19" i="14"/>
  <c r="O19" i="14"/>
  <c r="N19" i="14"/>
  <c r="M19" i="14"/>
  <c r="L19" i="14"/>
  <c r="L61" i="14"/>
  <c r="K19" i="14"/>
  <c r="J19" i="14"/>
  <c r="H19" i="14"/>
  <c r="G19" i="14"/>
  <c r="F19" i="14"/>
  <c r="E19" i="14"/>
  <c r="D19" i="14"/>
  <c r="P18" i="14"/>
  <c r="O18" i="14"/>
  <c r="N18" i="14"/>
  <c r="M18" i="14"/>
  <c r="L18" i="14"/>
  <c r="L60" i="14"/>
  <c r="K18" i="14"/>
  <c r="I18" i="14"/>
  <c r="H18" i="14"/>
  <c r="G18" i="14"/>
  <c r="F18" i="14"/>
  <c r="E18" i="14"/>
  <c r="D18" i="14"/>
  <c r="P17" i="14"/>
  <c r="O17" i="14"/>
  <c r="N17" i="14"/>
  <c r="M17" i="14"/>
  <c r="L17" i="14"/>
  <c r="L59" i="14"/>
  <c r="J17" i="14"/>
  <c r="I17" i="14"/>
  <c r="H17" i="14"/>
  <c r="G17" i="14"/>
  <c r="F17" i="14"/>
  <c r="E17" i="14"/>
  <c r="D17" i="14"/>
  <c r="P16" i="14"/>
  <c r="O16" i="14"/>
  <c r="N16" i="14"/>
  <c r="M16" i="14"/>
  <c r="K16" i="14"/>
  <c r="J16" i="14"/>
  <c r="I16" i="14"/>
  <c r="H16" i="14"/>
  <c r="G16" i="14"/>
  <c r="F16" i="14"/>
  <c r="E16" i="14"/>
  <c r="D16" i="14"/>
  <c r="P15" i="14"/>
  <c r="O15" i="14"/>
  <c r="N15" i="14"/>
  <c r="L15" i="14"/>
  <c r="K15" i="14"/>
  <c r="J15" i="14"/>
  <c r="I15" i="14"/>
  <c r="H15" i="14"/>
  <c r="G15" i="14"/>
  <c r="F15" i="14"/>
  <c r="E15" i="14"/>
  <c r="D15" i="14"/>
  <c r="P14" i="14"/>
  <c r="O14" i="14"/>
  <c r="M14" i="14"/>
  <c r="L14" i="14"/>
  <c r="K14" i="14"/>
  <c r="J14" i="14"/>
  <c r="I14" i="14"/>
  <c r="H14" i="14"/>
  <c r="G14" i="14"/>
  <c r="F14" i="14"/>
  <c r="E14" i="14"/>
  <c r="D14" i="14"/>
  <c r="P13" i="14"/>
  <c r="N13" i="14"/>
  <c r="M13" i="14"/>
  <c r="L13" i="14"/>
  <c r="K13" i="14"/>
  <c r="J13" i="14"/>
  <c r="I13" i="14"/>
  <c r="H13" i="14"/>
  <c r="G13" i="14"/>
  <c r="F13" i="14"/>
  <c r="E13" i="14"/>
  <c r="D13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K66" i="15"/>
  <c r="J67" i="15" s="1"/>
  <c r="D44" i="15"/>
  <c r="E43" i="15" s="1"/>
  <c r="F42" i="15" s="1"/>
  <c r="K60" i="14"/>
  <c r="K61" i="14"/>
  <c r="J61" i="14" s="1"/>
  <c r="D44" i="14"/>
  <c r="E44" i="14" s="1"/>
  <c r="B52" i="13"/>
  <c r="C52" i="13"/>
  <c r="B53" i="13"/>
  <c r="C53" i="13"/>
  <c r="B54" i="13"/>
  <c r="D52" i="13"/>
  <c r="B34" i="13"/>
  <c r="C34" i="13"/>
  <c r="D34" i="13"/>
  <c r="E34" i="13"/>
  <c r="B35" i="13"/>
  <c r="C35" i="13"/>
  <c r="D35" i="13"/>
  <c r="E35" i="13"/>
  <c r="B36" i="13"/>
  <c r="C36" i="13"/>
  <c r="D36" i="13"/>
  <c r="B37" i="13"/>
  <c r="C37" i="13"/>
  <c r="B38" i="13"/>
  <c r="F34" i="13"/>
  <c r="B21" i="13"/>
  <c r="C21" i="13" s="1"/>
  <c r="D21" i="13" s="1"/>
  <c r="C19" i="13"/>
  <c r="D18" i="13"/>
  <c r="C18" i="13"/>
  <c r="E17" i="13"/>
  <c r="D17" i="13"/>
  <c r="C17" i="13"/>
  <c r="F16" i="13"/>
  <c r="E16" i="13"/>
  <c r="D16" i="13"/>
  <c r="C16" i="13"/>
  <c r="B6" i="13"/>
  <c r="N16" i="12"/>
  <c r="O16" i="12"/>
  <c r="P16" i="12"/>
  <c r="Q16" i="12"/>
  <c r="N17" i="12"/>
  <c r="O17" i="12"/>
  <c r="P17" i="12"/>
  <c r="Q17" i="12"/>
  <c r="N18" i="12"/>
  <c r="O18" i="12"/>
  <c r="P18" i="12"/>
  <c r="N19" i="12"/>
  <c r="O19" i="12"/>
  <c r="N20" i="12"/>
  <c r="K51" i="12"/>
  <c r="B51" i="12"/>
  <c r="L50" i="12"/>
  <c r="K50" i="12"/>
  <c r="C50" i="12"/>
  <c r="B50" i="12"/>
  <c r="M49" i="12"/>
  <c r="L49" i="12"/>
  <c r="K49" i="12"/>
  <c r="D49" i="12"/>
  <c r="C49" i="12"/>
  <c r="B49" i="12"/>
  <c r="N48" i="12"/>
  <c r="M48" i="12"/>
  <c r="L48" i="12"/>
  <c r="K48" i="12"/>
  <c r="E48" i="12"/>
  <c r="D48" i="12"/>
  <c r="C48" i="12"/>
  <c r="B48" i="12"/>
  <c r="B39" i="12"/>
  <c r="C38" i="12"/>
  <c r="B38" i="12"/>
  <c r="D37" i="12"/>
  <c r="C37" i="12"/>
  <c r="B37" i="12"/>
  <c r="E36" i="12"/>
  <c r="D36" i="12"/>
  <c r="C36" i="12"/>
  <c r="B36" i="12"/>
  <c r="F35" i="12"/>
  <c r="E35" i="12"/>
  <c r="D35" i="12"/>
  <c r="C35" i="12"/>
  <c r="B35" i="12"/>
  <c r="G34" i="12"/>
  <c r="F34" i="12"/>
  <c r="E34" i="12"/>
  <c r="D34" i="12"/>
  <c r="C34" i="12"/>
  <c r="B34" i="12"/>
  <c r="B21" i="12"/>
  <c r="C20" i="12" s="1"/>
  <c r="C21" i="12"/>
  <c r="D21" i="12" s="1"/>
  <c r="E21" i="12" s="1"/>
  <c r="C19" i="12"/>
  <c r="D18" i="12"/>
  <c r="C18" i="12"/>
  <c r="E17" i="12"/>
  <c r="D17" i="12"/>
  <c r="C17" i="12"/>
  <c r="F16" i="12"/>
  <c r="E16" i="12"/>
  <c r="D16" i="12"/>
  <c r="C16" i="12"/>
  <c r="B6" i="12"/>
  <c r="C23" i="9"/>
  <c r="C24" i="9"/>
  <c r="C33" i="9" s="1"/>
  <c r="C34" i="9" s="1"/>
  <c r="C25" i="9"/>
  <c r="C26" i="9"/>
  <c r="C27" i="9"/>
  <c r="B16" i="9"/>
  <c r="C28" i="9"/>
  <c r="C29" i="9"/>
  <c r="D23" i="9"/>
  <c r="E23" i="9"/>
  <c r="F23" i="9"/>
  <c r="G23" i="9"/>
  <c r="D24" i="9"/>
  <c r="E24" i="9"/>
  <c r="F24" i="9"/>
  <c r="D25" i="9"/>
  <c r="E25" i="9"/>
  <c r="D26" i="9"/>
  <c r="C16" i="9"/>
  <c r="D16" i="9" s="1"/>
  <c r="E16" i="9" s="1"/>
  <c r="F16" i="9" s="1"/>
  <c r="G16" i="9" s="1"/>
  <c r="C15" i="9"/>
  <c r="D14" i="9" s="1"/>
  <c r="C14" i="9"/>
  <c r="D13" i="9"/>
  <c r="C13" i="9"/>
  <c r="E12" i="9"/>
  <c r="D12" i="9"/>
  <c r="C12" i="9"/>
  <c r="F11" i="9"/>
  <c r="E11" i="9"/>
  <c r="D11" i="9"/>
  <c r="C11" i="9"/>
  <c r="B6" i="9"/>
  <c r="E23" i="7"/>
  <c r="F22" i="7"/>
  <c r="G21" i="7"/>
  <c r="H20" i="7"/>
  <c r="I19" i="7"/>
  <c r="J18" i="7"/>
  <c r="K17" i="7"/>
  <c r="L16" i="7"/>
  <c r="L58" i="7"/>
  <c r="L17" i="7"/>
  <c r="L59" i="7"/>
  <c r="B8" i="7"/>
  <c r="K18" i="7"/>
  <c r="L18" i="7"/>
  <c r="L60" i="7"/>
  <c r="J19" i="7"/>
  <c r="K19" i="7"/>
  <c r="L19" i="7"/>
  <c r="L61" i="7"/>
  <c r="I20" i="7"/>
  <c r="J20" i="7"/>
  <c r="K20" i="7"/>
  <c r="L20" i="7"/>
  <c r="L62" i="7" s="1"/>
  <c r="H21" i="7"/>
  <c r="I21" i="7"/>
  <c r="J21" i="7"/>
  <c r="K21" i="7"/>
  <c r="L21" i="7"/>
  <c r="L63" i="7"/>
  <c r="G22" i="7"/>
  <c r="H22" i="7"/>
  <c r="I22" i="7"/>
  <c r="J22" i="7"/>
  <c r="K22" i="7"/>
  <c r="L22" i="7"/>
  <c r="L64" i="7" s="1"/>
  <c r="F23" i="7"/>
  <c r="G23" i="7"/>
  <c r="H23" i="7"/>
  <c r="I23" i="7"/>
  <c r="J23" i="7"/>
  <c r="K23" i="7"/>
  <c r="L23" i="7"/>
  <c r="L65" i="7" s="1"/>
  <c r="K66" i="7" s="1"/>
  <c r="E24" i="7"/>
  <c r="F24" i="7"/>
  <c r="G24" i="7"/>
  <c r="H24" i="7"/>
  <c r="I24" i="7"/>
  <c r="J24" i="7"/>
  <c r="K24" i="7"/>
  <c r="L24" i="7"/>
  <c r="L66" i="7"/>
  <c r="D24" i="7"/>
  <c r="E25" i="7"/>
  <c r="F25" i="7"/>
  <c r="G25" i="7"/>
  <c r="H25" i="7"/>
  <c r="I25" i="7"/>
  <c r="J25" i="7"/>
  <c r="K25" i="7"/>
  <c r="L25" i="7"/>
  <c r="L67" i="7" s="1"/>
  <c r="K67" i="7" s="1"/>
  <c r="D25" i="7"/>
  <c r="C25" i="7"/>
  <c r="E58" i="7"/>
  <c r="E59" i="7"/>
  <c r="E60" i="7"/>
  <c r="E61" i="7"/>
  <c r="E62" i="7"/>
  <c r="E63" i="7"/>
  <c r="E64" i="7"/>
  <c r="F58" i="7"/>
  <c r="G58" i="7"/>
  <c r="H58" i="7"/>
  <c r="I58" i="7"/>
  <c r="J58" i="7"/>
  <c r="F59" i="7"/>
  <c r="G59" i="7"/>
  <c r="H59" i="7"/>
  <c r="I59" i="7"/>
  <c r="J59" i="7"/>
  <c r="F60" i="7"/>
  <c r="G60" i="7"/>
  <c r="H60" i="7"/>
  <c r="I60" i="7"/>
  <c r="F61" i="7"/>
  <c r="G61" i="7"/>
  <c r="H61" i="7"/>
  <c r="F62" i="7"/>
  <c r="G62" i="7"/>
  <c r="F63" i="7"/>
  <c r="K58" i="7"/>
  <c r="C58" i="7"/>
  <c r="C59" i="7"/>
  <c r="C60" i="7"/>
  <c r="C61" i="7"/>
  <c r="C62" i="7"/>
  <c r="C63" i="7"/>
  <c r="C64" i="7"/>
  <c r="C65" i="7"/>
  <c r="C66" i="7"/>
  <c r="D58" i="7"/>
  <c r="D59" i="7"/>
  <c r="D60" i="7"/>
  <c r="D61" i="7"/>
  <c r="D62" i="7"/>
  <c r="D63" i="7"/>
  <c r="D64" i="7"/>
  <c r="D65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30" i="7"/>
  <c r="O30" i="7"/>
  <c r="P30" i="7"/>
  <c r="N31" i="7"/>
  <c r="O31" i="7"/>
  <c r="D43" i="7"/>
  <c r="E42" i="7" s="1"/>
  <c r="M15" i="7"/>
  <c r="N32" i="7"/>
  <c r="D44" i="7"/>
  <c r="E44" i="7"/>
  <c r="M16" i="7"/>
  <c r="M17" i="7"/>
  <c r="M18" i="7"/>
  <c r="M19" i="7"/>
  <c r="M20" i="7"/>
  <c r="M21" i="7"/>
  <c r="M22" i="7"/>
  <c r="M23" i="7"/>
  <c r="M24" i="7"/>
  <c r="M25" i="7"/>
  <c r="B16" i="8"/>
  <c r="C16" i="8" s="1"/>
  <c r="D16" i="8" s="1"/>
  <c r="E16" i="8" s="1"/>
  <c r="B6" i="8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E30" i="7"/>
  <c r="E31" i="7"/>
  <c r="E32" i="7"/>
  <c r="E33" i="7"/>
  <c r="E34" i="7"/>
  <c r="E35" i="7"/>
  <c r="E36" i="7"/>
  <c r="E37" i="7"/>
  <c r="E38" i="7"/>
  <c r="E39" i="7"/>
  <c r="E40" i="7"/>
  <c r="E41" i="7"/>
  <c r="F30" i="7"/>
  <c r="F31" i="7"/>
  <c r="F32" i="7"/>
  <c r="F33" i="7"/>
  <c r="F34" i="7"/>
  <c r="F35" i="7"/>
  <c r="F36" i="7"/>
  <c r="F37" i="7"/>
  <c r="F38" i="7"/>
  <c r="F39" i="7"/>
  <c r="F40" i="7"/>
  <c r="G30" i="7"/>
  <c r="G31" i="7"/>
  <c r="G32" i="7"/>
  <c r="G33" i="7"/>
  <c r="G34" i="7"/>
  <c r="G35" i="7"/>
  <c r="G36" i="7"/>
  <c r="G37" i="7"/>
  <c r="G38" i="7"/>
  <c r="G39" i="7"/>
  <c r="H30" i="7"/>
  <c r="H31" i="7"/>
  <c r="H32" i="7"/>
  <c r="H33" i="7"/>
  <c r="H34" i="7"/>
  <c r="H35" i="7"/>
  <c r="H36" i="7"/>
  <c r="H37" i="7"/>
  <c r="H38" i="7"/>
  <c r="I30" i="7"/>
  <c r="I31" i="7"/>
  <c r="I32" i="7"/>
  <c r="I33" i="7"/>
  <c r="I34" i="7"/>
  <c r="I35" i="7"/>
  <c r="I36" i="7"/>
  <c r="I37" i="7"/>
  <c r="J30" i="7"/>
  <c r="J31" i="7"/>
  <c r="J32" i="7"/>
  <c r="J33" i="7"/>
  <c r="J34" i="7"/>
  <c r="J35" i="7"/>
  <c r="J36" i="7"/>
  <c r="K30" i="7"/>
  <c r="K31" i="7"/>
  <c r="K32" i="7"/>
  <c r="K33" i="7"/>
  <c r="K34" i="7"/>
  <c r="K35" i="7"/>
  <c r="L30" i="7"/>
  <c r="L31" i="7"/>
  <c r="L32" i="7"/>
  <c r="L33" i="7"/>
  <c r="L34" i="7"/>
  <c r="M30" i="7"/>
  <c r="M31" i="7"/>
  <c r="M32" i="7"/>
  <c r="M33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E16" i="7"/>
  <c r="F16" i="7"/>
  <c r="G16" i="7"/>
  <c r="H16" i="7"/>
  <c r="I16" i="7"/>
  <c r="J16" i="7"/>
  <c r="K16" i="7"/>
  <c r="E17" i="7"/>
  <c r="F17" i="7"/>
  <c r="G17" i="7"/>
  <c r="H17" i="7"/>
  <c r="I17" i="7"/>
  <c r="J17" i="7"/>
  <c r="E18" i="7"/>
  <c r="F18" i="7"/>
  <c r="G18" i="7"/>
  <c r="H18" i="7"/>
  <c r="I18" i="7"/>
  <c r="E19" i="7"/>
  <c r="F19" i="7"/>
  <c r="G19" i="7"/>
  <c r="H19" i="7"/>
  <c r="E20" i="7"/>
  <c r="F20" i="7"/>
  <c r="G20" i="7"/>
  <c r="E21" i="7"/>
  <c r="F21" i="7"/>
  <c r="E22" i="7"/>
  <c r="D12" i="7"/>
  <c r="D13" i="7"/>
  <c r="D14" i="7"/>
  <c r="D15" i="7"/>
  <c r="D16" i="7"/>
  <c r="D17" i="7"/>
  <c r="D18" i="7"/>
  <c r="D19" i="7"/>
  <c r="D20" i="7"/>
  <c r="D21" i="7"/>
  <c r="D22" i="7"/>
  <c r="D23" i="7"/>
  <c r="B35" i="8"/>
  <c r="C35" i="8"/>
  <c r="B36" i="8"/>
  <c r="C36" i="8"/>
  <c r="B37" i="8"/>
  <c r="D35" i="8"/>
  <c r="D13" i="8"/>
  <c r="L35" i="8"/>
  <c r="L36" i="8"/>
  <c r="M35" i="8"/>
  <c r="B21" i="8"/>
  <c r="C21" i="8"/>
  <c r="D21" i="8"/>
  <c r="B22" i="8"/>
  <c r="C22" i="8"/>
  <c r="D22" i="8"/>
  <c r="B23" i="8"/>
  <c r="C23" i="8"/>
  <c r="D23" i="8"/>
  <c r="B24" i="8"/>
  <c r="C24" i="8"/>
  <c r="B25" i="8"/>
  <c r="E21" i="8"/>
  <c r="E22" i="8"/>
  <c r="E11" i="8"/>
  <c r="E12" i="8"/>
  <c r="D11" i="8"/>
  <c r="F11" i="8"/>
  <c r="D12" i="8"/>
  <c r="C11" i="8"/>
  <c r="C12" i="8"/>
  <c r="C13" i="8"/>
  <c r="C14" i="8"/>
  <c r="E43" i="7"/>
  <c r="F42" i="7" s="1"/>
  <c r="K59" i="7"/>
  <c r="D47" i="7"/>
  <c r="D48" i="7" s="1"/>
  <c r="D50" i="7" s="1"/>
  <c r="K60" i="7"/>
  <c r="C15" i="8"/>
  <c r="D14" i="8" s="1"/>
  <c r="F44" i="7"/>
  <c r="G44" i="7" s="1"/>
  <c r="K61" i="7"/>
  <c r="J60" i="7"/>
  <c r="I61" i="7" s="1"/>
  <c r="J61" i="7"/>
  <c r="C20" i="13" l="1"/>
  <c r="K63" i="7"/>
  <c r="K62" i="7"/>
  <c r="J62" i="15"/>
  <c r="I63" i="15" s="1"/>
  <c r="H64" i="15" s="1"/>
  <c r="G65" i="15" s="1"/>
  <c r="F66" i="15" s="1"/>
  <c r="E67" i="15" s="1"/>
  <c r="K65" i="14"/>
  <c r="J66" i="14" s="1"/>
  <c r="I67" i="14" s="1"/>
  <c r="K66" i="14"/>
  <c r="J67" i="14" s="1"/>
  <c r="K62" i="15"/>
  <c r="J63" i="15" s="1"/>
  <c r="I64" i="15" s="1"/>
  <c r="H65" i="15" s="1"/>
  <c r="G66" i="15" s="1"/>
  <c r="F67" i="15" s="1"/>
  <c r="K63" i="15"/>
  <c r="J64" i="15" s="1"/>
  <c r="I65" i="15" s="1"/>
  <c r="H66" i="15" s="1"/>
  <c r="G67" i="15" s="1"/>
  <c r="I67" i="15"/>
  <c r="D19" i="12"/>
  <c r="E18" i="12" s="1"/>
  <c r="F18" i="12" s="1"/>
  <c r="G18" i="12" s="1"/>
  <c r="H18" i="12" s="1"/>
  <c r="I18" i="12" s="1"/>
  <c r="J18" i="12" s="1"/>
  <c r="K18" i="12" s="1"/>
  <c r="D20" i="12"/>
  <c r="E20" i="12" s="1"/>
  <c r="F20" i="12" s="1"/>
  <c r="G20" i="12" s="1"/>
  <c r="H20" i="12" s="1"/>
  <c r="I20" i="12" s="1"/>
  <c r="J20" i="12" s="1"/>
  <c r="K20" i="12" s="1"/>
  <c r="E47" i="7"/>
  <c r="E48" i="7" s="1"/>
  <c r="E50" i="7" s="1"/>
  <c r="F41" i="7"/>
  <c r="K65" i="7"/>
  <c r="J66" i="7" s="1"/>
  <c r="K64" i="7"/>
  <c r="J65" i="7" s="1"/>
  <c r="I66" i="7" s="1"/>
  <c r="K63" i="14"/>
  <c r="J64" i="14" s="1"/>
  <c r="H44" i="7"/>
  <c r="J67" i="7"/>
  <c r="K62" i="14"/>
  <c r="J63" i="14" s="1"/>
  <c r="I64" i="14" s="1"/>
  <c r="E43" i="14"/>
  <c r="E42" i="14"/>
  <c r="D47" i="14"/>
  <c r="D48" i="14" s="1"/>
  <c r="D50" i="14" s="1"/>
  <c r="K59" i="15"/>
  <c r="K60" i="15"/>
  <c r="J61" i="15" s="1"/>
  <c r="G41" i="7"/>
  <c r="F43" i="14"/>
  <c r="F44" i="14"/>
  <c r="K64" i="15"/>
  <c r="J65" i="15" s="1"/>
  <c r="I66" i="15" s="1"/>
  <c r="H67" i="15" s="1"/>
  <c r="F41" i="15"/>
  <c r="G41" i="15" s="1"/>
  <c r="E47" i="15"/>
  <c r="E48" i="15" s="1"/>
  <c r="E50" i="15" s="1"/>
  <c r="E44" i="15"/>
  <c r="D47" i="15"/>
  <c r="D48" i="15" s="1"/>
  <c r="D50" i="15" s="1"/>
  <c r="D15" i="8"/>
  <c r="E15" i="8" s="1"/>
  <c r="E25" i="8" s="1"/>
  <c r="F43" i="7"/>
  <c r="G42" i="7" s="1"/>
  <c r="H41" i="7" s="1"/>
  <c r="C16" i="16"/>
  <c r="D16" i="16" s="1"/>
  <c r="E16" i="16" s="1"/>
  <c r="F16" i="16" s="1"/>
  <c r="G16" i="16" s="1"/>
  <c r="G29" i="16" s="1"/>
  <c r="E13" i="8"/>
  <c r="F13" i="8" s="1"/>
  <c r="G13" i="8" s="1"/>
  <c r="E14" i="8"/>
  <c r="E24" i="8" s="1"/>
  <c r="E36" i="8" s="1"/>
  <c r="D15" i="16"/>
  <c r="E15" i="16" s="1"/>
  <c r="F15" i="16" s="1"/>
  <c r="G15" i="16" s="1"/>
  <c r="G28" i="16" s="1"/>
  <c r="D27" i="9"/>
  <c r="E26" i="9" s="1"/>
  <c r="F21" i="12"/>
  <c r="G21" i="12" s="1"/>
  <c r="H21" i="12" s="1"/>
  <c r="I21" i="12" s="1"/>
  <c r="J21" i="12" s="1"/>
  <c r="K21" i="12" s="1"/>
  <c r="E14" i="16"/>
  <c r="F14" i="16" s="1"/>
  <c r="G14" i="16" s="1"/>
  <c r="G27" i="16" s="1"/>
  <c r="E13" i="16"/>
  <c r="F16" i="8"/>
  <c r="G16" i="8" s="1"/>
  <c r="E26" i="8"/>
  <c r="E38" i="8" s="1"/>
  <c r="E14" i="9"/>
  <c r="F14" i="9" s="1"/>
  <c r="G14" i="9" s="1"/>
  <c r="E13" i="9"/>
  <c r="E21" i="13"/>
  <c r="D29" i="9"/>
  <c r="D15" i="9"/>
  <c r="E15" i="9" s="1"/>
  <c r="F15" i="9" s="1"/>
  <c r="G15" i="9" s="1"/>
  <c r="D28" i="9"/>
  <c r="L21" i="12" l="1"/>
  <c r="K40" i="12"/>
  <c r="L20" i="12"/>
  <c r="K39" i="12"/>
  <c r="L18" i="12"/>
  <c r="K37" i="12"/>
  <c r="S18" i="12"/>
  <c r="S20" i="12"/>
  <c r="S21" i="12"/>
  <c r="F12" i="8"/>
  <c r="G11" i="8" s="1"/>
  <c r="D25" i="8"/>
  <c r="N36" i="8" s="1"/>
  <c r="D20" i="13"/>
  <c r="E20" i="13" s="1"/>
  <c r="D19" i="13"/>
  <c r="F25" i="9"/>
  <c r="E19" i="12"/>
  <c r="F14" i="8"/>
  <c r="G14" i="8" s="1"/>
  <c r="F15" i="8"/>
  <c r="G15" i="8" s="1"/>
  <c r="F43" i="15"/>
  <c r="G42" i="15" s="1"/>
  <c r="H41" i="15" s="1"/>
  <c r="F44" i="15"/>
  <c r="I44" i="7"/>
  <c r="G44" i="14"/>
  <c r="G43" i="14"/>
  <c r="G43" i="7"/>
  <c r="I62" i="15"/>
  <c r="H63" i="15" s="1"/>
  <c r="G64" i="15" s="1"/>
  <c r="F65" i="15" s="1"/>
  <c r="E66" i="15" s="1"/>
  <c r="D67" i="15" s="1"/>
  <c r="J65" i="14"/>
  <c r="I66" i="14" s="1"/>
  <c r="H67" i="14" s="1"/>
  <c r="H65" i="14"/>
  <c r="G66" i="14" s="1"/>
  <c r="F67" i="14" s="1"/>
  <c r="J60" i="15"/>
  <c r="I61" i="15" s="1"/>
  <c r="H62" i="15" s="1"/>
  <c r="G63" i="15" s="1"/>
  <c r="F64" i="15" s="1"/>
  <c r="E65" i="15" s="1"/>
  <c r="D66" i="15" s="1"/>
  <c r="C67" i="15" s="1"/>
  <c r="I65" i="14"/>
  <c r="H66" i="14" s="1"/>
  <c r="G67" i="14" s="1"/>
  <c r="J62" i="7"/>
  <c r="J63" i="7"/>
  <c r="I64" i="7" s="1"/>
  <c r="H65" i="7" s="1"/>
  <c r="G66" i="7" s="1"/>
  <c r="G40" i="15"/>
  <c r="F47" i="15"/>
  <c r="F48" i="15" s="1"/>
  <c r="F50" i="15" s="1"/>
  <c r="F41" i="14"/>
  <c r="E47" i="14"/>
  <c r="E48" i="14" s="1"/>
  <c r="E50" i="14" s="1"/>
  <c r="I67" i="7"/>
  <c r="H67" i="7" s="1"/>
  <c r="J64" i="7"/>
  <c r="I65" i="7" s="1"/>
  <c r="H66" i="7" s="1"/>
  <c r="F29" i="16"/>
  <c r="J62" i="14"/>
  <c r="F42" i="14"/>
  <c r="G41" i="14" s="1"/>
  <c r="G40" i="7"/>
  <c r="H40" i="7" s="1"/>
  <c r="F47" i="7"/>
  <c r="F48" i="7" s="1"/>
  <c r="F50" i="7" s="1"/>
  <c r="F28" i="16"/>
  <c r="E23" i="8"/>
  <c r="E35" i="8" s="1"/>
  <c r="F17" i="12"/>
  <c r="E27" i="9"/>
  <c r="D33" i="9"/>
  <c r="D34" i="9" s="1"/>
  <c r="D26" i="8"/>
  <c r="E37" i="8"/>
  <c r="F12" i="9"/>
  <c r="F13" i="9"/>
  <c r="G13" i="9" s="1"/>
  <c r="E29" i="9"/>
  <c r="E28" i="9"/>
  <c r="F21" i="13"/>
  <c r="F12" i="16"/>
  <c r="F13" i="16"/>
  <c r="G13" i="16" s="1"/>
  <c r="G26" i="16" s="1"/>
  <c r="F27" i="16" s="1"/>
  <c r="J40" i="12" l="1"/>
  <c r="F20" i="13"/>
  <c r="G20" i="13" s="1"/>
  <c r="H20" i="13" s="1"/>
  <c r="G12" i="8"/>
  <c r="D37" i="8"/>
  <c r="F19" i="12"/>
  <c r="G19" i="12" s="1"/>
  <c r="H19" i="12" s="1"/>
  <c r="C26" i="8"/>
  <c r="E19" i="13"/>
  <c r="E18" i="13"/>
  <c r="E29" i="16"/>
  <c r="E28" i="16"/>
  <c r="I40" i="7"/>
  <c r="J44" i="7"/>
  <c r="D24" i="8"/>
  <c r="C25" i="8" s="1"/>
  <c r="I63" i="14"/>
  <c r="H64" i="14" s="1"/>
  <c r="G65" i="14" s="1"/>
  <c r="F66" i="14" s="1"/>
  <c r="E67" i="14" s="1"/>
  <c r="I62" i="14"/>
  <c r="G67" i="7"/>
  <c r="F67" i="7" s="1"/>
  <c r="I63" i="7"/>
  <c r="H64" i="7" s="1"/>
  <c r="G65" i="7" s="1"/>
  <c r="F66" i="7" s="1"/>
  <c r="I62" i="7"/>
  <c r="G43" i="15"/>
  <c r="H42" i="15" s="1"/>
  <c r="I41" i="15" s="1"/>
  <c r="G44" i="15"/>
  <c r="H42" i="7"/>
  <c r="I41" i="7" s="1"/>
  <c r="H43" i="7"/>
  <c r="H39" i="15"/>
  <c r="G47" i="15"/>
  <c r="G48" i="15" s="1"/>
  <c r="G50" i="15" s="1"/>
  <c r="G42" i="14"/>
  <c r="H41" i="14" s="1"/>
  <c r="F47" i="14"/>
  <c r="F48" i="14" s="1"/>
  <c r="F50" i="14" s="1"/>
  <c r="G40" i="14"/>
  <c r="H42" i="14"/>
  <c r="I41" i="14" s="1"/>
  <c r="G47" i="7"/>
  <c r="G48" i="7" s="1"/>
  <c r="G50" i="7" s="1"/>
  <c r="H39" i="7"/>
  <c r="H44" i="14"/>
  <c r="H43" i="14"/>
  <c r="I42" i="14" s="1"/>
  <c r="J41" i="14" s="1"/>
  <c r="H40" i="15"/>
  <c r="I39" i="15" s="1"/>
  <c r="G16" i="12"/>
  <c r="G17" i="12"/>
  <c r="H17" i="12" s="1"/>
  <c r="F27" i="9"/>
  <c r="G12" i="16"/>
  <c r="G25" i="16" s="1"/>
  <c r="F26" i="16" s="1"/>
  <c r="E27" i="16" s="1"/>
  <c r="G11" i="16"/>
  <c r="G24" i="16" s="1"/>
  <c r="G21" i="13"/>
  <c r="F26" i="9"/>
  <c r="E33" i="9"/>
  <c r="E34" i="9" s="1"/>
  <c r="F29" i="9"/>
  <c r="F28" i="9"/>
  <c r="G12" i="9"/>
  <c r="G11" i="9"/>
  <c r="N37" i="8"/>
  <c r="M37" i="8" s="1"/>
  <c r="D38" i="8"/>
  <c r="G24" i="9"/>
  <c r="I19" i="12" l="1"/>
  <c r="J19" i="12" s="1"/>
  <c r="K19" i="12" s="1"/>
  <c r="I17" i="12"/>
  <c r="J17" i="12" s="1"/>
  <c r="K17" i="12" s="1"/>
  <c r="F19" i="13"/>
  <c r="G19" i="13" s="1"/>
  <c r="I20" i="13"/>
  <c r="J20" i="13" s="1"/>
  <c r="K20" i="13" s="1"/>
  <c r="L20" i="13" s="1"/>
  <c r="L38" i="13" s="1"/>
  <c r="H21" i="13"/>
  <c r="C38" i="8"/>
  <c r="H16" i="12"/>
  <c r="H15" i="12"/>
  <c r="S17" i="12"/>
  <c r="S19" i="12"/>
  <c r="S16" i="12"/>
  <c r="G26" i="9"/>
  <c r="D29" i="16"/>
  <c r="F18" i="13"/>
  <c r="G18" i="13" s="1"/>
  <c r="F17" i="13"/>
  <c r="D28" i="16"/>
  <c r="D36" i="8"/>
  <c r="C37" i="8" s="1"/>
  <c r="N35" i="8"/>
  <c r="M36" i="8" s="1"/>
  <c r="L37" i="8" s="1"/>
  <c r="G27" i="9"/>
  <c r="H43" i="15"/>
  <c r="I42" i="15" s="1"/>
  <c r="J41" i="15" s="1"/>
  <c r="H44" i="15"/>
  <c r="H63" i="7"/>
  <c r="G64" i="7" s="1"/>
  <c r="F65" i="7" s="1"/>
  <c r="E66" i="7" s="1"/>
  <c r="D67" i="7" s="1"/>
  <c r="H62" i="7"/>
  <c r="K44" i="7"/>
  <c r="I43" i="14"/>
  <c r="J42" i="14" s="1"/>
  <c r="K41" i="14" s="1"/>
  <c r="I44" i="14"/>
  <c r="E67" i="7"/>
  <c r="I38" i="7"/>
  <c r="H47" i="7"/>
  <c r="H48" i="7" s="1"/>
  <c r="H50" i="7" s="1"/>
  <c r="I38" i="15"/>
  <c r="J38" i="15" s="1"/>
  <c r="H47" i="15"/>
  <c r="H48" i="15" s="1"/>
  <c r="H50" i="15" s="1"/>
  <c r="I40" i="15"/>
  <c r="J39" i="15" s="1"/>
  <c r="H63" i="14"/>
  <c r="G64" i="14" s="1"/>
  <c r="F65" i="14" s="1"/>
  <c r="E66" i="14" s="1"/>
  <c r="D67" i="14" s="1"/>
  <c r="H62" i="14"/>
  <c r="G63" i="14" s="1"/>
  <c r="F64" i="14" s="1"/>
  <c r="E65" i="14" s="1"/>
  <c r="D66" i="14" s="1"/>
  <c r="C67" i="14" s="1"/>
  <c r="I42" i="7"/>
  <c r="J41" i="7" s="1"/>
  <c r="I43" i="7"/>
  <c r="G47" i="14"/>
  <c r="G48" i="14" s="1"/>
  <c r="G50" i="14" s="1"/>
  <c r="H39" i="14"/>
  <c r="J40" i="7"/>
  <c r="H40" i="14"/>
  <c r="I39" i="14" s="1"/>
  <c r="I39" i="7"/>
  <c r="J38" i="7" s="1"/>
  <c r="F25" i="16"/>
  <c r="E26" i="16" s="1"/>
  <c r="D27" i="16" s="1"/>
  <c r="H23" i="9"/>
  <c r="G29" i="9"/>
  <c r="G28" i="9"/>
  <c r="G25" i="9"/>
  <c r="H24" i="9" s="1"/>
  <c r="F33" i="9"/>
  <c r="F34" i="9" s="1"/>
  <c r="B26" i="8"/>
  <c r="L17" i="12" l="1"/>
  <c r="K36" i="12"/>
  <c r="J37" i="12" s="1"/>
  <c r="L19" i="12"/>
  <c r="K38" i="12"/>
  <c r="I15" i="12"/>
  <c r="J15" i="12" s="1"/>
  <c r="K15" i="12" s="1"/>
  <c r="I14" i="12"/>
  <c r="I16" i="12"/>
  <c r="J16" i="12" s="1"/>
  <c r="K16" i="12" s="1"/>
  <c r="I21" i="13"/>
  <c r="J21" i="13" s="1"/>
  <c r="K21" i="13" s="1"/>
  <c r="L21" i="13" s="1"/>
  <c r="L39" i="13" s="1"/>
  <c r="K39" i="13" s="1"/>
  <c r="H18" i="13"/>
  <c r="H19" i="13"/>
  <c r="Q18" i="12"/>
  <c r="Q21" i="12"/>
  <c r="Q19" i="12"/>
  <c r="C28" i="16"/>
  <c r="H26" i="9"/>
  <c r="C29" i="16"/>
  <c r="H27" i="9"/>
  <c r="G17" i="13"/>
  <c r="G16" i="13"/>
  <c r="J37" i="7"/>
  <c r="K37" i="7" s="1"/>
  <c r="I47" i="7"/>
  <c r="I48" i="7" s="1"/>
  <c r="I50" i="7" s="1"/>
  <c r="J39" i="7"/>
  <c r="K38" i="7" s="1"/>
  <c r="I40" i="14"/>
  <c r="J38" i="14"/>
  <c r="J44" i="14"/>
  <c r="J43" i="14"/>
  <c r="K42" i="14" s="1"/>
  <c r="L41" i="14" s="1"/>
  <c r="J40" i="15"/>
  <c r="K39" i="15" s="1"/>
  <c r="H47" i="14"/>
  <c r="H48" i="14" s="1"/>
  <c r="H50" i="14" s="1"/>
  <c r="I38" i="14"/>
  <c r="K38" i="15"/>
  <c r="I43" i="15"/>
  <c r="J42" i="15" s="1"/>
  <c r="K41" i="15" s="1"/>
  <c r="I44" i="15"/>
  <c r="J42" i="7"/>
  <c r="K41" i="7" s="1"/>
  <c r="L40" i="7" s="1"/>
  <c r="J43" i="7"/>
  <c r="J37" i="15"/>
  <c r="I47" i="15"/>
  <c r="I48" i="15" s="1"/>
  <c r="I50" i="15" s="1"/>
  <c r="L44" i="7"/>
  <c r="K40" i="7"/>
  <c r="G63" i="7"/>
  <c r="F64" i="7" s="1"/>
  <c r="E65" i="7" s="1"/>
  <c r="D66" i="7" s="1"/>
  <c r="C67" i="7" s="1"/>
  <c r="H29" i="9"/>
  <c r="H28" i="9"/>
  <c r="G33" i="9"/>
  <c r="G34" i="9" s="1"/>
  <c r="H25" i="9"/>
  <c r="B38" i="8"/>
  <c r="J39" i="12" l="1"/>
  <c r="I40" i="12" s="1"/>
  <c r="J38" i="12"/>
  <c r="L16" i="12"/>
  <c r="K35" i="12"/>
  <c r="J36" i="12" s="1"/>
  <c r="I37" i="12" s="1"/>
  <c r="L15" i="12"/>
  <c r="K34" i="12"/>
  <c r="J13" i="12"/>
  <c r="J14" i="12"/>
  <c r="K14" i="12" s="1"/>
  <c r="H15" i="13"/>
  <c r="I15" i="13" s="1"/>
  <c r="I19" i="13"/>
  <c r="J19" i="13" s="1"/>
  <c r="K19" i="13" s="1"/>
  <c r="L19" i="13" s="1"/>
  <c r="L37" i="13" s="1"/>
  <c r="K38" i="13" s="1"/>
  <c r="J39" i="13" s="1"/>
  <c r="I18" i="13"/>
  <c r="J18" i="13" s="1"/>
  <c r="K18" i="13" s="1"/>
  <c r="L18" i="13" s="1"/>
  <c r="L36" i="13" s="1"/>
  <c r="H16" i="13"/>
  <c r="H17" i="13"/>
  <c r="P19" i="12"/>
  <c r="Q20" i="12"/>
  <c r="P21" i="12" s="1"/>
  <c r="B29" i="16"/>
  <c r="K39" i="7"/>
  <c r="L38" i="7" s="1"/>
  <c r="M37" i="7" s="1"/>
  <c r="M44" i="7"/>
  <c r="K37" i="14"/>
  <c r="J39" i="14"/>
  <c r="K38" i="14" s="1"/>
  <c r="L37" i="14" s="1"/>
  <c r="J40" i="14"/>
  <c r="L37" i="7"/>
  <c r="K36" i="15"/>
  <c r="J37" i="14"/>
  <c r="I47" i="14"/>
  <c r="I48" i="14" s="1"/>
  <c r="I50" i="14" s="1"/>
  <c r="K42" i="7"/>
  <c r="L41" i="7" s="1"/>
  <c r="M40" i="7" s="1"/>
  <c r="K43" i="7"/>
  <c r="L38" i="15"/>
  <c r="K36" i="7"/>
  <c r="J47" i="7"/>
  <c r="J48" i="7" s="1"/>
  <c r="J50" i="7" s="1"/>
  <c r="L39" i="7"/>
  <c r="M38" i="7" s="1"/>
  <c r="N37" i="7" s="1"/>
  <c r="K40" i="15"/>
  <c r="L39" i="15" s="1"/>
  <c r="M38" i="15" s="1"/>
  <c r="J43" i="15"/>
  <c r="K42" i="15" s="1"/>
  <c r="L41" i="15" s="1"/>
  <c r="J44" i="15"/>
  <c r="K43" i="14"/>
  <c r="L42" i="14" s="1"/>
  <c r="M41" i="14" s="1"/>
  <c r="K44" i="14"/>
  <c r="K37" i="15"/>
  <c r="L36" i="15" s="1"/>
  <c r="H33" i="9"/>
  <c r="H34" i="9" s="1"/>
  <c r="I39" i="12" l="1"/>
  <c r="H40" i="12" s="1"/>
  <c r="J35" i="12"/>
  <c r="I36" i="12" s="1"/>
  <c r="H37" i="12" s="1"/>
  <c r="I38" i="12"/>
  <c r="L14" i="12"/>
  <c r="K33" i="12"/>
  <c r="J34" i="12" s="1"/>
  <c r="I35" i="12" s="1"/>
  <c r="H36" i="12" s="1"/>
  <c r="G37" i="12" s="1"/>
  <c r="K13" i="12"/>
  <c r="K12" i="12"/>
  <c r="K31" i="12" s="1"/>
  <c r="I14" i="13"/>
  <c r="J13" i="13" s="1"/>
  <c r="I17" i="13"/>
  <c r="J17" i="13" s="1"/>
  <c r="K17" i="13" s="1"/>
  <c r="L17" i="13" s="1"/>
  <c r="L35" i="13" s="1"/>
  <c r="K36" i="13" s="1"/>
  <c r="I16" i="13"/>
  <c r="J16" i="13" s="1"/>
  <c r="K16" i="13" s="1"/>
  <c r="L16" i="13" s="1"/>
  <c r="L34" i="13" s="1"/>
  <c r="J15" i="13"/>
  <c r="K15" i="13" s="1"/>
  <c r="L15" i="13" s="1"/>
  <c r="L33" i="13" s="1"/>
  <c r="K37" i="13"/>
  <c r="J38" i="13" s="1"/>
  <c r="I39" i="13" s="1"/>
  <c r="P20" i="12"/>
  <c r="O21" i="12" s="1"/>
  <c r="L42" i="7"/>
  <c r="M41" i="7" s="1"/>
  <c r="N40" i="7" s="1"/>
  <c r="L43" i="7"/>
  <c r="L37" i="15"/>
  <c r="M36" i="15" s="1"/>
  <c r="K36" i="14"/>
  <c r="L36" i="14" s="1"/>
  <c r="J47" i="14"/>
  <c r="J48" i="14" s="1"/>
  <c r="J50" i="14" s="1"/>
  <c r="N44" i="7"/>
  <c r="L43" i="14"/>
  <c r="M42" i="14" s="1"/>
  <c r="N41" i="14" s="1"/>
  <c r="L44" i="14"/>
  <c r="L35" i="15"/>
  <c r="K47" i="15"/>
  <c r="K48" i="15" s="1"/>
  <c r="K50" i="15" s="1"/>
  <c r="K47" i="7"/>
  <c r="K48" i="7" s="1"/>
  <c r="K50" i="7" s="1"/>
  <c r="L35" i="7"/>
  <c r="J47" i="15"/>
  <c r="J48" i="15" s="1"/>
  <c r="J50" i="15" s="1"/>
  <c r="K43" i="15"/>
  <c r="L42" i="15" s="1"/>
  <c r="M41" i="15" s="1"/>
  <c r="K44" i="15"/>
  <c r="M39" i="7"/>
  <c r="N38" i="7" s="1"/>
  <c r="O37" i="7" s="1"/>
  <c r="M36" i="7"/>
  <c r="N35" i="7" s="1"/>
  <c r="L40" i="15"/>
  <c r="M39" i="15" s="1"/>
  <c r="N38" i="15" s="1"/>
  <c r="K39" i="14"/>
  <c r="L38" i="14" s="1"/>
  <c r="M37" i="14" s="1"/>
  <c r="K40" i="14"/>
  <c r="L36" i="7"/>
  <c r="M35" i="7" s="1"/>
  <c r="H39" i="12" l="1"/>
  <c r="H38" i="12"/>
  <c r="L13" i="12"/>
  <c r="K32" i="12"/>
  <c r="J33" i="12" s="1"/>
  <c r="I34" i="12" s="1"/>
  <c r="H35" i="12" s="1"/>
  <c r="G36" i="12" s="1"/>
  <c r="F37" i="12" s="1"/>
  <c r="L12" i="12"/>
  <c r="L11" i="12"/>
  <c r="J14" i="13"/>
  <c r="K14" i="13" s="1"/>
  <c r="L14" i="13" s="1"/>
  <c r="L32" i="13" s="1"/>
  <c r="K33" i="13" s="1"/>
  <c r="J37" i="13"/>
  <c r="I38" i="13" s="1"/>
  <c r="H39" i="13" s="1"/>
  <c r="K34" i="13"/>
  <c r="K35" i="13"/>
  <c r="J36" i="13" s="1"/>
  <c r="K13" i="13"/>
  <c r="K12" i="13"/>
  <c r="O20" i="12"/>
  <c r="N21" i="12" s="1"/>
  <c r="M36" i="14"/>
  <c r="L43" i="15"/>
  <c r="M42" i="15" s="1"/>
  <c r="N41" i="15" s="1"/>
  <c r="L44" i="15"/>
  <c r="L47" i="15"/>
  <c r="L48" i="15" s="1"/>
  <c r="L50" i="15" s="1"/>
  <c r="M34" i="15"/>
  <c r="M35" i="15"/>
  <c r="L39" i="14"/>
  <c r="M38" i="14" s="1"/>
  <c r="N37" i="14" s="1"/>
  <c r="L40" i="14"/>
  <c r="M44" i="14"/>
  <c r="M43" i="14"/>
  <c r="N42" i="14" s="1"/>
  <c r="O41" i="14" s="1"/>
  <c r="N36" i="14"/>
  <c r="N36" i="7"/>
  <c r="M37" i="15"/>
  <c r="N39" i="7"/>
  <c r="O38" i="7" s="1"/>
  <c r="P37" i="7" s="1"/>
  <c r="M40" i="15"/>
  <c r="N39" i="15" s="1"/>
  <c r="O38" i="15" s="1"/>
  <c r="M34" i="7"/>
  <c r="L47" i="7"/>
  <c r="L48" i="7" s="1"/>
  <c r="L50" i="7" s="1"/>
  <c r="O44" i="7"/>
  <c r="M42" i="7"/>
  <c r="N41" i="7" s="1"/>
  <c r="O40" i="7" s="1"/>
  <c r="M43" i="7"/>
  <c r="K47" i="14"/>
  <c r="K48" i="14" s="1"/>
  <c r="K50" i="14" s="1"/>
  <c r="L35" i="14"/>
  <c r="O39" i="7"/>
  <c r="P38" i="7" s="1"/>
  <c r="Q37" i="7" s="1"/>
  <c r="N35" i="15"/>
  <c r="G39" i="12" l="1"/>
  <c r="G38" i="12"/>
  <c r="F38" i="12" s="1"/>
  <c r="E38" i="12" s="1"/>
  <c r="F49" i="12"/>
  <c r="O49" i="12"/>
  <c r="J32" i="12"/>
  <c r="I33" i="12" s="1"/>
  <c r="H34" i="12" s="1"/>
  <c r="G35" i="12" s="1"/>
  <c r="F36" i="12" s="1"/>
  <c r="G40" i="12"/>
  <c r="I37" i="13"/>
  <c r="H38" i="13" s="1"/>
  <c r="G39" i="13" s="1"/>
  <c r="G55" i="13" s="1"/>
  <c r="J34" i="13"/>
  <c r="J35" i="13"/>
  <c r="I36" i="13" s="1"/>
  <c r="L13" i="13"/>
  <c r="L31" i="13" s="1"/>
  <c r="K32" i="13" s="1"/>
  <c r="J33" i="13" s="1"/>
  <c r="L12" i="13"/>
  <c r="L30" i="13" s="1"/>
  <c r="L11" i="13"/>
  <c r="L29" i="13" s="1"/>
  <c r="O35" i="7"/>
  <c r="O36" i="7"/>
  <c r="N33" i="15"/>
  <c r="M47" i="15"/>
  <c r="M48" i="15" s="1"/>
  <c r="M50" i="15" s="1"/>
  <c r="L47" i="14"/>
  <c r="L48" i="14" s="1"/>
  <c r="L50" i="14" s="1"/>
  <c r="M34" i="14"/>
  <c r="M43" i="15"/>
  <c r="N42" i="15" s="1"/>
  <c r="O41" i="15" s="1"/>
  <c r="M44" i="15"/>
  <c r="P44" i="7"/>
  <c r="M47" i="7"/>
  <c r="M48" i="7" s="1"/>
  <c r="M50" i="7" s="1"/>
  <c r="N33" i="7"/>
  <c r="N43" i="14"/>
  <c r="O42" i="14" s="1"/>
  <c r="P41" i="14" s="1"/>
  <c r="N44" i="14"/>
  <c r="O40" i="15"/>
  <c r="P39" i="15" s="1"/>
  <c r="Q38" i="15" s="1"/>
  <c r="N40" i="15"/>
  <c r="O39" i="15" s="1"/>
  <c r="P38" i="15" s="1"/>
  <c r="N34" i="7"/>
  <c r="N42" i="7"/>
  <c r="O41" i="7" s="1"/>
  <c r="P40" i="7" s="1"/>
  <c r="Q39" i="7" s="1"/>
  <c r="N43" i="7"/>
  <c r="M39" i="14"/>
  <c r="N38" i="14" s="1"/>
  <c r="O37" i="14" s="1"/>
  <c r="M40" i="14"/>
  <c r="P39" i="7"/>
  <c r="Q38" i="7" s="1"/>
  <c r="N36" i="15"/>
  <c r="O35" i="15" s="1"/>
  <c r="N37" i="15"/>
  <c r="O36" i="14"/>
  <c r="N35" i="14"/>
  <c r="N34" i="15"/>
  <c r="O33" i="15" s="1"/>
  <c r="M35" i="14"/>
  <c r="F39" i="12" l="1"/>
  <c r="F40" i="12"/>
  <c r="O52" i="12" s="1"/>
  <c r="F48" i="12"/>
  <c r="E49" i="12" s="1"/>
  <c r="E37" i="12"/>
  <c r="D38" i="12" s="1"/>
  <c r="O48" i="12"/>
  <c r="N49" i="12" s="1"/>
  <c r="O51" i="12"/>
  <c r="N52" i="12" s="1"/>
  <c r="F51" i="12"/>
  <c r="F50" i="12"/>
  <c r="E50" i="12" s="1"/>
  <c r="O50" i="12"/>
  <c r="E39" i="12"/>
  <c r="D39" i="12" s="1"/>
  <c r="I34" i="13"/>
  <c r="H37" i="13"/>
  <c r="G38" i="13" s="1"/>
  <c r="G54" i="13" s="1"/>
  <c r="F55" i="13" s="1"/>
  <c r="I35" i="13"/>
  <c r="H36" i="13" s="1"/>
  <c r="K30" i="13"/>
  <c r="K31" i="13"/>
  <c r="J32" i="13" s="1"/>
  <c r="I33" i="13" s="1"/>
  <c r="M47" i="14"/>
  <c r="M48" i="14" s="1"/>
  <c r="M50" i="14" s="1"/>
  <c r="N33" i="14"/>
  <c r="O42" i="7"/>
  <c r="P41" i="7" s="1"/>
  <c r="Q40" i="7" s="1"/>
  <c r="O43" i="7"/>
  <c r="O32" i="7"/>
  <c r="N47" i="7"/>
  <c r="N48" i="7" s="1"/>
  <c r="N50" i="7" s="1"/>
  <c r="O35" i="14"/>
  <c r="P35" i="14" s="1"/>
  <c r="O33" i="7"/>
  <c r="O34" i="7"/>
  <c r="Q44" i="7"/>
  <c r="O36" i="15"/>
  <c r="P35" i="15" s="1"/>
  <c r="O37" i="15"/>
  <c r="O32" i="15"/>
  <c r="N44" i="15"/>
  <c r="N43" i="15"/>
  <c r="O42" i="15" s="1"/>
  <c r="P41" i="15" s="1"/>
  <c r="Q40" i="15" s="1"/>
  <c r="P35" i="7"/>
  <c r="Q34" i="7" s="1"/>
  <c r="P36" i="7"/>
  <c r="P40" i="15"/>
  <c r="Q39" i="15" s="1"/>
  <c r="P34" i="7"/>
  <c r="N39" i="14"/>
  <c r="O38" i="14" s="1"/>
  <c r="P37" i="14" s="1"/>
  <c r="N40" i="14"/>
  <c r="N34" i="14"/>
  <c r="O33" i="14" s="1"/>
  <c r="P36" i="14"/>
  <c r="O43" i="14"/>
  <c r="P42" i="14" s="1"/>
  <c r="Q41" i="14" s="1"/>
  <c r="O44" i="14"/>
  <c r="O34" i="15"/>
  <c r="P33" i="15" s="1"/>
  <c r="F52" i="12" l="1"/>
  <c r="E52" i="12" s="1"/>
  <c r="E40" i="12"/>
  <c r="N51" i="12"/>
  <c r="M52" i="12" s="1"/>
  <c r="N50" i="12"/>
  <c r="M50" i="12" s="1"/>
  <c r="D40" i="12"/>
  <c r="C40" i="12" s="1"/>
  <c r="E51" i="12"/>
  <c r="D51" i="12" s="1"/>
  <c r="C39" i="12"/>
  <c r="D50" i="12"/>
  <c r="H34" i="13"/>
  <c r="G37" i="13"/>
  <c r="G53" i="13" s="1"/>
  <c r="F54" i="13" s="1"/>
  <c r="F39" i="13"/>
  <c r="H35" i="13"/>
  <c r="G36" i="13" s="1"/>
  <c r="J31" i="13"/>
  <c r="I32" i="13" s="1"/>
  <c r="H33" i="13" s="1"/>
  <c r="P36" i="15"/>
  <c r="Q35" i="15" s="1"/>
  <c r="P37" i="15"/>
  <c r="P31" i="7"/>
  <c r="O47" i="7"/>
  <c r="O48" i="7" s="1"/>
  <c r="O50" i="7" s="1"/>
  <c r="Q35" i="14"/>
  <c r="P42" i="7"/>
  <c r="Q41" i="7" s="1"/>
  <c r="P43" i="7"/>
  <c r="O44" i="15"/>
  <c r="O43" i="15"/>
  <c r="P42" i="15" s="1"/>
  <c r="Q41" i="15" s="1"/>
  <c r="O39" i="14"/>
  <c r="P38" i="14" s="1"/>
  <c r="Q37" i="14" s="1"/>
  <c r="O40" i="14"/>
  <c r="O34" i="14"/>
  <c r="P33" i="14" s="1"/>
  <c r="Q36" i="14"/>
  <c r="N47" i="15"/>
  <c r="N48" i="15" s="1"/>
  <c r="N50" i="15" s="1"/>
  <c r="P33" i="7"/>
  <c r="O32" i="14"/>
  <c r="N47" i="14"/>
  <c r="N48" i="14" s="1"/>
  <c r="N50" i="14" s="1"/>
  <c r="Q33" i="7"/>
  <c r="P31" i="15"/>
  <c r="O47" i="15"/>
  <c r="O48" i="15" s="1"/>
  <c r="O50" i="15" s="1"/>
  <c r="P32" i="7"/>
  <c r="Q31" i="7" s="1"/>
  <c r="P44" i="14"/>
  <c r="P43" i="14"/>
  <c r="Q42" i="14" s="1"/>
  <c r="Q35" i="7"/>
  <c r="Q36" i="7"/>
  <c r="P34" i="15"/>
  <c r="Q33" i="15" s="1"/>
  <c r="P32" i="15"/>
  <c r="Q31" i="15" s="1"/>
  <c r="M51" i="12" l="1"/>
  <c r="L52" i="12" s="1"/>
  <c r="C51" i="12"/>
  <c r="B40" i="12"/>
  <c r="D52" i="12"/>
  <c r="C52" i="12" s="1"/>
  <c r="G34" i="13"/>
  <c r="G50" i="13" s="1"/>
  <c r="F38" i="13"/>
  <c r="E39" i="13" s="1"/>
  <c r="E55" i="13"/>
  <c r="F37" i="13"/>
  <c r="G52" i="13"/>
  <c r="F53" i="13" s="1"/>
  <c r="G35" i="13"/>
  <c r="Q42" i="7"/>
  <c r="Q43" i="7"/>
  <c r="Q30" i="15"/>
  <c r="P39" i="14"/>
  <c r="Q38" i="14" s="1"/>
  <c r="P40" i="14"/>
  <c r="Q34" i="15"/>
  <c r="P47" i="7"/>
  <c r="P48" i="7" s="1"/>
  <c r="P50" i="7" s="1"/>
  <c r="Q30" i="7"/>
  <c r="Q44" i="14"/>
  <c r="Q43" i="14"/>
  <c r="P31" i="14"/>
  <c r="O47" i="14"/>
  <c r="O48" i="14" s="1"/>
  <c r="O50" i="14" s="1"/>
  <c r="Q36" i="15"/>
  <c r="Q37" i="15"/>
  <c r="P34" i="14"/>
  <c r="Q32" i="7"/>
  <c r="P43" i="15"/>
  <c r="Q42" i="15" s="1"/>
  <c r="P44" i="15"/>
  <c r="Q32" i="15"/>
  <c r="P32" i="14"/>
  <c r="Q31" i="14" s="1"/>
  <c r="L51" i="12" l="1"/>
  <c r="K52" i="12" s="1"/>
  <c r="L54" i="12" s="1"/>
  <c r="B52" i="12"/>
  <c r="C54" i="12" s="1"/>
  <c r="E54" i="13"/>
  <c r="D55" i="13" s="1"/>
  <c r="E38" i="13"/>
  <c r="D39" i="13" s="1"/>
  <c r="D43" i="13" s="1"/>
  <c r="F36" i="13"/>
  <c r="E37" i="13" s="1"/>
  <c r="G51" i="13"/>
  <c r="F35" i="13"/>
  <c r="Q39" i="14"/>
  <c r="Q40" i="14"/>
  <c r="P47" i="14"/>
  <c r="P48" i="14" s="1"/>
  <c r="P50" i="14" s="1"/>
  <c r="Q30" i="14"/>
  <c r="Q44" i="15"/>
  <c r="Q43" i="15"/>
  <c r="Q47" i="15" s="1"/>
  <c r="Q48" i="15" s="1"/>
  <c r="Q50" i="15" s="1"/>
  <c r="D51" i="15" s="1"/>
  <c r="P47" i="15"/>
  <c r="P48" i="15" s="1"/>
  <c r="P50" i="15" s="1"/>
  <c r="Q32" i="14"/>
  <c r="Q47" i="7"/>
  <c r="Q48" i="7" s="1"/>
  <c r="Q50" i="7" s="1"/>
  <c r="D51" i="7" s="1"/>
  <c r="Q33" i="14"/>
  <c r="Q34" i="14"/>
  <c r="R54" i="12" l="1"/>
  <c r="F52" i="13"/>
  <c r="F51" i="13"/>
  <c r="D38" i="13"/>
  <c r="D42" i="13" s="1"/>
  <c r="E36" i="13"/>
  <c r="Q47" i="14"/>
  <c r="Q48" i="14" s="1"/>
  <c r="Q50" i="14" s="1"/>
  <c r="D51" i="14" s="1"/>
  <c r="C39" i="13" l="1"/>
  <c r="C43" i="13" s="1"/>
  <c r="E52" i="13"/>
  <c r="E53" i="13"/>
  <c r="D54" i="13" s="1"/>
  <c r="C55" i="13" s="1"/>
  <c r="D37" i="13"/>
  <c r="D41" i="13" s="1"/>
  <c r="C38" i="13" l="1"/>
  <c r="D53" i="13"/>
  <c r="C54" i="13" s="1"/>
  <c r="B55" i="13" s="1"/>
  <c r="J55" i="13" s="1"/>
  <c r="B39" i="13" l="1"/>
  <c r="N39" i="13" s="1"/>
  <c r="C4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B6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Fixing the volatility parameter, b. This is not a good idea if we wish to use the model to price fixed derivatives that are sensitive to volatility, e.g. swaptions.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1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Now use Solver to match the term structure of zero prices by setting the objective function to 0 and by varying cells C5 to P5.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<sst xmlns="http://schemas.openxmlformats.org/spreadsheetml/2006/main" count="148" uniqueCount="50">
  <si>
    <t>European Zero Option Value</t>
  </si>
  <si>
    <t>American Zero Option Value</t>
  </si>
  <si>
    <t>r(0,0)</t>
  </si>
  <si>
    <t>u</t>
  </si>
  <si>
    <t>d</t>
  </si>
  <si>
    <t>q</t>
  </si>
  <si>
    <t>1-q</t>
  </si>
  <si>
    <t xml:space="preserve"> </t>
  </si>
  <si>
    <t>Option type</t>
  </si>
  <si>
    <t>A Bond Forward</t>
  </si>
  <si>
    <t xml:space="preserve">Coupon </t>
  </si>
  <si>
    <t>A Bond Future</t>
  </si>
  <si>
    <t>Coupon</t>
  </si>
  <si>
    <t>Elementary Prices</t>
  </si>
  <si>
    <t>Spot Rates</t>
  </si>
  <si>
    <t>Year</t>
  </si>
  <si>
    <t>a</t>
  </si>
  <si>
    <t>Short Rate Lattice</t>
  </si>
  <si>
    <t>b</t>
  </si>
  <si>
    <t>Objective Function</t>
  </si>
  <si>
    <t>Squared Differences</t>
  </si>
  <si>
    <t>Fitting the Term-Structure of Zero Bond Prices in the Black-Derman-Toy Model</t>
  </si>
  <si>
    <t>Fixed Rate</t>
  </si>
  <si>
    <t>Option Expiration</t>
  </si>
  <si>
    <t>Swap Maturity</t>
  </si>
  <si>
    <t>Option strike</t>
  </si>
  <si>
    <t xml:space="preserve"> This is fixed but could easily be made variable</t>
  </si>
  <si>
    <t>Note that the values at a node are the discounted values of the nodes 1 period ahead. We therefore start from t=9 even though final payoff occurs at t=10</t>
  </si>
  <si>
    <t>Pricing a Payer Swaption</t>
  </si>
  <si>
    <t>Principal in $m</t>
  </si>
  <si>
    <t>First payment of underlying swap at t=3 (based on t=2 spot rate) and final payment at t=10</t>
  </si>
  <si>
    <t>(Strike is commonly 0)</t>
  </si>
  <si>
    <t>Short-Rate Lattice</t>
  </si>
  <si>
    <t>Expiration</t>
  </si>
  <si>
    <t>Strike</t>
  </si>
  <si>
    <t>Term Structure Lattice</t>
  </si>
  <si>
    <t>Bond Forward Price</t>
  </si>
  <si>
    <t>Maturity</t>
  </si>
  <si>
    <t>6-Year 10% Coupon Bond</t>
  </si>
  <si>
    <t>4-Year Zero-Coupon Bond</t>
  </si>
  <si>
    <t>Zero Coupon Bond Prices</t>
  </si>
  <si>
    <t>BDT Model ZCB Prices</t>
  </si>
  <si>
    <t>BDT Model Spot Rates</t>
  </si>
  <si>
    <t>Market Spot Rates</t>
  </si>
  <si>
    <t>Bond Futures Price</t>
  </si>
  <si>
    <t>Swap With Expiration t = 6</t>
  </si>
  <si>
    <t>Swaption Strike</t>
  </si>
  <si>
    <t>Caplet With Expiration t = 6</t>
  </si>
  <si>
    <t>6-Year Zero-Coupon Bond</t>
  </si>
  <si>
    <t>Swaption:  Expiration t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</si>
</sst>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%"/>
    <numFmt numFmtId="167" formatCode="0.0000000"/>
    <numFmt numFmtId="168" formatCode="0.00000"/>
  </numFmts>
  <fonts count="11" x14ac:knownFonts="1">
    <font>
      <sz val="10"/>
      <name val="Times New Roman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9" fontId="0" fillId="0" borderId="0" xfId="0" applyNumberFormat="1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4" xfId="0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3" borderId="11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1" xfId="0" applyFont="1" applyFill="1" applyBorder="1"/>
    <xf numFmtId="1" fontId="0" fillId="0" borderId="11" xfId="0" applyNumberFormat="1" applyBorder="1" applyAlignment="1">
      <alignment horizontal="center"/>
    </xf>
    <xf numFmtId="0" fontId="2" fillId="3" borderId="9" xfId="0" applyFont="1" applyFill="1" applyBorder="1"/>
    <xf numFmtId="166" fontId="0" fillId="0" borderId="9" xfId="0" applyNumberFormat="1" applyBorder="1" applyAlignment="1">
      <alignment horizontal="center"/>
    </xf>
    <xf numFmtId="2" fontId="2" fillId="0" borderId="13" xfId="0" applyNumberFormat="1" applyFont="1" applyBorder="1"/>
    <xf numFmtId="2" fontId="0" fillId="0" borderId="13" xfId="0" applyNumberFormat="1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 applyBorder="1"/>
    <xf numFmtId="2" fontId="5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2" fontId="2" fillId="0" borderId="14" xfId="0" applyNumberFormat="1" applyFont="1" applyBorder="1"/>
    <xf numFmtId="2" fontId="0" fillId="0" borderId="14" xfId="0" applyNumberFormat="1" applyBorder="1"/>
    <xf numFmtId="0" fontId="0" fillId="0" borderId="14" xfId="0" applyBorder="1"/>
    <xf numFmtId="164" fontId="0" fillId="0" borderId="0" xfId="0" applyNumberFormat="1" applyBorder="1"/>
    <xf numFmtId="0" fontId="0" fillId="0" borderId="0" xfId="0" applyNumberFormat="1" applyBorder="1"/>
    <xf numFmtId="0" fontId="2" fillId="0" borderId="0" xfId="0" applyFont="1" applyBorder="1" applyAlignment="1">
      <alignment horizontal="left"/>
    </xf>
    <xf numFmtId="0" fontId="0" fillId="0" borderId="6" xfId="0" applyBorder="1"/>
    <xf numFmtId="165" fontId="0" fillId="0" borderId="13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" fontId="0" fillId="0" borderId="3" xfId="0" applyNumberFormat="1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4" xfId="0" applyNumberFormat="1" applyBorder="1"/>
    <xf numFmtId="1" fontId="0" fillId="0" borderId="5" xfId="0" applyNumberFormat="1" applyBorder="1"/>
    <xf numFmtId="10" fontId="0" fillId="0" borderId="14" xfId="0" applyNumberFormat="1" applyBorder="1"/>
    <xf numFmtId="10" fontId="2" fillId="0" borderId="14" xfId="0" applyNumberFormat="1" applyFont="1" applyBorder="1"/>
    <xf numFmtId="10" fontId="0" fillId="0" borderId="6" xfId="0" applyNumberFormat="1" applyBorder="1"/>
    <xf numFmtId="2" fontId="3" fillId="0" borderId="12" xfId="0" applyNumberFormat="1" applyFont="1" applyBorder="1"/>
    <xf numFmtId="10" fontId="3" fillId="0" borderId="12" xfId="1" applyNumberFormat="1" applyFont="1" applyBorder="1"/>
    <xf numFmtId="2" fontId="2" fillId="0" borderId="7" xfId="0" applyNumberFormat="1" applyFont="1" applyBorder="1"/>
    <xf numFmtId="2" fontId="3" fillId="0" borderId="8" xfId="0" applyNumberFormat="1" applyFont="1" applyBorder="1"/>
    <xf numFmtId="10" fontId="2" fillId="0" borderId="7" xfId="1" applyNumberFormat="1" applyFont="1" applyBorder="1"/>
    <xf numFmtId="10" fontId="3" fillId="0" borderId="8" xfId="1" applyNumberFormat="1" applyFont="1" applyBorder="1"/>
    <xf numFmtId="0" fontId="2" fillId="5" borderId="1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8" xfId="0" applyBorder="1"/>
    <xf numFmtId="2" fontId="2" fillId="0" borderId="5" xfId="0" applyNumberFormat="1" applyFont="1" applyBorder="1"/>
    <xf numFmtId="2" fontId="3" fillId="0" borderId="14" xfId="0" applyNumberFormat="1" applyFont="1" applyBorder="1"/>
    <xf numFmtId="2" fontId="3" fillId="0" borderId="6" xfId="0" applyNumberFormat="1" applyFont="1" applyBorder="1"/>
    <xf numFmtId="165" fontId="2" fillId="0" borderId="16" xfId="0" applyNumberFormat="1" applyFont="1" applyBorder="1"/>
    <xf numFmtId="165" fontId="3" fillId="0" borderId="17" xfId="0" applyNumberFormat="1" applyFont="1" applyBorder="1"/>
    <xf numFmtId="165" fontId="3" fillId="0" borderId="18" xfId="0" applyNumberFormat="1" applyFont="1" applyBorder="1"/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167" fontId="6" fillId="0" borderId="0" xfId="0" applyNumberFormat="1" applyFont="1"/>
    <xf numFmtId="2" fontId="0" fillId="0" borderId="4" xfId="0" applyNumberFormat="1" applyBorder="1"/>
    <xf numFmtId="9" fontId="0" fillId="0" borderId="9" xfId="1" applyFont="1" applyBorder="1" applyAlignment="1">
      <alignment horizontal="center"/>
    </xf>
    <xf numFmtId="166" fontId="5" fillId="6" borderId="1" xfId="1" quotePrefix="1" applyNumberFormat="1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64" fontId="3" fillId="0" borderId="0" xfId="0" applyNumberFormat="1" applyFont="1"/>
    <xf numFmtId="168" fontId="3" fillId="7" borderId="0" xfId="0" applyNumberFormat="1" applyFont="1" applyFill="1"/>
    <xf numFmtId="164" fontId="0" fillId="0" borderId="0" xfId="0" applyNumberFormat="1" applyFont="1" applyBorder="1"/>
    <xf numFmtId="0" fontId="2" fillId="2" borderId="7" xfId="0" quotePrefix="1" applyFont="1" applyFill="1" applyBorder="1" applyAlignment="1">
      <alignment horizontal="center"/>
    </xf>
    <xf numFmtId="0" fontId="2" fillId="2" borderId="8" xfId="0" quotePrefix="1" applyFont="1" applyFill="1" applyBorder="1" applyAlignment="1">
      <alignment horizontal="center"/>
    </xf>
    <xf numFmtId="0" fontId="5" fillId="2" borderId="7" xfId="0" quotePrefix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2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5" fillId="2" borderId="12" xfId="0" quotePrefix="1" applyFont="1" applyFill="1" applyBorder="1" applyAlignment="1">
      <alignment horizontal="left"/>
    </xf>
    <xf numFmtId="0" fontId="5" fillId="2" borderId="8" xfId="0" quotePrefix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165" fontId="0" fillId="0" borderId="0" xfId="0" applyNumberFormat="1" applyBorder="1"/>
    <xf numFmtId="1" fontId="3" fillId="0" borderId="0" xfId="0" applyNumberFormat="1" applyFont="1"/>
    <xf numFmtId="0" fontId="0" fillId="0" borderId="0" xfId="0" applyFill="1" applyBorder="1"/>
    <xf numFmtId="0" fontId="2" fillId="2" borderId="0" xfId="0" applyFont="1" applyFill="1" applyBorder="1" applyAlignment="1">
      <alignment horizontal="center"/>
    </xf>
    <xf numFmtId="1" fontId="0" fillId="0" borderId="0" xfId="0" applyNumberFormat="1" applyFill="1" applyBorder="1"/>
    <xf numFmtId="0" fontId="2" fillId="2" borderId="1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66" fontId="5" fillId="6" borderId="9" xfId="1" quotePrefix="1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5" fillId="2" borderId="0" xfId="0" quotePrefix="1" applyFont="1" applyFill="1" applyBorder="1" applyAlignment="1">
      <alignment horizontal="left"/>
    </xf>
    <xf numFmtId="0" fontId="5" fillId="2" borderId="13" xfId="0" quotePrefix="1" applyFont="1" applyFill="1" applyBorder="1" applyAlignment="1">
      <alignment horizontal="left"/>
    </xf>
    <xf numFmtId="164" fontId="3" fillId="0" borderId="0" xfId="0" applyNumberFormat="1" applyFont="1" applyFill="1" applyBorder="1"/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 xr:uid="{00000000-0005-0000-0000-000007000000}"/>
    <cellStyle name="Per cent" xfId="1" builtinId="5"/>
    <cellStyle name="Percent 2" xfId="3" xr:uid="{00000000-0005-0000-0000-00000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Q46"/>
  <sheetViews>
    <sheetView showGridLines="0" topLeftCell="A25" zoomScaleNormal="100" zoomScalePageLayoutView="175" workbookViewId="0">
      <selection activeCell="C44" sqref="C44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1" ht="14" thickBot="1" x14ac:dyDescent="0.2">
      <c r="A1" s="112" t="s">
        <v>35</v>
      </c>
      <c r="B1" s="111"/>
      <c r="E1" s="1"/>
    </row>
    <row r="2" spans="1:11" x14ac:dyDescent="0.15">
      <c r="A2" s="25" t="s">
        <v>2</v>
      </c>
      <c r="B2" s="38">
        <v>0.06</v>
      </c>
    </row>
    <row r="3" spans="1:11" x14ac:dyDescent="0.15">
      <c r="A3" s="26" t="s">
        <v>3</v>
      </c>
      <c r="B3" s="34">
        <v>1.25</v>
      </c>
    </row>
    <row r="4" spans="1:11" x14ac:dyDescent="0.15">
      <c r="A4" s="26" t="s">
        <v>4</v>
      </c>
      <c r="B4" s="35">
        <v>0.9</v>
      </c>
    </row>
    <row r="5" spans="1:11" x14ac:dyDescent="0.15">
      <c r="A5" s="26" t="s">
        <v>5</v>
      </c>
      <c r="B5" s="36">
        <v>0.5</v>
      </c>
      <c r="F5" s="1"/>
    </row>
    <row r="6" spans="1:11" ht="14" thickBot="1" x14ac:dyDescent="0.2">
      <c r="A6" s="27" t="s">
        <v>6</v>
      </c>
      <c r="B6" s="37">
        <f>1-B5</f>
        <v>0.5</v>
      </c>
    </row>
    <row r="7" spans="1:11" x14ac:dyDescent="0.15">
      <c r="C7" s="7"/>
      <c r="D7" s="7"/>
      <c r="E7" s="7"/>
      <c r="F7" s="7"/>
      <c r="G7" s="7"/>
      <c r="H7" s="7"/>
      <c r="I7" s="7"/>
      <c r="J7" s="7"/>
      <c r="K7" s="7"/>
    </row>
    <row r="8" spans="1:11" ht="14" thickBot="1" x14ac:dyDescent="0.2">
      <c r="A8" s="10"/>
      <c r="B8" s="10"/>
      <c r="C8" s="10"/>
      <c r="D8" s="10"/>
      <c r="E8" s="10"/>
      <c r="F8" s="10"/>
      <c r="G8" s="10"/>
    </row>
    <row r="9" spans="1:11" ht="14" thickBot="1" x14ac:dyDescent="0.2">
      <c r="A9" s="113" t="s">
        <v>32</v>
      </c>
      <c r="B9" s="114"/>
      <c r="C9" s="61"/>
      <c r="D9" s="61"/>
      <c r="E9" s="61"/>
      <c r="F9" s="61"/>
      <c r="G9" s="62"/>
    </row>
    <row r="10" spans="1:11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5">
        <v>5</v>
      </c>
    </row>
    <row r="11" spans="1:11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9">
        <f t="shared" ca="1" si="0"/>
        <v>0.18310546875</v>
      </c>
      <c r="H11" s="7"/>
      <c r="I11" s="7"/>
      <c r="J11" s="7"/>
      <c r="K11" s="7"/>
    </row>
    <row r="12" spans="1:11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9">
        <f t="shared" ca="1" si="0"/>
        <v>0.1318359375</v>
      </c>
      <c r="H12" s="7"/>
      <c r="I12" s="7"/>
      <c r="J12" s="7"/>
      <c r="K12" s="7"/>
    </row>
    <row r="13" spans="1:11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9">
        <f t="shared" ca="1" si="0"/>
        <v>9.4921875000000003E-2</v>
      </c>
      <c r="H13" s="7"/>
      <c r="I13" s="7"/>
      <c r="J13" s="7"/>
      <c r="K13" s="7"/>
    </row>
    <row r="14" spans="1:11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9">
        <f t="shared" ca="1" si="0"/>
        <v>6.8343750000000009E-2</v>
      </c>
      <c r="H14" s="7"/>
      <c r="I14" s="7"/>
      <c r="J14" s="7"/>
      <c r="K14" s="7"/>
    </row>
    <row r="15" spans="1:11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9">
        <f t="shared" ca="1" si="0"/>
        <v>4.9207500000000008E-2</v>
      </c>
      <c r="H15" s="7"/>
      <c r="I15" s="7"/>
      <c r="J15" s="7"/>
      <c r="K15" s="7"/>
    </row>
    <row r="16" spans="1:11" ht="14" thickBot="1" x14ac:dyDescent="0.2">
      <c r="A16" s="70">
        <v>0</v>
      </c>
      <c r="B16" s="71">
        <f>$B$2</f>
        <v>0.06</v>
      </c>
      <c r="C16" s="72">
        <f t="shared" ca="1" si="0"/>
        <v>5.3999999999999999E-2</v>
      </c>
      <c r="D16" s="71">
        <f t="shared" ca="1" si="0"/>
        <v>4.8599999999999997E-2</v>
      </c>
      <c r="E16" s="71">
        <f t="shared" ca="1" si="0"/>
        <v>4.3740000000000001E-2</v>
      </c>
      <c r="F16" s="71">
        <f t="shared" ca="1" si="0"/>
        <v>3.9366000000000005E-2</v>
      </c>
      <c r="G16" s="73">
        <f t="shared" ca="1" si="0"/>
        <v>3.5429400000000007E-2</v>
      </c>
      <c r="H16" s="7"/>
      <c r="I16" s="7"/>
      <c r="J16" s="7"/>
      <c r="K16" s="7"/>
    </row>
    <row r="17" spans="1:17" x14ac:dyDescent="0.15">
      <c r="C17" s="7"/>
      <c r="D17" s="7"/>
      <c r="E17" s="7"/>
      <c r="F17" s="7"/>
      <c r="G17" s="7"/>
      <c r="H17" s="7"/>
      <c r="I17" s="7"/>
      <c r="J17" s="7"/>
      <c r="K17" s="7"/>
    </row>
    <row r="18" spans="1:17" ht="14" thickBot="1" x14ac:dyDescent="0.2">
      <c r="A18" s="1"/>
      <c r="J18" s="1"/>
    </row>
    <row r="19" spans="1:17" ht="14" thickBot="1" x14ac:dyDescent="0.2">
      <c r="A19" s="115" t="s">
        <v>39</v>
      </c>
      <c r="B19" s="116"/>
      <c r="C19" s="117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7"/>
      <c r="Q19" t="s">
        <v>7</v>
      </c>
    </row>
    <row r="20" spans="1:17" x14ac:dyDescent="0.15">
      <c r="A20" s="48"/>
      <c r="B20" s="50">
        <v>0</v>
      </c>
      <c r="C20" s="50">
        <v>1</v>
      </c>
      <c r="D20" s="50">
        <v>2</v>
      </c>
      <c r="E20" s="50">
        <v>3</v>
      </c>
      <c r="F20" s="50">
        <v>4</v>
      </c>
      <c r="G20" s="50"/>
      <c r="H20" s="50"/>
      <c r="I20" s="50"/>
      <c r="J20" s="50"/>
      <c r="K20" s="50"/>
      <c r="P20" s="24"/>
    </row>
    <row r="21" spans="1:17" x14ac:dyDescent="0.15">
      <c r="A21" s="48">
        <v>5</v>
      </c>
      <c r="B21" s="49" t="str">
        <f t="shared" ref="B21:E26" si="1">IF($A21 &lt;=B$20,($B$5*C20 + $B$6*C21)/(1+B11), "")</f>
        <v/>
      </c>
      <c r="C21" s="49" t="str">
        <f t="shared" si="1"/>
        <v/>
      </c>
      <c r="D21" s="49" t="str">
        <f t="shared" si="1"/>
        <v/>
      </c>
      <c r="E21" s="49" t="str">
        <f t="shared" si="1"/>
        <v/>
      </c>
      <c r="F21" s="49"/>
      <c r="G21" s="57"/>
      <c r="H21" s="57"/>
      <c r="I21" s="57"/>
      <c r="J21" s="50"/>
      <c r="K21" s="50"/>
      <c r="P21" s="24"/>
    </row>
    <row r="22" spans="1:17" x14ac:dyDescent="0.15">
      <c r="A22" s="48">
        <v>4</v>
      </c>
      <c r="B22" s="49" t="str">
        <f t="shared" si="1"/>
        <v/>
      </c>
      <c r="C22" s="49" t="str">
        <f t="shared" si="1"/>
        <v/>
      </c>
      <c r="D22" s="49" t="str">
        <f t="shared" si="1"/>
        <v/>
      </c>
      <c r="E22" s="49" t="str">
        <f t="shared" si="1"/>
        <v/>
      </c>
      <c r="F22" s="49">
        <v>100</v>
      </c>
      <c r="G22" s="57"/>
      <c r="H22" s="57"/>
      <c r="I22" s="57"/>
      <c r="J22" s="50"/>
      <c r="K22" s="50"/>
      <c r="P22" s="24"/>
    </row>
    <row r="23" spans="1:17" x14ac:dyDescent="0.15">
      <c r="A23" s="48">
        <v>3</v>
      </c>
      <c r="B23" s="49" t="str">
        <f t="shared" si="1"/>
        <v/>
      </c>
      <c r="C23" s="49" t="str">
        <f t="shared" si="1"/>
        <v/>
      </c>
      <c r="D23" s="49" t="str">
        <f t="shared" si="1"/>
        <v/>
      </c>
      <c r="E23" s="49">
        <f t="shared" ca="1" si="1"/>
        <v>89.510489510489506</v>
      </c>
      <c r="F23" s="49">
        <v>100</v>
      </c>
      <c r="G23" s="57"/>
      <c r="H23" s="57"/>
      <c r="I23" s="57"/>
      <c r="J23" s="50"/>
      <c r="K23" s="50"/>
      <c r="P23" s="24"/>
    </row>
    <row r="24" spans="1:17" x14ac:dyDescent="0.15">
      <c r="A24" s="48">
        <v>2</v>
      </c>
      <c r="B24" s="49" t="str">
        <f t="shared" si="1"/>
        <v/>
      </c>
      <c r="C24" s="49" t="str">
        <f t="shared" si="1"/>
        <v/>
      </c>
      <c r="D24" s="49">
        <f t="shared" ca="1" si="1"/>
        <v>83.076347283840079</v>
      </c>
      <c r="E24" s="49">
        <f t="shared" ca="1" si="1"/>
        <v>92.21902017291066</v>
      </c>
      <c r="F24" s="49">
        <v>100</v>
      </c>
      <c r="G24" s="57"/>
      <c r="H24" s="57"/>
      <c r="I24" s="57"/>
      <c r="J24" s="50"/>
      <c r="K24" s="50"/>
      <c r="P24" s="24"/>
    </row>
    <row r="25" spans="1:17" x14ac:dyDescent="0.15">
      <c r="A25" s="48">
        <v>1</v>
      </c>
      <c r="B25" s="49" t="str">
        <f t="shared" si="1"/>
        <v/>
      </c>
      <c r="C25" s="49">
        <f t="shared" ca="1" si="1"/>
        <v>79.268001029924179</v>
      </c>
      <c r="D25" s="49">
        <f t="shared" ca="1" si="1"/>
        <v>87.349854930496903</v>
      </c>
      <c r="E25" s="49">
        <f t="shared" ca="1" si="1"/>
        <v>94.272920103700201</v>
      </c>
      <c r="F25" s="49">
        <v>100</v>
      </c>
      <c r="G25" s="57"/>
      <c r="H25" s="57"/>
      <c r="I25" s="57"/>
      <c r="J25" s="50"/>
      <c r="K25" s="50"/>
      <c r="P25" s="24"/>
    </row>
    <row r="26" spans="1:17" x14ac:dyDescent="0.15">
      <c r="A26" s="48">
        <v>0</v>
      </c>
      <c r="B26" s="49">
        <f t="shared" ca="1" si="1"/>
        <v>77.217740328716005</v>
      </c>
      <c r="C26" s="49">
        <f t="shared" ca="1" si="1"/>
        <v>84.433608466953771</v>
      </c>
      <c r="D26" s="49">
        <f t="shared" ca="1" si="1"/>
        <v>90.636191717841641</v>
      </c>
      <c r="E26" s="23">
        <f t="shared" ca="1" si="1"/>
        <v>95.809301166957283</v>
      </c>
      <c r="F26" s="49">
        <v>100</v>
      </c>
      <c r="G26" s="57" t="s">
        <v>7</v>
      </c>
      <c r="H26" s="57"/>
      <c r="I26" s="57"/>
      <c r="J26" s="50"/>
      <c r="K26" s="50"/>
      <c r="P26" s="24"/>
    </row>
    <row r="27" spans="1:17" x14ac:dyDescent="0.15">
      <c r="A27" s="48"/>
      <c r="B27" s="57"/>
      <c r="C27" s="57"/>
      <c r="D27" s="57"/>
      <c r="E27" s="57"/>
      <c r="F27" s="57"/>
      <c r="G27" s="57"/>
      <c r="H27" s="57"/>
      <c r="I27" s="57"/>
      <c r="J27" s="50"/>
      <c r="K27" s="50"/>
      <c r="P27" s="24"/>
    </row>
    <row r="28" spans="1:17" ht="14" thickBot="1" x14ac:dyDescent="0.2">
      <c r="A28" s="48"/>
      <c r="B28" s="50"/>
      <c r="C28" s="5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</row>
    <row r="29" spans="1:17" ht="14" thickBot="1" x14ac:dyDescent="0.2">
      <c r="A29" s="110" t="s">
        <v>1</v>
      </c>
      <c r="B29" s="111"/>
      <c r="C29" s="57"/>
      <c r="D29" s="50"/>
      <c r="E29" s="50"/>
      <c r="F29" s="50"/>
      <c r="G29" s="50"/>
      <c r="H29" s="50"/>
      <c r="I29" s="50"/>
      <c r="J29" s="50"/>
      <c r="K29" s="110" t="s">
        <v>0</v>
      </c>
      <c r="L29" s="111"/>
      <c r="M29" s="50"/>
      <c r="N29" s="50"/>
      <c r="O29" s="50"/>
      <c r="P29" s="24"/>
    </row>
    <row r="30" spans="1:17" x14ac:dyDescent="0.15">
      <c r="A30" s="28" t="s">
        <v>33</v>
      </c>
      <c r="B30" s="31">
        <v>3</v>
      </c>
      <c r="C30" s="50"/>
      <c r="D30" s="50"/>
      <c r="E30" s="50"/>
      <c r="F30" s="50"/>
      <c r="G30" s="50"/>
      <c r="H30" s="50"/>
      <c r="I30" s="50"/>
      <c r="J30" s="50"/>
      <c r="K30" s="28" t="s">
        <v>33</v>
      </c>
      <c r="L30" s="31">
        <v>2</v>
      </c>
      <c r="M30" s="50"/>
      <c r="N30" s="50"/>
      <c r="O30" s="50"/>
      <c r="P30" s="24"/>
    </row>
    <row r="31" spans="1:17" x14ac:dyDescent="0.15">
      <c r="A31" s="29" t="s">
        <v>34</v>
      </c>
      <c r="B31" s="32">
        <v>88</v>
      </c>
      <c r="C31" s="50"/>
      <c r="D31" s="50"/>
      <c r="E31" s="50"/>
      <c r="F31" s="50"/>
      <c r="G31" s="50"/>
      <c r="H31" s="50"/>
      <c r="I31" s="50"/>
      <c r="J31" s="50"/>
      <c r="K31" s="29" t="s">
        <v>34</v>
      </c>
      <c r="L31" s="32">
        <v>84</v>
      </c>
      <c r="M31" s="50"/>
      <c r="N31" s="50"/>
      <c r="O31" s="50"/>
      <c r="P31" s="24"/>
    </row>
    <row r="32" spans="1:17" ht="14" thickBot="1" x14ac:dyDescent="0.2">
      <c r="A32" s="30" t="s">
        <v>8</v>
      </c>
      <c r="B32" s="33">
        <v>-1</v>
      </c>
      <c r="C32" s="50"/>
      <c r="D32" s="59"/>
      <c r="E32" s="50"/>
      <c r="F32" s="50"/>
      <c r="G32" s="50"/>
      <c r="H32" s="50"/>
      <c r="I32" s="50"/>
      <c r="J32" s="50"/>
      <c r="K32" s="30" t="s">
        <v>8</v>
      </c>
      <c r="L32" s="33">
        <v>1</v>
      </c>
      <c r="M32" s="50"/>
      <c r="N32" s="50"/>
      <c r="O32" s="50"/>
      <c r="P32" s="24"/>
    </row>
    <row r="33" spans="1:16" x14ac:dyDescent="0.15">
      <c r="A33" s="48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24"/>
    </row>
    <row r="34" spans="1:16" x14ac:dyDescent="0.15">
      <c r="A34" s="48"/>
      <c r="B34" s="50">
        <v>0</v>
      </c>
      <c r="C34" s="50">
        <v>1</v>
      </c>
      <c r="D34" s="50">
        <v>2</v>
      </c>
      <c r="E34" s="50">
        <v>3</v>
      </c>
      <c r="F34" s="50"/>
      <c r="G34" s="50"/>
      <c r="H34" s="50"/>
      <c r="I34" s="50"/>
      <c r="J34" s="50"/>
      <c r="K34" s="58"/>
      <c r="L34" s="58">
        <v>0</v>
      </c>
      <c r="M34" s="58">
        <v>1</v>
      </c>
      <c r="N34" s="58">
        <v>2</v>
      </c>
      <c r="O34" s="50"/>
      <c r="P34" s="24"/>
    </row>
    <row r="35" spans="1:16" x14ac:dyDescent="0.15">
      <c r="A35" s="48">
        <v>3</v>
      </c>
      <c r="B35" s="49" t="str">
        <f t="shared" ref="B35:D38" si="2">IF($A35 &lt;=B$34, MAX($B$32*(B23-$B$31), ( $B$5*C34 + $B$6*C35   )/(1+B13 )),"")</f>
        <v/>
      </c>
      <c r="C35" s="49" t="str">
        <f t="shared" si="2"/>
        <v/>
      </c>
      <c r="D35" s="49" t="str">
        <f t="shared" si="2"/>
        <v/>
      </c>
      <c r="E35" s="49">
        <f ca="1">MAX(0, $B$32*(E23-$B$31))</f>
        <v>0</v>
      </c>
      <c r="F35" s="50"/>
      <c r="G35" s="50"/>
      <c r="H35" s="50"/>
      <c r="I35" s="50"/>
      <c r="J35" s="50"/>
      <c r="K35" s="58">
        <v>2</v>
      </c>
      <c r="L35" s="49" t="str">
        <f t="shared" ref="L35:M37" si="3">IF($A24 &lt;= L$34, ($B$5*M34 + $B$6*M35  )/(1+B14),"")</f>
        <v/>
      </c>
      <c r="M35" s="49" t="str">
        <f t="shared" si="3"/>
        <v/>
      </c>
      <c r="N35" s="49">
        <f ca="1">MAX(0,$L$32*(D24-$L$31))</f>
        <v>0</v>
      </c>
      <c r="O35" s="50"/>
      <c r="P35" s="24"/>
    </row>
    <row r="36" spans="1:16" x14ac:dyDescent="0.15">
      <c r="A36" s="48">
        <v>2</v>
      </c>
      <c r="B36" s="49" t="str">
        <f t="shared" si="2"/>
        <v/>
      </c>
      <c r="C36" s="49" t="str">
        <f t="shared" si="2"/>
        <v/>
      </c>
      <c r="D36" s="49">
        <f t="shared" ca="1" si="2"/>
        <v>4.9236527161599213</v>
      </c>
      <c r="E36" s="49">
        <f ca="1">MAX(0, $B$32*(E24-$B$31))</f>
        <v>0</v>
      </c>
      <c r="F36" s="50"/>
      <c r="G36" s="50"/>
      <c r="H36" s="50"/>
      <c r="I36" s="50"/>
      <c r="J36" s="50"/>
      <c r="K36" s="58">
        <v>1</v>
      </c>
      <c r="L36" s="49" t="str">
        <f t="shared" si="3"/>
        <v/>
      </c>
      <c r="M36" s="49">
        <f t="shared" ca="1" si="3"/>
        <v>1.5580720606962342</v>
      </c>
      <c r="N36" s="49">
        <f ca="1">MAX(0,$L$32*(D25-$L$31))</f>
        <v>3.3498549304969032</v>
      </c>
      <c r="O36" s="50"/>
      <c r="P36" s="24"/>
    </row>
    <row r="37" spans="1:16" x14ac:dyDescent="0.15">
      <c r="A37" s="48">
        <v>1</v>
      </c>
      <c r="B37" s="49" t="str">
        <f t="shared" si="2"/>
        <v/>
      </c>
      <c r="C37" s="49">
        <f t="shared" ca="1" si="2"/>
        <v>8.7319989700758214</v>
      </c>
      <c r="D37" s="49">
        <f t="shared" ca="1" si="2"/>
        <v>0.65014506950309681</v>
      </c>
      <c r="E37" s="49">
        <f ca="1">MAX(0, $B$32*(E25-$B$31))</f>
        <v>0</v>
      </c>
      <c r="F37" s="50"/>
      <c r="G37" s="50"/>
      <c r="H37" s="50"/>
      <c r="I37" s="50"/>
      <c r="J37" s="50"/>
      <c r="K37" s="58">
        <v>0</v>
      </c>
      <c r="L37" s="49">
        <f t="shared" ca="1" si="3"/>
        <v>2.9694744531806512</v>
      </c>
      <c r="M37" s="23">
        <f t="shared" ca="1" si="3"/>
        <v>4.7372137800467469</v>
      </c>
      <c r="N37" s="49">
        <f ca="1">MAX(0,$L$32*(D26-$L$31))</f>
        <v>6.6361917178416405</v>
      </c>
      <c r="O37" s="50"/>
      <c r="P37" s="24"/>
    </row>
    <row r="38" spans="1:16" ht="14" thickBot="1" x14ac:dyDescent="0.2">
      <c r="A38" s="53">
        <v>0</v>
      </c>
      <c r="B38" s="55">
        <f t="shared" ca="1" si="2"/>
        <v>10.782259671283995</v>
      </c>
      <c r="C38" s="55">
        <f t="shared" ca="1" si="2"/>
        <v>3.5663915330462288</v>
      </c>
      <c r="D38" s="54">
        <f t="shared" ca="1" si="2"/>
        <v>0</v>
      </c>
      <c r="E38" s="55">
        <f ca="1">MAX(0, $B$32*(E26-$B$31))</f>
        <v>0</v>
      </c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60"/>
    </row>
    <row r="39" spans="1:16" x14ac:dyDescent="0.15">
      <c r="B39" s="5"/>
      <c r="C39" s="5"/>
      <c r="D39" s="2"/>
      <c r="E39" s="5"/>
    </row>
    <row r="40" spans="1:16" x14ac:dyDescent="0.15">
      <c r="B40" s="5"/>
      <c r="C40" s="5"/>
      <c r="D40" s="2"/>
      <c r="E40" s="5"/>
    </row>
    <row r="43" spans="1:16" x14ac:dyDescent="0.15">
      <c r="B43" s="6" t="s">
        <v>7</v>
      </c>
      <c r="C43" s="3"/>
      <c r="D43" s="6"/>
      <c r="E43" s="6"/>
      <c r="F43" s="6"/>
      <c r="G43" s="6"/>
    </row>
    <row r="46" spans="1:16" x14ac:dyDescent="0.15">
      <c r="A46" s="1"/>
    </row>
  </sheetData>
  <mergeCells count="5">
    <mergeCell ref="K29:L29"/>
    <mergeCell ref="A1:B1"/>
    <mergeCell ref="A9:B9"/>
    <mergeCell ref="A19:C19"/>
    <mergeCell ref="A29:B29"/>
  </mergeCells>
  <phoneticPr fontId="4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T61"/>
  <sheetViews>
    <sheetView showGridLines="0" tabSelected="1" topLeftCell="A32" zoomScaleNormal="100" zoomScalePageLayoutView="160" workbookViewId="0">
      <selection activeCell="S47" sqref="S47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7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20" ht="14" thickBot="1" x14ac:dyDescent="0.2">
      <c r="A1" s="112" t="s">
        <v>35</v>
      </c>
      <c r="B1" s="111"/>
      <c r="E1" s="1"/>
    </row>
    <row r="2" spans="1:20" x14ac:dyDescent="0.15">
      <c r="A2" s="25" t="s">
        <v>2</v>
      </c>
      <c r="B2" s="38">
        <v>0.05</v>
      </c>
    </row>
    <row r="3" spans="1:20" x14ac:dyDescent="0.15">
      <c r="A3" s="26" t="s">
        <v>3</v>
      </c>
      <c r="B3" s="34">
        <v>1.1000000000000001</v>
      </c>
    </row>
    <row r="4" spans="1:20" x14ac:dyDescent="0.15">
      <c r="A4" s="26" t="s">
        <v>4</v>
      </c>
      <c r="B4" s="35">
        <v>0.9</v>
      </c>
    </row>
    <row r="5" spans="1:20" x14ac:dyDescent="0.15">
      <c r="A5" s="26" t="s">
        <v>5</v>
      </c>
      <c r="B5" s="36">
        <v>0.5</v>
      </c>
      <c r="F5" s="1"/>
    </row>
    <row r="6" spans="1:20" ht="14" thickBot="1" x14ac:dyDescent="0.2">
      <c r="A6" s="27" t="s">
        <v>6</v>
      </c>
      <c r="B6" s="37">
        <f>1-B5</f>
        <v>0.5</v>
      </c>
    </row>
    <row r="7" spans="1:20" x14ac:dyDescent="0.15">
      <c r="C7" s="7"/>
      <c r="D7" s="7"/>
      <c r="E7" s="7"/>
      <c r="F7" s="7"/>
      <c r="G7" s="7"/>
      <c r="H7" s="7"/>
      <c r="I7" s="7"/>
      <c r="J7" s="7"/>
      <c r="K7" s="7"/>
    </row>
    <row r="8" spans="1:20" x14ac:dyDescent="0.15">
      <c r="A8" s="10"/>
      <c r="B8" s="10"/>
      <c r="C8" s="10"/>
      <c r="D8" s="10"/>
      <c r="E8" s="10"/>
      <c r="F8" s="10"/>
      <c r="G8" s="10"/>
    </row>
    <row r="9" spans="1:20" x14ac:dyDescent="0.15">
      <c r="A9" s="139" t="s">
        <v>32</v>
      </c>
      <c r="B9" s="139"/>
      <c r="C9" s="140"/>
      <c r="D9" s="140"/>
      <c r="E9" s="140"/>
      <c r="F9" s="140"/>
      <c r="G9" s="140"/>
      <c r="H9" s="50"/>
      <c r="I9" s="50"/>
      <c r="J9" s="50"/>
      <c r="K9" s="50"/>
      <c r="M9" s="143" t="s">
        <v>48</v>
      </c>
      <c r="N9" s="138"/>
      <c r="O9" s="138"/>
      <c r="P9" s="50"/>
      <c r="Q9" s="50"/>
      <c r="R9" s="50"/>
      <c r="S9" s="50"/>
    </row>
    <row r="10" spans="1:20" x14ac:dyDescent="0.15">
      <c r="A10" s="140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144">
        <v>6</v>
      </c>
      <c r="I10" s="144">
        <v>7</v>
      </c>
      <c r="J10" s="144">
        <v>8</v>
      </c>
      <c r="K10" s="144">
        <v>9</v>
      </c>
      <c r="L10" s="144">
        <v>10</v>
      </c>
      <c r="M10" s="50"/>
      <c r="N10" s="50">
        <v>0</v>
      </c>
      <c r="O10" s="50">
        <v>1</v>
      </c>
      <c r="P10" s="50">
        <v>2</v>
      </c>
      <c r="Q10" s="50">
        <v>3</v>
      </c>
      <c r="R10" s="50">
        <v>4</v>
      </c>
      <c r="S10" s="142">
        <v>5</v>
      </c>
      <c r="T10" s="142">
        <v>6</v>
      </c>
    </row>
    <row r="11" spans="1:20" x14ac:dyDescent="0.15">
      <c r="A11" s="141">
        <v>10</v>
      </c>
      <c r="B11" s="64"/>
      <c r="C11" s="64"/>
      <c r="D11" s="64"/>
      <c r="E11" s="64"/>
      <c r="F11" s="64"/>
      <c r="G11" s="64"/>
      <c r="H11" s="144"/>
      <c r="I11" s="144"/>
      <c r="J11" s="144"/>
      <c r="K11" s="144"/>
      <c r="L11" s="68">
        <f t="shared" ref="L11:L21" ca="1" si="0">IF($A11 &lt; L$10, $B$4*OFFSET(L11,0,-1),IF($A11=L$10,$B$3*OFFSET(L11,1,-1),""))</f>
        <v>0.12968712300500007</v>
      </c>
      <c r="M11" s="50"/>
      <c r="N11" s="50"/>
      <c r="O11" s="50"/>
      <c r="P11" s="50"/>
      <c r="Q11" s="50"/>
      <c r="R11" s="50"/>
      <c r="S11" s="142"/>
      <c r="T11" s="142"/>
    </row>
    <row r="12" spans="1:20" x14ac:dyDescent="0.15">
      <c r="A12" s="141">
        <v>9</v>
      </c>
      <c r="B12" s="64"/>
      <c r="C12" s="64"/>
      <c r="D12" s="64"/>
      <c r="E12" s="64"/>
      <c r="F12" s="64"/>
      <c r="G12" s="64"/>
      <c r="H12" s="144"/>
      <c r="I12" s="144"/>
      <c r="J12" s="144"/>
      <c r="K12" s="68">
        <f t="shared" ref="K12:K21" ca="1" si="1">IF($A12 &lt; K$10, $B$4*OFFSET(K12,0,-1),IF($A12=K$10,$B$3*OFFSET(K12,1,-1),""))</f>
        <v>0.11789738455000007</v>
      </c>
      <c r="L12" s="68">
        <f t="shared" ca="1" si="0"/>
        <v>0.10610764609500006</v>
      </c>
      <c r="M12" s="50"/>
      <c r="N12" s="50"/>
      <c r="O12" s="50"/>
      <c r="P12" s="50"/>
      <c r="Q12" s="50"/>
      <c r="R12" s="50"/>
      <c r="S12" s="142"/>
      <c r="T12" s="142"/>
    </row>
    <row r="13" spans="1:20" x14ac:dyDescent="0.15">
      <c r="A13" s="141">
        <v>8</v>
      </c>
      <c r="B13" s="64"/>
      <c r="C13" s="64"/>
      <c r="D13" s="64"/>
      <c r="E13" s="64"/>
      <c r="F13" s="64"/>
      <c r="G13" s="64"/>
      <c r="H13" s="144"/>
      <c r="I13" s="144"/>
      <c r="J13" s="68">
        <f t="shared" ref="J13:J21" ca="1" si="2">IF($A13 &lt; J$10, $B$4*OFFSET(J13,0,-1),IF($A13=J$10,$B$3*OFFSET(J13,1,-1),""))</f>
        <v>0.10717944050000006</v>
      </c>
      <c r="K13" s="68">
        <f t="shared" ca="1" si="1"/>
        <v>9.6461496450000059E-2</v>
      </c>
      <c r="L13" s="68">
        <f t="shared" ca="1" si="0"/>
        <v>8.6815346805000054E-2</v>
      </c>
      <c r="M13" s="50"/>
      <c r="N13" s="50"/>
      <c r="O13" s="50"/>
      <c r="P13" s="50"/>
      <c r="Q13" s="50"/>
      <c r="R13" s="50"/>
      <c r="S13" s="142"/>
      <c r="T13" s="142"/>
    </row>
    <row r="14" spans="1:20" x14ac:dyDescent="0.15">
      <c r="A14" s="64">
        <v>7</v>
      </c>
      <c r="B14" s="64"/>
      <c r="C14" s="64"/>
      <c r="D14" s="64"/>
      <c r="E14" s="64"/>
      <c r="F14" s="64"/>
      <c r="G14" s="64"/>
      <c r="H14" s="144"/>
      <c r="I14" s="68">
        <f t="shared" ref="I14:I21" ca="1" si="3">IF($A14 &lt; I$10, $B$4*OFFSET(I14,0,-1),IF($A14=I$10,$B$3*OFFSET(I14,1,-1),""))</f>
        <v>9.7435855000000043E-2</v>
      </c>
      <c r="J14" s="68">
        <f t="shared" ca="1" si="2"/>
        <v>8.7692269500000045E-2</v>
      </c>
      <c r="K14" s="68">
        <f t="shared" ca="1" si="1"/>
        <v>7.8923042550000044E-2</v>
      </c>
      <c r="L14" s="68">
        <f t="shared" ca="1" si="0"/>
        <v>7.1030738295000048E-2</v>
      </c>
      <c r="M14" s="50"/>
      <c r="N14" s="50"/>
      <c r="O14" s="50"/>
      <c r="P14" s="50"/>
      <c r="Q14" s="50"/>
      <c r="R14" s="50"/>
      <c r="S14" s="142"/>
      <c r="T14" s="142"/>
    </row>
    <row r="15" spans="1:20" x14ac:dyDescent="0.15">
      <c r="A15" s="64">
        <v>6</v>
      </c>
      <c r="B15" s="64"/>
      <c r="C15" s="64"/>
      <c r="D15" s="64"/>
      <c r="E15" s="64"/>
      <c r="F15" s="64"/>
      <c r="G15" s="64"/>
      <c r="H15" s="68">
        <f ca="1">IF($A15 &lt; H$10, $B$4*OFFSET(H15,0,-1),IF($A15=H$10,$B$3*OFFSET(H15,1,-1),""))</f>
        <v>8.8578050000000033E-2</v>
      </c>
      <c r="I15" s="68">
        <f t="shared" ca="1" si="3"/>
        <v>7.9720245000000037E-2</v>
      </c>
      <c r="J15" s="68">
        <f t="shared" ca="1" si="2"/>
        <v>7.1748220500000029E-2</v>
      </c>
      <c r="K15" s="68">
        <f t="shared" ca="1" si="1"/>
        <v>6.4573398450000027E-2</v>
      </c>
      <c r="L15" s="68">
        <f t="shared" ca="1" si="0"/>
        <v>5.8116058605000027E-2</v>
      </c>
      <c r="M15" s="141">
        <v>6</v>
      </c>
      <c r="N15" s="50"/>
      <c r="O15" s="50"/>
      <c r="P15" s="50"/>
      <c r="Q15" s="50"/>
      <c r="R15" s="50"/>
      <c r="S15" s="50"/>
      <c r="T15" s="49">
        <v>100</v>
      </c>
    </row>
    <row r="16" spans="1:20" x14ac:dyDescent="0.15">
      <c r="A16" s="64">
        <v>5</v>
      </c>
      <c r="B16" s="67"/>
      <c r="C16" s="68" t="str">
        <f ca="1">IF($A16 &lt; C$10, $B$4*OFFSET(C16,0,-1),IF($A16=C$10,$B$3*OFFSET(C16,1,-1),""))</f>
        <v/>
      </c>
      <c r="D16" s="68" t="str">
        <f ca="1">IF($A16 &lt; D$10, $B$4*OFFSET(D16,0,-1),IF($A16=D$10,$B$3*OFFSET(D16,1,-1),""))</f>
        <v/>
      </c>
      <c r="E16" s="68" t="str">
        <f ca="1">IF($A16 &lt; E$10, $B$4*OFFSET(E16,0,-1),IF($A16=E$10,$B$3*OFFSET(E16,1,-1),""))</f>
        <v/>
      </c>
      <c r="F16" s="68" t="str">
        <f ca="1">IF($A16 &lt; F$10, $B$4*OFFSET(F16,0,-1),IF($A16=F$10,$B$3*OFFSET(F16,1,-1),""))</f>
        <v/>
      </c>
      <c r="G16" s="68">
        <f ca="1">IF($A16 &lt; G$10, $B$4*OFFSET(G16,0,-1),IF($A16=G$10,$B$3*OFFSET(G16,1,-1),""))</f>
        <v>8.0525500000000028E-2</v>
      </c>
      <c r="H16" s="68">
        <f ca="1">IF($A16 &lt; H$10, $B$4*OFFSET(H16,0,-1),IF($A16=H$10,$B$3*OFFSET(H16,1,-1),""))</f>
        <v>7.2472950000000022E-2</v>
      </c>
      <c r="I16" s="68">
        <f t="shared" ca="1" si="3"/>
        <v>6.5225655000000021E-2</v>
      </c>
      <c r="J16" s="68">
        <f t="shared" ca="1" si="2"/>
        <v>5.8703089500000021E-2</v>
      </c>
      <c r="K16" s="68">
        <f t="shared" ca="1" si="1"/>
        <v>5.2832780550000021E-2</v>
      </c>
      <c r="L16" s="68">
        <f t="shared" ca="1" si="0"/>
        <v>4.7549502495000021E-2</v>
      </c>
      <c r="M16" s="50">
        <v>5</v>
      </c>
      <c r="N16" s="49" t="str">
        <f>IF($M16 &lt;=N$10,($B$5*O10 + $B$6*O16)/(1+B16), "")</f>
        <v/>
      </c>
      <c r="O16" s="49" t="str">
        <f>IF($M16 &lt;=O$10,($B$5*P10 + $B$6*P16)/(1+C16), "")</f>
        <v/>
      </c>
      <c r="P16" s="49" t="str">
        <f>IF($M16 &lt;=P$10,($B$5*Q10 + $B$6*Q16)/(1+D16), "")</f>
        <v/>
      </c>
      <c r="Q16" s="49" t="str">
        <f>IF($M16 &lt;=Q$10,($B$5*R10 + $B$6*R16)/(1+E16), "")</f>
        <v/>
      </c>
      <c r="R16" s="49"/>
      <c r="S16" s="22">
        <f ca="1">IF($M16 &lt;=S$10,($B$5*T15 + $B$6*T16)/(1+G16), "")</f>
        <v>92.547561348621571</v>
      </c>
      <c r="T16" s="49">
        <v>100</v>
      </c>
    </row>
    <row r="17" spans="1:20" x14ac:dyDescent="0.15">
      <c r="A17" s="64">
        <v>4</v>
      </c>
      <c r="B17" s="68"/>
      <c r="C17" s="68" t="str">
        <f ca="1">IF($A17 &lt; C$10, $B$4*OFFSET(C17,0,-1),IF($A17=C$10,$B$3*OFFSET(C17,1,-1),""))</f>
        <v/>
      </c>
      <c r="D17" s="68" t="str">
        <f ca="1">IF($A17 &lt; D$10, $B$4*OFFSET(D17,0,-1),IF($A17=D$10,$B$3*OFFSET(D17,1,-1),""))</f>
        <v/>
      </c>
      <c r="E17" s="68" t="str">
        <f ca="1">IF($A17 &lt; E$10, $B$4*OFFSET(E17,0,-1),IF($A17=E$10,$B$3*OFFSET(E17,1,-1),""))</f>
        <v/>
      </c>
      <c r="F17" s="68">
        <f ca="1">IF($A17 &lt; F$10, $B$4*OFFSET(F17,0,-1),IF($A17=F$10,$B$3*OFFSET(F17,1,-1),""))</f>
        <v>7.320500000000002E-2</v>
      </c>
      <c r="G17" s="68">
        <f ca="1">IF($A17 &lt; G$10, $B$4*OFFSET(G17,0,-1),IF($A17=G$10,$B$3*OFFSET(G17,1,-1),""))</f>
        <v>6.5884500000000026E-2</v>
      </c>
      <c r="H17" s="68">
        <f ca="1">IF($A17 &lt; H$10, $B$4*OFFSET(H17,0,-1),IF($A17=H$10,$B$3*OFFSET(H17,1,-1),""))</f>
        <v>5.9296050000000024E-2</v>
      </c>
      <c r="I17" s="68">
        <f t="shared" ca="1" si="3"/>
        <v>5.3366445000000019E-2</v>
      </c>
      <c r="J17" s="68">
        <f t="shared" ca="1" si="2"/>
        <v>4.8029800500000018E-2</v>
      </c>
      <c r="K17" s="68">
        <f t="shared" ca="1" si="1"/>
        <v>4.3226820450000016E-2</v>
      </c>
      <c r="L17" s="68">
        <f t="shared" ca="1" si="0"/>
        <v>3.8904138405000017E-2</v>
      </c>
      <c r="M17" s="50">
        <v>4</v>
      </c>
      <c r="N17" s="49" t="str">
        <f>IF($M17 &lt;=N$10,($B$5*O16 + $B$6*O17)/(1+B17), "")</f>
        <v/>
      </c>
      <c r="O17" s="49" t="str">
        <f>IF($M17 &lt;=O$10,($B$5*P16 + $B$6*P17)/(1+C17), "")</f>
        <v/>
      </c>
      <c r="P17" s="49" t="str">
        <f>IF($M17 &lt;=P$10,($B$5*Q16 + $B$6*Q17)/(1+D17), "")</f>
        <v/>
      </c>
      <c r="Q17" s="49" t="str">
        <f>IF($M17 &lt;=Q$10,($B$5*R16 + $B$6*T15)/(1+E17), "")</f>
        <v/>
      </c>
      <c r="R17" s="49">
        <v>100</v>
      </c>
      <c r="S17" s="22">
        <f ca="1">IF($M17 &lt;=S$10,($B$5*T16 + $B$6*T17)/(1+G17), "")</f>
        <v>93.818795563684418</v>
      </c>
      <c r="T17" s="49">
        <v>100</v>
      </c>
    </row>
    <row r="18" spans="1:20" x14ac:dyDescent="0.15">
      <c r="A18" s="64">
        <v>3</v>
      </c>
      <c r="B18" s="68"/>
      <c r="C18" s="68" t="str">
        <f ca="1">IF($A18 &lt; C$10, $B$4*OFFSET(C18,0,-1),IF($A18=C$10,$B$3*OFFSET(C18,1,-1),""))</f>
        <v/>
      </c>
      <c r="D18" s="68" t="str">
        <f ca="1">IF($A18 &lt; D$10, $B$4*OFFSET(D18,0,-1),IF($A18=D$10,$B$3*OFFSET(D18,1,-1),""))</f>
        <v/>
      </c>
      <c r="E18" s="68">
        <f ca="1">IF($A18 &lt; E$10, $B$4*OFFSET(E18,0,-1),IF($A18=E$10,$B$3*OFFSET(E18,1,-1),""))</f>
        <v>6.6550000000000012E-2</v>
      </c>
      <c r="F18" s="68">
        <f ca="1">IF($A18 &lt; F$10, $B$4*OFFSET(F18,0,-1),IF($A18=F$10,$B$3*OFFSET(F18,1,-1),""))</f>
        <v>5.9895000000000011E-2</v>
      </c>
      <c r="G18" s="68">
        <f ca="1">IF($A18 &lt; G$10, $B$4*OFFSET(G18,0,-1),IF($A18=G$10,$B$3*OFFSET(G18,1,-1),""))</f>
        <v>5.3905500000000009E-2</v>
      </c>
      <c r="H18" s="68">
        <f ca="1">IF($A18 &lt; H$10, $B$4*OFFSET(H18,0,-1),IF($A18=H$10,$B$3*OFFSET(H18,1,-1),""))</f>
        <v>4.8514950000000008E-2</v>
      </c>
      <c r="I18" s="68">
        <f t="shared" ca="1" si="3"/>
        <v>4.3663455000000011E-2</v>
      </c>
      <c r="J18" s="68">
        <f t="shared" ca="1" si="2"/>
        <v>3.929710950000001E-2</v>
      </c>
      <c r="K18" s="68">
        <f t="shared" ca="1" si="1"/>
        <v>3.5367398550000012E-2</v>
      </c>
      <c r="L18" s="68">
        <f t="shared" ca="1" si="0"/>
        <v>3.1830658695000014E-2</v>
      </c>
      <c r="M18" s="50">
        <v>3</v>
      </c>
      <c r="N18" s="49" t="str">
        <f>IF($M18 &lt;=N$10,($B$5*O17 + $B$6*O18)/(1+B18), "")</f>
        <v/>
      </c>
      <c r="O18" s="49" t="str">
        <f>IF($M18 &lt;=O$10,($B$5*P17 + $B$6*P18)/(1+C18), "")</f>
        <v/>
      </c>
      <c r="P18" s="49" t="str">
        <f>IF($M18 &lt;=P$10,($B$5*Q17 + $B$6*Q18)/(1+D18), "")</f>
        <v/>
      </c>
      <c r="Q18" s="49">
        <f ca="1">IF($M18 &lt;=Q$10,($B$5*R17 + $B$6*R18)/(1+E18), "")</f>
        <v>93.760255027893663</v>
      </c>
      <c r="R18" s="49">
        <v>100</v>
      </c>
      <c r="S18" s="22">
        <f ca="1">IF($M18 &lt;=S$10,($B$5*T17 + $B$6*T18)/(1+G18), "")</f>
        <v>94.885167598043665</v>
      </c>
      <c r="T18" s="49">
        <v>100</v>
      </c>
    </row>
    <row r="19" spans="1:20" x14ac:dyDescent="0.15">
      <c r="A19" s="64">
        <v>2</v>
      </c>
      <c r="B19" s="68"/>
      <c r="C19" s="68" t="str">
        <f ca="1">IF($A19 &lt; C$10, $B$4*OFFSET(C19,0,-1),IF($A19=C$10,$B$3*OFFSET(C19,1,-1),""))</f>
        <v/>
      </c>
      <c r="D19" s="68">
        <f ca="1">IF($A19 &lt; D$10, $B$4*OFFSET(D19,0,-1),IF($A19=D$10,$B$3*OFFSET(D19,1,-1),""))</f>
        <v>6.0500000000000012E-2</v>
      </c>
      <c r="E19" s="68">
        <f ca="1">IF($A19 &lt; E$10, $B$4*OFFSET(E19,0,-1),IF($A19=E$10,$B$3*OFFSET(E19,1,-1),""))</f>
        <v>5.4450000000000012E-2</v>
      </c>
      <c r="F19" s="68">
        <f ca="1">IF($A19 &lt; F$10, $B$4*OFFSET(F19,0,-1),IF($A19=F$10,$B$3*OFFSET(F19,1,-1),""))</f>
        <v>4.9005000000000014E-2</v>
      </c>
      <c r="G19" s="68">
        <f ca="1">IF($A19 &lt; G$10, $B$4*OFFSET(G19,0,-1),IF($A19=G$10,$B$3*OFFSET(G19,1,-1),""))</f>
        <v>4.4104500000000012E-2</v>
      </c>
      <c r="H19" s="68">
        <f ca="1">IF($A19 &lt; H$10, $B$4*OFFSET(H19,0,-1),IF($A19=H$10,$B$3*OFFSET(H19,1,-1),""))</f>
        <v>3.9694050000000008E-2</v>
      </c>
      <c r="I19" s="68">
        <f t="shared" ca="1" si="3"/>
        <v>3.5724645000000006E-2</v>
      </c>
      <c r="J19" s="68">
        <f t="shared" ca="1" si="2"/>
        <v>3.2152180500000009E-2</v>
      </c>
      <c r="K19" s="68">
        <f t="shared" ca="1" si="1"/>
        <v>2.893696245000001E-2</v>
      </c>
      <c r="L19" s="68">
        <f t="shared" ca="1" si="0"/>
        <v>2.6043266205000009E-2</v>
      </c>
      <c r="M19" s="50">
        <v>2</v>
      </c>
      <c r="N19" s="49" t="str">
        <f>IF($M19 &lt;=N$10,($B$5*O18 + $B$6*O19)/(1+B19), "")</f>
        <v/>
      </c>
      <c r="O19" s="49" t="str">
        <f>IF($M19 &lt;=O$10,($B$5*P18 + $B$6*P19)/(1+C19), "")</f>
        <v/>
      </c>
      <c r="P19" s="49">
        <f ca="1">IF($M19 &lt;=P$10,($B$5*Q18 + $B$6*Q19)/(1+D19), "")</f>
        <v>88.918635333959557</v>
      </c>
      <c r="Q19" s="49">
        <f ca="1">IF($M19 &lt;=Q$10,($B$5*R18 + $B$6*R19)/(1+E19), "")</f>
        <v>94.836170515434574</v>
      </c>
      <c r="R19" s="49">
        <v>100</v>
      </c>
      <c r="S19" s="22">
        <f ca="1">IF($M19 &lt;=S$10,($B$5*T18 + $B$6*T19)/(1+G19), "")</f>
        <v>95.775853853709094</v>
      </c>
      <c r="T19" s="49">
        <v>100</v>
      </c>
    </row>
    <row r="20" spans="1:20" x14ac:dyDescent="0.15">
      <c r="A20" s="64">
        <v>1</v>
      </c>
      <c r="B20" s="68"/>
      <c r="C20" s="68">
        <f ca="1">IF($A20 &lt; C$10, $B$4*OFFSET(C20,0,-1),IF($A20=C$10,$B$3*OFFSET(C20,1,-1),""))</f>
        <v>5.5000000000000007E-2</v>
      </c>
      <c r="D20" s="68">
        <f ca="1">IF($A20 &lt; D$10, $B$4*OFFSET(D20,0,-1),IF($A20=D$10,$B$3*OFFSET(D20,1,-1),""))</f>
        <v>4.9500000000000009E-2</v>
      </c>
      <c r="E20" s="68">
        <f ca="1">IF($A20 &lt; E$10, $B$4*OFFSET(E20,0,-1),IF($A20=E$10,$B$3*OFFSET(E20,1,-1),""))</f>
        <v>4.4550000000000006E-2</v>
      </c>
      <c r="F20" s="68">
        <f ca="1">IF($A20 &lt; F$10, $B$4*OFFSET(F20,0,-1),IF($A20=F$10,$B$3*OFFSET(F20,1,-1),""))</f>
        <v>4.0095000000000006E-2</v>
      </c>
      <c r="G20" s="68">
        <f ca="1">IF($A20 &lt; G$10, $B$4*OFFSET(G20,0,-1),IF($A20=G$10,$B$3*OFFSET(G20,1,-1),""))</f>
        <v>3.6085500000000006E-2</v>
      </c>
      <c r="H20" s="68">
        <f ca="1">IF($A20 &lt; H$10, $B$4*OFFSET(H20,0,-1),IF($A20=H$10,$B$3*OFFSET(H20,1,-1),""))</f>
        <v>3.2476950000000004E-2</v>
      </c>
      <c r="I20" s="68">
        <f t="shared" ca="1" si="3"/>
        <v>2.9229255000000006E-2</v>
      </c>
      <c r="J20" s="68">
        <f t="shared" ca="1" si="2"/>
        <v>2.6306329500000006E-2</v>
      </c>
      <c r="K20" s="68">
        <f t="shared" ca="1" si="1"/>
        <v>2.3675696550000007E-2</v>
      </c>
      <c r="L20" s="68">
        <f t="shared" ca="1" si="0"/>
        <v>2.1308126895000008E-2</v>
      </c>
      <c r="M20" s="50">
        <v>1</v>
      </c>
      <c r="N20" s="49" t="str">
        <f>IF($M20 &lt;=N$10,($B$5*O19 + $B$6*O20)/(1+B20), "")</f>
        <v/>
      </c>
      <c r="O20" s="49">
        <f ca="1">IF($M20 &lt;=O$10,($B$5*P19 + $B$6*P20)/(1+C20), "")</f>
        <v>85.170639050908576</v>
      </c>
      <c r="P20" s="49">
        <f ca="1">IF($M20 &lt;=P$10,($B$5*Q19 + $B$6*Q20)/(1+D20), "")</f>
        <v>90.79141306345754</v>
      </c>
      <c r="Q20" s="49">
        <f ca="1">IF($M20 &lt;=Q$10,($B$5*R19 + $B$6*R20)/(1+E20), "")</f>
        <v>95.73500550476281</v>
      </c>
      <c r="R20" s="49">
        <v>100</v>
      </c>
      <c r="S20" s="22">
        <f ca="1">IF($M20 &lt;=S$10,($B$5*T19 + $B$6*T20)/(1+G20), "")</f>
        <v>96.517131066885895</v>
      </c>
      <c r="T20" s="49">
        <v>100</v>
      </c>
    </row>
    <row r="21" spans="1:20" x14ac:dyDescent="0.15">
      <c r="A21" s="64">
        <v>0</v>
      </c>
      <c r="B21" s="68">
        <f>$B$2</f>
        <v>0.05</v>
      </c>
      <c r="C21" s="67">
        <f ca="1">IF($A21 &lt; C$10, $B$4*OFFSET(C21,0,-1),IF($A21=C$10,$B$3*OFFSET(C21,1,-1),""))</f>
        <v>4.5000000000000005E-2</v>
      </c>
      <c r="D21" s="68">
        <f ca="1">IF($A21 &lt; D$10, $B$4*OFFSET(D21,0,-1),IF($A21=D$10,$B$3*OFFSET(D21,1,-1),""))</f>
        <v>4.0500000000000008E-2</v>
      </c>
      <c r="E21" s="68">
        <f ca="1">IF($A21 &lt; E$10, $B$4*OFFSET(E21,0,-1),IF($A21=E$10,$B$3*OFFSET(E21,1,-1),""))</f>
        <v>3.645000000000001E-2</v>
      </c>
      <c r="F21" s="68">
        <f ca="1">IF($A21 &lt; F$10, $B$4*OFFSET(F21,0,-1),IF($A21=F$10,$B$3*OFFSET(F21,1,-1),""))</f>
        <v>3.2805000000000008E-2</v>
      </c>
      <c r="G21" s="68">
        <f ca="1">IF($A21 &lt; G$10, $B$4*OFFSET(G21,0,-1),IF($A21=G$10,$B$3*OFFSET(G21,1,-1),""))</f>
        <v>2.9524500000000009E-2</v>
      </c>
      <c r="H21" s="68">
        <f ca="1">IF($A21 &lt; H$10, $B$4*OFFSET(H21,0,-1),IF($A21=H$10,$B$3*OFFSET(H21,1,-1),""))</f>
        <v>2.657205000000001E-2</v>
      </c>
      <c r="I21" s="68">
        <f t="shared" ca="1" si="3"/>
        <v>2.3914845000000011E-2</v>
      </c>
      <c r="J21" s="68">
        <f t="shared" ca="1" si="2"/>
        <v>2.1523360500000012E-2</v>
      </c>
      <c r="K21" s="68">
        <f t="shared" ca="1" si="1"/>
        <v>1.937102445000001E-2</v>
      </c>
      <c r="L21" s="68">
        <f t="shared" ca="1" si="0"/>
        <v>1.7433922005000008E-2</v>
      </c>
      <c r="M21" s="50">
        <v>0</v>
      </c>
      <c r="N21" s="49">
        <f ca="1">IF($M21 &lt;=N$10,($B$5*O20 + $B$6*O21)/(1+B21), "")</f>
        <v>82.288957356046751</v>
      </c>
      <c r="O21" s="49">
        <f ca="1">IF($M21 &lt;=O$10,($B$5*P20 + $B$6*P21)/(1+C21), "")</f>
        <v>87.636171396789592</v>
      </c>
      <c r="P21" s="49">
        <f ca="1">IF($M21 &lt;=P$10,($B$5*Q20 + $B$6*Q21)/(1+D21), "")</f>
        <v>92.368185155832705</v>
      </c>
      <c r="Q21" s="23">
        <f ca="1">IF($M21 &lt;=Q$10,($B$5*R20 + $B$6*R21)/(1+E21), "")</f>
        <v>96.483187804525059</v>
      </c>
      <c r="R21" s="49">
        <v>100</v>
      </c>
      <c r="S21" s="22">
        <f ca="1">IF($M21 &lt;=S$10,($B$5*T20 + $B$6*T21)/(1+G21), "")</f>
        <v>97.132219777188411</v>
      </c>
      <c r="T21" s="49">
        <v>100</v>
      </c>
    </row>
    <row r="22" spans="1:20" x14ac:dyDescent="0.15">
      <c r="A22" s="50"/>
      <c r="B22" s="50"/>
      <c r="C22" s="68"/>
      <c r="D22" s="68"/>
      <c r="E22" s="68"/>
      <c r="F22" s="68"/>
      <c r="G22" s="68"/>
      <c r="H22" s="68"/>
      <c r="I22" s="7"/>
      <c r="J22" s="50"/>
      <c r="K22" s="57"/>
      <c r="L22" s="57"/>
      <c r="M22" s="57"/>
      <c r="N22" s="57"/>
      <c r="O22" s="57"/>
      <c r="P22" s="57"/>
    </row>
    <row r="23" spans="1:20" x14ac:dyDescent="0.15">
      <c r="A23" s="1"/>
      <c r="H23" s="7"/>
      <c r="I23" s="7"/>
      <c r="J23" s="7"/>
      <c r="K23" s="7"/>
    </row>
    <row r="24" spans="1:20" x14ac:dyDescent="0.15">
      <c r="B24" s="5"/>
      <c r="C24" s="5"/>
      <c r="D24" s="2"/>
      <c r="E24" s="5"/>
    </row>
    <row r="25" spans="1:20" ht="14" thickBot="1" x14ac:dyDescent="0.2">
      <c r="B25" s="5"/>
      <c r="C25" s="5"/>
      <c r="D25" s="2"/>
      <c r="E25" s="5"/>
    </row>
    <row r="26" spans="1:20" ht="14" thickBot="1" x14ac:dyDescent="0.2">
      <c r="A26" s="115" t="s">
        <v>38</v>
      </c>
      <c r="B26" s="116"/>
      <c r="C26" s="117"/>
      <c r="D26" s="44"/>
      <c r="E26" s="4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7"/>
      <c r="Q26" s="50"/>
    </row>
    <row r="27" spans="1:20" x14ac:dyDescent="0.15">
      <c r="A27" s="48"/>
      <c r="B27" s="49"/>
      <c r="C27" s="49"/>
      <c r="D27" s="23"/>
      <c r="E27" s="49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24"/>
      <c r="Q27" s="50"/>
    </row>
    <row r="28" spans="1:20" x14ac:dyDescent="0.15">
      <c r="A28" s="48"/>
      <c r="B28" s="49"/>
      <c r="C28" s="49"/>
      <c r="D28" s="23"/>
      <c r="E28" s="49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24"/>
      <c r="Q28" s="50"/>
    </row>
    <row r="29" spans="1:20" x14ac:dyDescent="0.15">
      <c r="A29" s="48"/>
      <c r="B29" s="50">
        <v>0</v>
      </c>
      <c r="C29" s="50">
        <v>1</v>
      </c>
      <c r="D29" s="50">
        <v>2</v>
      </c>
      <c r="E29" s="50">
        <v>3</v>
      </c>
      <c r="F29" s="50">
        <v>4</v>
      </c>
      <c r="G29" s="50">
        <v>5</v>
      </c>
      <c r="H29" s="50">
        <v>6</v>
      </c>
      <c r="I29" s="142">
        <v>7</v>
      </c>
      <c r="J29" s="142">
        <v>8</v>
      </c>
      <c r="K29" s="142">
        <v>9</v>
      </c>
      <c r="L29" s="142">
        <v>10</v>
      </c>
      <c r="M29" s="50"/>
      <c r="N29" s="50"/>
      <c r="O29" s="50"/>
      <c r="P29" s="24"/>
      <c r="Q29" s="50"/>
    </row>
    <row r="30" spans="1:20" x14ac:dyDescent="0.15">
      <c r="A30" s="48">
        <v>10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49">
        <v>100</v>
      </c>
      <c r="M30" s="50"/>
      <c r="N30" s="50"/>
      <c r="O30" s="50"/>
      <c r="P30" s="24"/>
      <c r="Q30" s="50"/>
    </row>
    <row r="31" spans="1:20" x14ac:dyDescent="0.15">
      <c r="A31" s="48">
        <v>9</v>
      </c>
      <c r="B31" s="50"/>
      <c r="C31" s="50"/>
      <c r="D31" s="50"/>
      <c r="E31" s="50"/>
      <c r="F31" s="50"/>
      <c r="G31" s="50"/>
      <c r="H31" s="50"/>
      <c r="I31" s="50"/>
      <c r="J31" s="50"/>
      <c r="K31" s="51">
        <f t="shared" ref="K31:K40" ca="1" si="4">IF($A31 &lt;=K$29, 100*$B$44  + ( $B$5 *L30   +   $B$6*L31  )/(1+K12),"")</f>
        <v>89.453648771397866</v>
      </c>
      <c r="L31" s="49">
        <v>100</v>
      </c>
      <c r="M31" s="50"/>
      <c r="N31" s="50"/>
      <c r="O31" s="50"/>
      <c r="P31" s="24"/>
      <c r="Q31" s="50"/>
    </row>
    <row r="32" spans="1:20" x14ac:dyDescent="0.15">
      <c r="A32" s="48">
        <v>8</v>
      </c>
      <c r="B32" s="50"/>
      <c r="C32" s="50"/>
      <c r="D32" s="50"/>
      <c r="E32" s="50"/>
      <c r="F32" s="50"/>
      <c r="G32" s="50"/>
      <c r="H32" s="50"/>
      <c r="I32" s="50"/>
      <c r="J32" s="51">
        <f t="shared" ref="J32:J40" ca="1" si="5">IF($A32 &lt;=J$29, 100*$B$44  + ( $B$5 *K31   +   $B$6*K32  )/(1+J13),"")</f>
        <v>81.583939847428169</v>
      </c>
      <c r="K32" s="51">
        <f t="shared" ca="1" si="4"/>
        <v>91.202472976724465</v>
      </c>
      <c r="L32" s="49">
        <v>100</v>
      </c>
      <c r="M32" s="50"/>
      <c r="N32" s="50"/>
      <c r="O32" s="50"/>
      <c r="P32" s="24"/>
      <c r="Q32" s="50"/>
    </row>
    <row r="33" spans="1:17" x14ac:dyDescent="0.15">
      <c r="A33" s="48">
        <v>7</v>
      </c>
      <c r="B33" s="50"/>
      <c r="C33" s="50"/>
      <c r="D33" s="50"/>
      <c r="E33" s="50"/>
      <c r="F33" s="50"/>
      <c r="G33" s="50"/>
      <c r="H33" s="50"/>
      <c r="I33" s="51">
        <f t="shared" ref="I33:I40" ca="1" si="6">IF($A33 &lt;=I$29, 100*$B$44  + ( $B$5 *J32   +   $B$6*J33  )/(1+I14),"")</f>
        <v>75.683223860718243</v>
      </c>
      <c r="J33" s="51">
        <f t="shared" ca="1" si="5"/>
        <v>84.531027126059286</v>
      </c>
      <c r="K33" s="51">
        <f t="shared" ca="1" si="4"/>
        <v>92.685016499094502</v>
      </c>
      <c r="L33" s="49">
        <v>100</v>
      </c>
      <c r="M33" s="50"/>
      <c r="N33" s="50"/>
      <c r="O33" s="50"/>
      <c r="P33" s="24"/>
      <c r="Q33" s="50"/>
    </row>
    <row r="34" spans="1:17" x14ac:dyDescent="0.15">
      <c r="A34" s="48">
        <v>6</v>
      </c>
      <c r="B34" s="22" t="str">
        <f>IF($A34 &lt;=B$29, 100*$B$44  + ( $B$5 *C29   +   $B$6*C34  )/(1+B10),"")</f>
        <v/>
      </c>
      <c r="C34" s="22" t="str">
        <f>IF($A34 &lt;=C$29, 100*$B$44  + ( $B$5 *D29   +   $B$6*D34  )/(1+C10),"")</f>
        <v/>
      </c>
      <c r="D34" s="22" t="str">
        <f>IF($A34 &lt;=D$29, 100*$B$44  + ( $B$5 *E29   +   $B$6*E34  )/(1+D10),"")</f>
        <v/>
      </c>
      <c r="E34" s="22" t="str">
        <f>IF($A34 &lt;=E$29, 100*$B$44  + ( $B$5 *F29   +   $B$6*F34  )/(1+E10),"")</f>
        <v/>
      </c>
      <c r="F34" s="22" t="str">
        <f>IF($A34 &lt;=F$29, 100*$B$44  + ( $B$5 *G29   +   $B$6*G34  )/(1+F10),"")</f>
        <v/>
      </c>
      <c r="G34" s="22" t="str">
        <f>IF($A34 &lt;=G$29, 100*$B$44  + ( $B$5 *H29   +   $B$6*H34  )/(1+G10),"")</f>
        <v/>
      </c>
      <c r="H34" s="51">
        <f t="shared" ref="H34:H40" ca="1" si="7">IF($A34 &lt;=H$29, 100*$B$44  + ( $B$5 *I33   +   $B$6*I34  )/(1+H15),"")</f>
        <v>71.260629251758132</v>
      </c>
      <c r="I34" s="51">
        <f t="shared" ca="1" si="6"/>
        <v>79.462289804585396</v>
      </c>
      <c r="J34" s="51">
        <f t="shared" ca="1" si="5"/>
        <v>87.063058906076606</v>
      </c>
      <c r="K34" s="51">
        <f t="shared" ca="1" si="4"/>
        <v>93.934340408654037</v>
      </c>
      <c r="L34" s="49">
        <v>100</v>
      </c>
      <c r="M34" s="50"/>
      <c r="N34" s="50"/>
      <c r="O34" s="50"/>
      <c r="P34" s="24"/>
      <c r="Q34" s="50"/>
    </row>
    <row r="35" spans="1:17" x14ac:dyDescent="0.15">
      <c r="A35" s="48">
        <v>5</v>
      </c>
      <c r="B35" s="22" t="str">
        <f>IF($A35 &lt;=B$29, 100*$B$44  + ( $B$5 *C34   +   $B$6*C35  )/(1+B16),"")</f>
        <v/>
      </c>
      <c r="C35" s="22" t="str">
        <f>IF($A35 &lt;=C$29, 100*$B$44  + ( $B$5 *D34   +   $B$6*D35  )/(1+C16),"")</f>
        <v/>
      </c>
      <c r="D35" s="22" t="str">
        <f>IF($A35 &lt;=D$29, 100*$B$44  + ( $B$5 *E34   +   $B$6*E35  )/(1+D16),"")</f>
        <v/>
      </c>
      <c r="E35" s="22" t="str">
        <f>IF($A35 &lt;=E$29, 100*$B$44  + ( $B$5 *F34   +   $B$6*F35  )/(1+E16),"")</f>
        <v/>
      </c>
      <c r="F35" s="22" t="str">
        <f>IF($A35 &lt;=F$29, 100*$B$44  + ( $B$5 *G34   +   $B$6*G35  )/(1+F16),"")</f>
        <v/>
      </c>
      <c r="G35" s="22">
        <f ca="1">IF($A35 &lt;=G$29, 100*$B$44  + ( $B$5 *H34   +   $B$6*H35  )/(1+G16),"")</f>
        <v>67.968561148156567</v>
      </c>
      <c r="H35" s="51">
        <f t="shared" ca="1" si="7"/>
        <v>75.622897786026769</v>
      </c>
      <c r="I35" s="51">
        <f t="shared" ca="1" si="6"/>
        <v>82.744734747671842</v>
      </c>
      <c r="J35" s="51">
        <f t="shared" ca="1" si="5"/>
        <v>89.220569632703416</v>
      </c>
      <c r="K35" s="51">
        <f t="shared" ca="1" si="4"/>
        <v>94.981845025531968</v>
      </c>
      <c r="L35" s="49">
        <v>100</v>
      </c>
      <c r="M35" s="50"/>
      <c r="N35" s="50"/>
      <c r="O35" s="50"/>
      <c r="P35" s="24"/>
      <c r="Q35" s="50"/>
    </row>
    <row r="36" spans="1:17" x14ac:dyDescent="0.15">
      <c r="A36" s="48">
        <v>4</v>
      </c>
      <c r="B36" s="22" t="str">
        <f>IF($A36 &lt;=B$29, 100*$B$44  + ( $B$5 *C35   +   $B$6*C36  )/(1+B17),"")</f>
        <v/>
      </c>
      <c r="C36" s="22" t="str">
        <f>IF($A36 &lt;=C$29, 100*$B$44  + ( $B$5 *D35   +   $B$6*D36  )/(1+C17),"")</f>
        <v/>
      </c>
      <c r="D36" s="22" t="str">
        <f>IF($A36 &lt;=D$29, 100*$B$44  + ( $B$5 *E35   +   $B$6*E36  )/(1+D17),"")</f>
        <v/>
      </c>
      <c r="E36" s="22" t="str">
        <f>IF($A36 &lt;=E$29, 100*$B$44  + ( $B$5 *F35   +   $B$6*F36  )/(1+E17),"")</f>
        <v/>
      </c>
      <c r="F36" s="22">
        <f ca="1">IF($A36 &lt;=F$29, 100*$B$44  + ( $B$5 *G35   +   $B$6*G36  )/(1+F17),"")</f>
        <v>65.55598201203054</v>
      </c>
      <c r="G36" s="22">
        <f ca="1">IF($A36 &lt;=G$29, 100*$B$44  + ( $B$5 *H35   +   $B$6*H36  )/(1+G17),"")</f>
        <v>72.741454202285908</v>
      </c>
      <c r="H36" s="51">
        <f t="shared" ca="1" si="7"/>
        <v>79.44507929732606</v>
      </c>
      <c r="I36" s="51">
        <f t="shared" ca="1" si="6"/>
        <v>85.566982635516666</v>
      </c>
      <c r="J36" s="51">
        <f t="shared" ca="1" si="5"/>
        <v>91.046206983598438</v>
      </c>
      <c r="K36" s="51">
        <f t="shared" ca="1" si="4"/>
        <v>95.856431257072757</v>
      </c>
      <c r="L36" s="49">
        <v>100</v>
      </c>
      <c r="M36" s="50"/>
      <c r="N36" s="50"/>
      <c r="O36" s="50"/>
      <c r="P36" s="24"/>
      <c r="Q36" s="50"/>
    </row>
    <row r="37" spans="1:17" x14ac:dyDescent="0.15">
      <c r="A37" s="48">
        <v>3</v>
      </c>
      <c r="B37" s="22" t="str">
        <f>IF($A37 &lt;=B$29, 100*$B$44  + ( $B$5 *C36   +   $B$6*C37  )/(1+B18),"")</f>
        <v/>
      </c>
      <c r="C37" s="22" t="str">
        <f>IF($A37 &lt;=C$29, 100*$B$44  + ( $B$5 *D36   +   $B$6*D37  )/(1+C18),"")</f>
        <v/>
      </c>
      <c r="D37" s="22" t="str">
        <f>IF($A37 &lt;=D$29, 100*$B$44  + ( $B$5 *E36   +   $B$6*E37  )/(1+D18),"")</f>
        <v/>
      </c>
      <c r="E37" s="22">
        <f ca="1">IF($A37 &lt;=E$29, 100*$B$44  + ( $B$5 *F36   +   $B$6*F37  )/(1+E18),"")</f>
        <v>63.838111174377453</v>
      </c>
      <c r="F37" s="22">
        <f ca="1">IF($A37 &lt;=F$29, 100*$B$44  + ( $B$5 *G36   +   $B$6*G37  )/(1+F18),"")</f>
        <v>70.617092934034005</v>
      </c>
      <c r="G37" s="22">
        <f ca="1">IF($A37 &lt;=G$29, 100*$B$44  + ( $B$5 *H36   +   $B$6*H37  )/(1+G18),"")</f>
        <v>76.95195322835005</v>
      </c>
      <c r="H37" s="51">
        <f t="shared" ca="1" si="7"/>
        <v>82.755094188875688</v>
      </c>
      <c r="I37" s="51">
        <f t="shared" ca="1" si="6"/>
        <v>87.972924255871916</v>
      </c>
      <c r="J37" s="51">
        <f t="shared" ca="1" si="5"/>
        <v>92.58204516707471</v>
      </c>
      <c r="K37" s="51">
        <f t="shared" ca="1" si="4"/>
        <v>96.584072610405642</v>
      </c>
      <c r="L37" s="49">
        <v>100</v>
      </c>
      <c r="M37" s="50"/>
      <c r="N37" s="50"/>
      <c r="O37" s="50"/>
      <c r="P37" s="24"/>
      <c r="Q37" s="50"/>
    </row>
    <row r="38" spans="1:17" x14ac:dyDescent="0.15">
      <c r="A38" s="48">
        <v>2</v>
      </c>
      <c r="B38" s="22" t="str">
        <f>IF($A38 &lt;=B$29, 100*$B$44  + ( $B$5 *C37   +   $B$6*C38  )/(1+B19),"")</f>
        <v/>
      </c>
      <c r="C38" s="22" t="str">
        <f>IF($A38 &lt;=C$29, 100*$B$44  + ( $B$5 *D37   +   $B$6*D38  )/(1+C19),"")</f>
        <v/>
      </c>
      <c r="D38" s="22">
        <f ca="1">IF($A38 &lt;=D$29, 100*$B$44  + ( $B$5 *E37   +   $B$6*E38  )/(1+D19),"")</f>
        <v>62.67640230365749</v>
      </c>
      <c r="E38" s="22">
        <f ca="1">IF($A38 &lt;=E$29, 100*$B$44  + ( $B$5 *F37   +   $B$6*F38  )/(1+E19),"")</f>
        <v>69.098538111680071</v>
      </c>
      <c r="F38" s="22">
        <f ca="1">IF($A38 &lt;=F$29, 100*$B$44  + ( $B$5 *G37   +   $B$6*G38  )/(1+F19),"")</f>
        <v>75.104814089688105</v>
      </c>
      <c r="G38" s="22">
        <f ca="1">IF($A38 &lt;=G$29, 100*$B$44  + ( $B$5 *H37   +   $B$6*H38  )/(1+G19),"")</f>
        <v>80.618697779956463</v>
      </c>
      <c r="H38" s="51">
        <f t="shared" ca="1" si="7"/>
        <v>85.593596083509425</v>
      </c>
      <c r="I38" s="51">
        <f t="shared" ca="1" si="6"/>
        <v>90.009380876384199</v>
      </c>
      <c r="J38" s="51">
        <f t="shared" ca="1" si="5"/>
        <v>93.867822942650918</v>
      </c>
      <c r="K38" s="51">
        <f t="shared" ca="1" si="4"/>
        <v>97.18768364768448</v>
      </c>
      <c r="L38" s="49">
        <v>100</v>
      </c>
      <c r="M38" s="50"/>
      <c r="N38" s="50"/>
      <c r="O38" s="50"/>
      <c r="P38" s="24"/>
      <c r="Q38" s="50"/>
    </row>
    <row r="39" spans="1:17" x14ac:dyDescent="0.15">
      <c r="A39" s="48">
        <v>1</v>
      </c>
      <c r="B39" s="22" t="str">
        <f>IF($A39 &lt;=B$29, 100*$B$44  + ( $B$5 *C38   +   $B$6*C39  )/(1+B20),"")</f>
        <v/>
      </c>
      <c r="C39" s="22">
        <f ca="1">IF($A39 &lt;=C$29, 100*$B$44  + ( $B$5 *D38   +   $B$6*D39  )/(1+C20),"")</f>
        <v>61.965082423810998</v>
      </c>
      <c r="D39" s="22">
        <f ca="1">IF($A39 &lt;=D$29, 100*$B$44  + ( $B$5 *E38   +   $B$6*E39  )/(1+D20),"")</f>
        <v>68.069921610583719</v>
      </c>
      <c r="E39" s="22">
        <f ca="1">IF($A39 &lt;=E$29, 100*$B$44  + ( $B$5 *F38   +   $B$6*F39  )/(1+E20),"")</f>
        <v>73.780227348935156</v>
      </c>
      <c r="F39" s="22">
        <f ca="1">IF($A39 &lt;=F$29, 100*$B$44  + ( $B$5 *G38   +   $B$6*G39  )/(1+F20),"")</f>
        <v>79.029458864972355</v>
      </c>
      <c r="G39" s="22">
        <f ca="1">IF($A39 &lt;=G$29, 100*$B$44  + ( $B$5 *H38   +   $B$6*H39  )/(1+G20),"")</f>
        <v>83.777592256370355</v>
      </c>
      <c r="H39" s="51">
        <f t="shared" ca="1" si="7"/>
        <v>88.007901039965802</v>
      </c>
      <c r="I39" s="51">
        <f t="shared" ca="1" si="6"/>
        <v>91.722877606907218</v>
      </c>
      <c r="J39" s="51">
        <f t="shared" ca="1" si="5"/>
        <v>94.939915028975662</v>
      </c>
      <c r="K39" s="51">
        <f t="shared" ca="1" si="4"/>
        <v>97.687187785175325</v>
      </c>
      <c r="L39" s="49">
        <v>100</v>
      </c>
      <c r="M39" s="50"/>
      <c r="N39" s="50"/>
      <c r="O39" s="50"/>
      <c r="P39" s="24"/>
      <c r="Q39" s="50"/>
    </row>
    <row r="40" spans="1:17" x14ac:dyDescent="0.15">
      <c r="A40" s="48">
        <v>0</v>
      </c>
      <c r="B40" s="22">
        <f ca="1">IF($A40 &lt;=B$29, 100*$B$44  + ( $B$5 *C39   +   $B$6*C40  )/(1+B21),"")</f>
        <v>61.621958117541546</v>
      </c>
      <c r="C40" s="22">
        <f ca="1">IF($A40 &lt;=C$29, 100*$B$44  + ( $B$5 *D39   +   $B$6*D40  )/(1+C21),"")</f>
        <v>67.441029623026253</v>
      </c>
      <c r="D40" s="22">
        <f ca="1">IF($A40 &lt;=D$29, 100*$B$44  + ( $B$5 *E39   +   $B$6*E40  )/(1+D21),"")</f>
        <v>72.881830301541115</v>
      </c>
      <c r="E40" s="22">
        <f ca="1">IF($A40 &lt;=E$29, 100*$B$44  + ( $B$5 *F39   +   $B$6*F40  )/(1+E21),"")</f>
        <v>77.886861508571897</v>
      </c>
      <c r="F40" s="22">
        <f ca="1">IF($A40 &lt;=F$29, 100*$B$44  + ( $B$5 *G39   +   $B$6*G40  )/(1+F21),"")</f>
        <v>82.422216356146365</v>
      </c>
      <c r="G40" s="51">
        <f ca="1">IF($A40 &lt;=G$29, 100*$B$44  + ( $B$5 *H39   +   $B$6*H40  )/(1+G21),"")</f>
        <v>86.474562071049121</v>
      </c>
      <c r="H40" s="51">
        <f t="shared" ca="1" si="7"/>
        <v>90.047459517865818</v>
      </c>
      <c r="I40" s="51">
        <f t="shared" ca="1" si="6"/>
        <v>93.15753262218783</v>
      </c>
      <c r="J40" s="51">
        <f t="shared" ca="1" si="5"/>
        <v>95.830846121884122</v>
      </c>
      <c r="K40" s="51">
        <f t="shared" ca="1" si="4"/>
        <v>98.099708154795579</v>
      </c>
      <c r="L40" s="49">
        <v>100</v>
      </c>
      <c r="M40" s="50"/>
      <c r="N40" s="50"/>
      <c r="O40" s="50"/>
      <c r="P40" s="24"/>
      <c r="Q40" s="50"/>
    </row>
    <row r="41" spans="1:17" x14ac:dyDescent="0.15">
      <c r="A41" s="48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24"/>
      <c r="Q41" s="50"/>
    </row>
    <row r="42" spans="1:17" ht="14" thickBot="1" x14ac:dyDescent="0.2">
      <c r="A42" s="48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24"/>
      <c r="Q42" s="50"/>
    </row>
    <row r="43" spans="1:17" ht="14" thickBot="1" x14ac:dyDescent="0.2">
      <c r="A43" s="118" t="s">
        <v>9</v>
      </c>
      <c r="B43" s="119"/>
      <c r="C43" s="52"/>
      <c r="D43" s="50"/>
      <c r="E43" s="50"/>
      <c r="F43" s="50"/>
      <c r="G43" s="50"/>
      <c r="H43" s="50"/>
      <c r="I43" s="50"/>
      <c r="J43" s="118" t="s">
        <v>11</v>
      </c>
      <c r="K43" s="119"/>
      <c r="L43" s="52"/>
      <c r="M43" s="50"/>
      <c r="N43" s="50"/>
      <c r="O43" s="50"/>
      <c r="P43" s="24"/>
    </row>
    <row r="44" spans="1:17" x14ac:dyDescent="0.15">
      <c r="A44" s="42" t="s">
        <v>10</v>
      </c>
      <c r="B44" s="43">
        <v>0</v>
      </c>
      <c r="C44" s="50"/>
      <c r="D44" s="50"/>
      <c r="E44" s="50"/>
      <c r="F44" s="50"/>
      <c r="G44" s="50"/>
      <c r="H44" s="50"/>
      <c r="I44" s="50"/>
      <c r="J44" s="42" t="s">
        <v>12</v>
      </c>
      <c r="K44" s="43">
        <v>0.1</v>
      </c>
      <c r="L44" s="50"/>
      <c r="M44" s="50"/>
      <c r="N44" s="50"/>
      <c r="O44" s="50"/>
      <c r="P44" s="24"/>
    </row>
    <row r="45" spans="1:17" ht="14" thickBot="1" x14ac:dyDescent="0.2">
      <c r="A45" s="40" t="s">
        <v>37</v>
      </c>
      <c r="B45" s="41">
        <v>4</v>
      </c>
      <c r="C45" s="50"/>
      <c r="D45" s="50"/>
      <c r="E45" s="50"/>
      <c r="F45" s="50"/>
      <c r="G45" s="50"/>
      <c r="H45" s="50"/>
      <c r="I45" s="50"/>
      <c r="J45" s="40" t="s">
        <v>37</v>
      </c>
      <c r="K45" s="41">
        <v>4</v>
      </c>
      <c r="L45" s="50"/>
      <c r="M45" s="50"/>
      <c r="N45" s="50"/>
      <c r="O45" s="50"/>
      <c r="P45" s="24"/>
    </row>
    <row r="46" spans="1:17" x14ac:dyDescent="0.15">
      <c r="A46" s="48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24"/>
    </row>
    <row r="47" spans="1:17" x14ac:dyDescent="0.15">
      <c r="A47" s="48"/>
      <c r="B47" s="50">
        <v>0</v>
      </c>
      <c r="C47" s="50">
        <v>1</v>
      </c>
      <c r="D47" s="50">
        <v>2</v>
      </c>
      <c r="E47" s="50">
        <v>3</v>
      </c>
      <c r="F47" s="50">
        <v>4</v>
      </c>
      <c r="G47" s="50"/>
      <c r="H47" s="50"/>
      <c r="I47" s="50"/>
      <c r="J47" s="50"/>
      <c r="K47" s="50">
        <v>0</v>
      </c>
      <c r="L47" s="50">
        <v>1</v>
      </c>
      <c r="M47" s="50">
        <v>2</v>
      </c>
      <c r="N47" s="50">
        <v>3</v>
      </c>
      <c r="O47" s="50">
        <v>4</v>
      </c>
      <c r="P47" s="24"/>
    </row>
    <row r="48" spans="1:17" x14ac:dyDescent="0.15">
      <c r="A48" s="48">
        <v>4</v>
      </c>
      <c r="B48" s="22" t="str">
        <f>IF($A48 &lt;=B$47,  ( $B$5 *C47   +   $B$6*C48  )/(1+B17),"")</f>
        <v/>
      </c>
      <c r="C48" s="22" t="str">
        <f>IF($A48 &lt;=C$47,  ( $B$5 *D47   +   $B$6*D48  )/(1+C17),"")</f>
        <v/>
      </c>
      <c r="D48" s="22" t="str">
        <f>IF($A48 &lt;=D$47,  ( $B$5 *E47   +   $B$6*E48  )/(1+D17),"")</f>
        <v/>
      </c>
      <c r="E48" s="22" t="str">
        <f>IF($A48 &lt;=E$47,  ( $B$5 *F47   +   $B$6*F48  )/(1+E17),"")</f>
        <v/>
      </c>
      <c r="F48" s="22">
        <f ca="1">IF($A48 &lt;=F$47,  F36-100*$B$44,"")</f>
        <v>65.55598201203054</v>
      </c>
      <c r="G48" s="49"/>
      <c r="H48" s="49"/>
      <c r="I48" s="50"/>
      <c r="J48" s="50">
        <v>4</v>
      </c>
      <c r="K48" s="22" t="str">
        <f>IF($A48 &lt;=K$47,  ( $B$5 *#REF!   +   $B$6*L48  ),"")</f>
        <v/>
      </c>
      <c r="L48" s="22" t="str">
        <f>IF($A48 &lt;=L$47,  ( $B$5 *#REF!   +   $B$6*M48  ),"")</f>
        <v/>
      </c>
      <c r="M48" s="22" t="str">
        <f>IF($A48 &lt;=M$47,  ( $B$5 *#REF!   +   $B$6*N48  ),"")</f>
        <v/>
      </c>
      <c r="N48" s="22" t="str">
        <f>IF($A48 &lt;=N$47,  ( $B$5 *#REF!   +   $B$6*O48  ),"")</f>
        <v/>
      </c>
      <c r="O48" s="22">
        <f ca="1">IF($J48 &lt;=O$47, F36-100*$K$44,"")</f>
        <v>55.55598201203054</v>
      </c>
      <c r="P48" s="24"/>
    </row>
    <row r="49" spans="1:18" x14ac:dyDescent="0.15">
      <c r="A49" s="48">
        <v>3</v>
      </c>
      <c r="B49" s="22" t="str">
        <f>IF($A49 &lt;=B$47,  ( $B$5 *C48   +   $B$6*C49  )/(1+B18),"")</f>
        <v/>
      </c>
      <c r="C49" s="22" t="str">
        <f>IF($A49 &lt;=C$47,  ( $B$5 *D48   +   $B$6*D49  )/(1+C18),"")</f>
        <v/>
      </c>
      <c r="D49" s="22" t="str">
        <f>IF($A49 &lt;=D$47,  ( $B$5 *E48   +   $B$6*E49  )/(1+D18),"")</f>
        <v/>
      </c>
      <c r="E49" s="22">
        <f ca="1">IF($A49 &lt;=E$47,  ( $B$5 *F48   +   $B$6*F49  )/(1+E18),"")</f>
        <v>63.838111174377453</v>
      </c>
      <c r="F49" s="22">
        <f ca="1">IF($A49 &lt;=F$47,  F37-100*$B$44,"")</f>
        <v>70.617092934034005</v>
      </c>
      <c r="G49" s="49"/>
      <c r="H49" s="49"/>
      <c r="I49" s="50"/>
      <c r="J49" s="50">
        <v>3</v>
      </c>
      <c r="K49" s="22" t="str">
        <f>IF($A49 &lt;=K$47,  ( $B$5 *L48   +   $B$6*L49  ),"")</f>
        <v/>
      </c>
      <c r="L49" s="22" t="str">
        <f>IF($A49 &lt;=L$47,  ( $B$5 *M48   +   $B$6*M49  ),"")</f>
        <v/>
      </c>
      <c r="M49" s="22" t="str">
        <f>IF($A49 &lt;=M$47,  ( $B$5 *N48   +   $B$6*N49  ),"")</f>
        <v/>
      </c>
      <c r="N49" s="22">
        <f ca="1">IF($A49 &lt;=N$47,  ( $B$5 *O48   +   $B$6*O49  ),"")</f>
        <v>58.086537473032273</v>
      </c>
      <c r="O49" s="22">
        <f ca="1">IF($J49 &lt;=O$47, F37-100*$K$44,"")</f>
        <v>60.617092934034005</v>
      </c>
      <c r="P49" s="24"/>
    </row>
    <row r="50" spans="1:18" x14ac:dyDescent="0.15">
      <c r="A50" s="48">
        <v>2</v>
      </c>
      <c r="B50" s="22" t="str">
        <f>IF($A50 &lt;=B$47,  ( $B$5 *C49   +   $B$6*C50  )/(1+B19),"")</f>
        <v/>
      </c>
      <c r="C50" s="22" t="str">
        <f>IF($A50 &lt;=C$47,  ( $B$5 *D49   +   $B$6*D50  )/(1+C19),"")</f>
        <v/>
      </c>
      <c r="D50" s="22">
        <f ca="1">IF($A50 &lt;=D$47,  ( $B$5 *E49   +   $B$6*E50  )/(1+D19),"")</f>
        <v>62.67640230365749</v>
      </c>
      <c r="E50" s="22">
        <f ca="1">IF($A50 &lt;=E$47,  ( $B$5 *F49   +   $B$6*F50  )/(1+E19),"")</f>
        <v>69.098538111680071</v>
      </c>
      <c r="F50" s="22">
        <f ca="1">IF($A50 &lt;=F$47,  F38-100*$B$44,"")</f>
        <v>75.104814089688105</v>
      </c>
      <c r="G50" s="49"/>
      <c r="H50" s="49"/>
      <c r="I50" s="50"/>
      <c r="J50" s="50">
        <v>2</v>
      </c>
      <c r="K50" s="22" t="str">
        <f>IF($A50 &lt;=K$47,  ( $B$5 *L49   +   $B$6*L50  ),"")</f>
        <v/>
      </c>
      <c r="L50" s="22" t="str">
        <f>IF($A50 &lt;=L$47,  ( $B$5 *M49   +   $B$6*M50  ),"")</f>
        <v/>
      </c>
      <c r="M50" s="22">
        <f ca="1">IF($A50 &lt;=M$47,  ( $B$5 *N49   +   $B$6*N50  ),"")</f>
        <v>60.473745492446668</v>
      </c>
      <c r="N50" s="22">
        <f ca="1">IF($A50 &lt;=N$47,  ( $B$5 *O49   +   $B$6*O50  ),"")</f>
        <v>62.860953511861055</v>
      </c>
      <c r="O50" s="22">
        <f ca="1">IF($J50 &lt;=O$47, F38-100*$K$44,"")</f>
        <v>65.104814089688105</v>
      </c>
      <c r="P50" s="24"/>
    </row>
    <row r="51" spans="1:18" x14ac:dyDescent="0.15">
      <c r="A51" s="48">
        <v>1</v>
      </c>
      <c r="B51" s="22" t="str">
        <f>IF($A51 &lt;=B$47,  ( $B$5 *C50   +   $B$6*C51  )/(1+B20),"")</f>
        <v/>
      </c>
      <c r="C51" s="22">
        <f ca="1">IF($A51 &lt;=C$47,  ( $B$5 *D50   +   $B$6*D51  )/(1+C20),"")</f>
        <v>61.965082423810998</v>
      </c>
      <c r="D51" s="22">
        <f ca="1">IF($A51 &lt;=D$47,  ( $B$5 *E50   +   $B$6*E51  )/(1+D20),"")</f>
        <v>68.069921610583719</v>
      </c>
      <c r="E51" s="22">
        <f ca="1">IF($A51 &lt;=E$47,  ( $B$5 *F50   +   $B$6*F51  )/(1+E20),"")</f>
        <v>73.780227348935156</v>
      </c>
      <c r="F51" s="22">
        <f ca="1">IF($A51 &lt;=F$47,  F39-100*$B$44,"")</f>
        <v>79.029458864972355</v>
      </c>
      <c r="G51" s="49"/>
      <c r="H51" s="49"/>
      <c r="I51" s="50"/>
      <c r="J51" s="50">
        <v>1</v>
      </c>
      <c r="K51" s="22" t="str">
        <f>IF($A51 &lt;=K$47,  ( $B$5 *L50   +   $B$6*L51  ),"")</f>
        <v/>
      </c>
      <c r="L51" s="22">
        <f ca="1">IF($A51 &lt;=L$47,  ( $B$5 *M50   +   $B$6*M51  ),"")</f>
        <v>62.718895243521153</v>
      </c>
      <c r="M51" s="22">
        <f ca="1">IF($A51 &lt;=M$47,  ( $B$5 *N50   +   $B$6*N51  ),"")</f>
        <v>64.964044994595639</v>
      </c>
      <c r="N51" s="22">
        <f ca="1">IF($A51 &lt;=N$47,  ( $B$5 *O50   +   $B$6*O51  ),"")</f>
        <v>67.067136477330223</v>
      </c>
      <c r="O51" s="22">
        <f ca="1">IF($J51 &lt;=O$47, F39-100*$K$44,"")</f>
        <v>69.029458864972355</v>
      </c>
      <c r="P51" s="24"/>
    </row>
    <row r="52" spans="1:18" x14ac:dyDescent="0.15">
      <c r="A52" s="48">
        <v>0</v>
      </c>
      <c r="B52" s="22">
        <f ca="1">IF($A52 &lt;=B$47,  ( $B$5 *C51   +   $B$6*C52  )/(1+B21),"")</f>
        <v>61.621958117541546</v>
      </c>
      <c r="C52" s="22">
        <f ca="1">IF($A52 &lt;=C$47,  ( $B$5 *D51   +   $B$6*D52  )/(1+C21),"")</f>
        <v>67.441029623026253</v>
      </c>
      <c r="D52" s="22">
        <f ca="1">IF($A52 &lt;=D$47,  ( $B$5 *E51   +   $B$6*E52  )/(1+D21),"")</f>
        <v>72.881830301541115</v>
      </c>
      <c r="E52" s="51">
        <f ca="1">IF($A52 &lt;=E$47,  ( $B$5 *F51   +   $B$6*F52  )/(1+E21),"")</f>
        <v>77.886861508571897</v>
      </c>
      <c r="F52" s="22">
        <f ca="1">IF($A52 &lt;=F$47,  F40-100*$B$44,"")</f>
        <v>82.422216356146365</v>
      </c>
      <c r="G52" s="23"/>
      <c r="H52" s="49"/>
      <c r="I52" s="50"/>
      <c r="J52" s="50">
        <v>0</v>
      </c>
      <c r="K52" s="22">
        <f ca="1">IF($A52 &lt;=K$47,  ( $B$5 *L51   +   $B$6*L52  ),"")</f>
        <v>64.82458063139569</v>
      </c>
      <c r="L52" s="22">
        <f ca="1">IF($A52 &lt;=L$47,  ( $B$5 *M51   +   $B$6*M52  ),"")</f>
        <v>66.930266019270221</v>
      </c>
      <c r="M52" s="22">
        <f ca="1">IF($A52 &lt;=M$47,  ( $B$5 *N51   +   $B$6*N52  ),"")</f>
        <v>68.896487043944788</v>
      </c>
      <c r="N52" s="23">
        <f ca="1">IF($A52 &lt;=N$47,  ( $B$5 *O51   +   $B$6*O52  ),"")</f>
        <v>70.725837610559353</v>
      </c>
      <c r="O52" s="22">
        <f ca="1">IF($J52 &lt;=O$47, F40-100*$K$44,"")</f>
        <v>72.422216356146365</v>
      </c>
      <c r="P52" s="24"/>
    </row>
    <row r="53" spans="1:18" ht="14" thickBot="1" x14ac:dyDescent="0.2">
      <c r="A53" s="48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24"/>
    </row>
    <row r="54" spans="1:18" ht="14" thickBot="1" x14ac:dyDescent="0.2">
      <c r="A54" s="120" t="s">
        <v>36</v>
      </c>
      <c r="B54" s="121"/>
      <c r="C54" s="39">
        <f ca="1">100*B52/N21</f>
        <v>74.88484493844841</v>
      </c>
      <c r="D54" s="56"/>
      <c r="E54" s="56"/>
      <c r="F54" s="56"/>
      <c r="G54" s="56"/>
      <c r="H54" s="56"/>
      <c r="I54" s="56"/>
      <c r="J54" s="121" t="s">
        <v>44</v>
      </c>
      <c r="K54" s="121"/>
      <c r="L54" s="39">
        <f ca="1">K52</f>
        <v>64.82458063139569</v>
      </c>
      <c r="M54" s="56"/>
      <c r="N54" s="56"/>
      <c r="O54" s="56"/>
      <c r="P54" s="60"/>
      <c r="R54" s="5">
        <f ca="1">B52/(1+B2)^B45</f>
        <v>50.696537444823129</v>
      </c>
    </row>
    <row r="57" spans="1:18" x14ac:dyDescent="0.15">
      <c r="B57" s="6"/>
      <c r="C57" s="6"/>
      <c r="D57" s="6"/>
      <c r="E57" s="6"/>
      <c r="F57" s="6"/>
      <c r="G57" s="6"/>
    </row>
    <row r="58" spans="1:18" x14ac:dyDescent="0.15">
      <c r="B58" s="6" t="s">
        <v>7</v>
      </c>
      <c r="C58" s="3"/>
      <c r="D58" s="6"/>
      <c r="E58" s="6"/>
      <c r="F58" s="6"/>
      <c r="G58" s="6"/>
    </row>
    <row r="61" spans="1:18" x14ac:dyDescent="0.15">
      <c r="A61" s="1"/>
    </row>
  </sheetData>
  <mergeCells count="8">
    <mergeCell ref="A43:B43"/>
    <mergeCell ref="J43:K43"/>
    <mergeCell ref="A54:B54"/>
    <mergeCell ref="J54:K54"/>
    <mergeCell ref="A1:B1"/>
    <mergeCell ref="A9:B9"/>
    <mergeCell ref="M9:O9"/>
    <mergeCell ref="A26:C26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zoomScale="130" zoomScaleNormal="130" zoomScalePageLayoutView="190" workbookViewId="0">
      <selection activeCell="B29" sqref="B29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9" ht="14" thickBot="1" x14ac:dyDescent="0.2">
      <c r="A1" s="112" t="s">
        <v>35</v>
      </c>
      <c r="B1" s="111"/>
      <c r="E1" s="1"/>
    </row>
    <row r="2" spans="1:9" x14ac:dyDescent="0.15">
      <c r="A2" s="25" t="s">
        <v>2</v>
      </c>
      <c r="B2" s="38">
        <v>0.06</v>
      </c>
    </row>
    <row r="3" spans="1:9" x14ac:dyDescent="0.15">
      <c r="A3" s="26" t="s">
        <v>3</v>
      </c>
      <c r="B3" s="34">
        <v>1.25</v>
      </c>
    </row>
    <row r="4" spans="1:9" x14ac:dyDescent="0.15">
      <c r="A4" s="26" t="s">
        <v>4</v>
      </c>
      <c r="B4" s="35">
        <v>0.9</v>
      </c>
    </row>
    <row r="5" spans="1:9" x14ac:dyDescent="0.15">
      <c r="A5" s="26" t="s">
        <v>5</v>
      </c>
      <c r="B5" s="36">
        <v>0.5</v>
      </c>
      <c r="F5" s="1"/>
    </row>
    <row r="6" spans="1:9" ht="14" thickBot="1" x14ac:dyDescent="0.2">
      <c r="A6" s="27" t="s">
        <v>6</v>
      </c>
      <c r="B6" s="37">
        <f>1-B5</f>
        <v>0.5</v>
      </c>
    </row>
    <row r="7" spans="1:9" x14ac:dyDescent="0.15">
      <c r="C7" s="7"/>
      <c r="D7" s="7"/>
      <c r="E7" s="7"/>
      <c r="F7" s="7"/>
      <c r="G7" s="7"/>
      <c r="H7" s="7"/>
      <c r="I7" s="7"/>
    </row>
    <row r="8" spans="1:9" ht="14" thickBot="1" x14ac:dyDescent="0.2">
      <c r="A8" s="10"/>
      <c r="B8" s="10"/>
      <c r="C8" s="10"/>
      <c r="D8" s="10"/>
      <c r="E8" s="10"/>
      <c r="F8" s="10"/>
      <c r="G8" s="10"/>
    </row>
    <row r="9" spans="1:9" ht="14" thickBot="1" x14ac:dyDescent="0.2">
      <c r="A9" s="113" t="s">
        <v>32</v>
      </c>
      <c r="B9" s="114"/>
      <c r="C9" s="61"/>
      <c r="D9" s="61"/>
      <c r="E9" s="61"/>
      <c r="F9" s="61"/>
      <c r="G9" s="61"/>
      <c r="H9" s="47"/>
    </row>
    <row r="10" spans="1:9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9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  <c r="I11" s="7"/>
    </row>
    <row r="12" spans="1:9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  <c r="I12" s="7"/>
    </row>
    <row r="13" spans="1:9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  <c r="I13" s="7"/>
    </row>
    <row r="14" spans="1:9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  <c r="I14" s="7"/>
    </row>
    <row r="15" spans="1:9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  <c r="I15" s="7"/>
    </row>
    <row r="16" spans="1:9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  <c r="I16" s="7"/>
    </row>
    <row r="17" spans="1:17" ht="14" thickBot="1" x14ac:dyDescent="0.2">
      <c r="A17" s="53"/>
      <c r="B17" s="56"/>
      <c r="C17" s="71"/>
      <c r="D17" s="71"/>
      <c r="E17" s="71"/>
      <c r="F17" s="71"/>
      <c r="G17" s="71"/>
      <c r="H17" s="73"/>
      <c r="I17" s="7"/>
    </row>
    <row r="18" spans="1:17" x14ac:dyDescent="0.15">
      <c r="A18" s="1"/>
      <c r="H18" s="7"/>
      <c r="I18" s="7"/>
    </row>
    <row r="19" spans="1:17" ht="14" thickBot="1" x14ac:dyDescent="0.2">
      <c r="B19" s="5"/>
      <c r="C19" s="5"/>
      <c r="D19" s="2"/>
      <c r="E19" s="5"/>
    </row>
    <row r="20" spans="1:17" ht="14" thickBot="1" x14ac:dyDescent="0.2">
      <c r="A20" s="122" t="s">
        <v>22</v>
      </c>
      <c r="B20" s="123"/>
      <c r="C20" s="105">
        <v>0.02</v>
      </c>
      <c r="D20" s="2"/>
      <c r="E20" s="5"/>
    </row>
    <row r="21" spans="1:17" ht="14" thickBot="1" x14ac:dyDescent="0.2">
      <c r="A21" s="122" t="s">
        <v>47</v>
      </c>
      <c r="B21" s="124"/>
      <c r="C21" s="125"/>
      <c r="D21" s="44"/>
      <c r="E21" s="45"/>
      <c r="F21" s="46"/>
      <c r="G21" s="46"/>
      <c r="H21" s="47"/>
      <c r="Q21" s="50"/>
    </row>
    <row r="22" spans="1:17" x14ac:dyDescent="0.15">
      <c r="A22" s="48"/>
      <c r="B22" s="49"/>
      <c r="C22" s="49"/>
      <c r="D22" s="23"/>
      <c r="E22" s="49"/>
      <c r="F22" s="50"/>
      <c r="G22" s="50"/>
      <c r="H22" s="24"/>
      <c r="Q22" s="50"/>
    </row>
    <row r="23" spans="1:17" x14ac:dyDescent="0.15">
      <c r="A23" s="48"/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24"/>
      <c r="Q23" s="50"/>
    </row>
    <row r="24" spans="1:17" x14ac:dyDescent="0.15">
      <c r="A24" s="48">
        <v>5</v>
      </c>
      <c r="B24" s="109" t="str">
        <f t="shared" ref="B24:E28" si="1">IF($A24 &lt;=B$23,  ($B$5*C23 + $B$6*C24 )/(1+B11 ),"")</f>
        <v/>
      </c>
      <c r="C24" s="109" t="str">
        <f t="shared" si="1"/>
        <v/>
      </c>
      <c r="D24" s="109" t="str">
        <f t="shared" si="1"/>
        <v/>
      </c>
      <c r="E24" s="109" t="str">
        <f t="shared" si="1"/>
        <v/>
      </c>
      <c r="F24" s="109" t="str">
        <f t="shared" ref="F24:F28" si="2">IF($A24 &lt;=F$23,  ($B$5*G23 + $B$6*G24 )/(1+F11 ),"")</f>
        <v/>
      </c>
      <c r="G24" s="21">
        <f t="shared" ref="G24:G28" ca="1" si="3">MAX(0,(G11-$C$20)/(1+G11))</f>
        <v>0.13786215435410648</v>
      </c>
      <c r="H24" s="103"/>
      <c r="Q24" s="50"/>
    </row>
    <row r="25" spans="1:17" x14ac:dyDescent="0.15">
      <c r="A25" s="48">
        <v>4</v>
      </c>
      <c r="B25" s="109" t="str">
        <f t="shared" si="1"/>
        <v/>
      </c>
      <c r="C25" s="109" t="str">
        <f t="shared" si="1"/>
        <v/>
      </c>
      <c r="D25" s="109" t="str">
        <f t="shared" si="1"/>
        <v/>
      </c>
      <c r="E25" s="109" t="str">
        <f t="shared" si="1"/>
        <v/>
      </c>
      <c r="F25" s="109">
        <f t="shared" ca="1" si="2"/>
        <v>0.10321617890868268</v>
      </c>
      <c r="G25" s="21">
        <f t="shared" ca="1" si="3"/>
        <v>9.8809318377911987E-2</v>
      </c>
      <c r="H25" s="103"/>
      <c r="Q25" s="50"/>
    </row>
    <row r="26" spans="1:17" x14ac:dyDescent="0.15">
      <c r="A26" s="48">
        <v>3</v>
      </c>
      <c r="B26" s="109" t="str">
        <f t="shared" si="1"/>
        <v/>
      </c>
      <c r="C26" s="109" t="str">
        <f t="shared" si="1"/>
        <v/>
      </c>
      <c r="D26" s="109" t="str">
        <f t="shared" si="1"/>
        <v/>
      </c>
      <c r="E26" s="109">
        <f t="shared" ca="1" si="1"/>
        <v>8.0047660622954347E-2</v>
      </c>
      <c r="F26" s="109">
        <f t="shared" ca="1" si="2"/>
        <v>7.5640312795730941E-2</v>
      </c>
      <c r="G26" s="21">
        <f t="shared" ca="1" si="3"/>
        <v>6.8426685693899383E-2</v>
      </c>
      <c r="H26" s="103"/>
      <c r="Q26" s="50"/>
    </row>
    <row r="27" spans="1:17" x14ac:dyDescent="0.15">
      <c r="A27" s="48">
        <v>2</v>
      </c>
      <c r="B27" s="109" t="str">
        <f t="shared" si="1"/>
        <v/>
      </c>
      <c r="C27" s="109" t="str">
        <f t="shared" si="1"/>
        <v/>
      </c>
      <c r="D27" s="109">
        <f t="shared" ca="1" si="1"/>
        <v>6.3672438860078243E-2</v>
      </c>
      <c r="E27" s="109">
        <f t="shared" ca="1" si="1"/>
        <v>5.9235799383466806E-2</v>
      </c>
      <c r="F27" s="109">
        <f t="shared" ca="1" si="2"/>
        <v>5.2827327117162703E-2</v>
      </c>
      <c r="G27" s="21">
        <f t="shared" ca="1" si="3"/>
        <v>4.5251118846345112E-2</v>
      </c>
      <c r="H27" s="103"/>
      <c r="Q27" s="50"/>
    </row>
    <row r="28" spans="1:17" x14ac:dyDescent="0.15">
      <c r="A28" s="48">
        <v>1</v>
      </c>
      <c r="B28" s="109" t="str">
        <f t="shared" si="1"/>
        <v/>
      </c>
      <c r="C28" s="109">
        <f t="shared" ca="1" si="1"/>
        <v>5.1502670054143648E-2</v>
      </c>
      <c r="D28" s="109">
        <f t="shared" ca="1" si="1"/>
        <v>4.7058301756330592E-2</v>
      </c>
      <c r="E28" s="109">
        <f t="shared" ca="1" si="1"/>
        <v>4.1233674866299003E-2</v>
      </c>
      <c r="F28" s="109">
        <f t="shared" ca="1" si="2"/>
        <v>3.4649914111690626E-2</v>
      </c>
      <c r="G28" s="21">
        <f t="shared" ca="1" si="3"/>
        <v>2.7837677485149512E-2</v>
      </c>
      <c r="H28" s="103"/>
      <c r="Q28" s="50"/>
    </row>
    <row r="29" spans="1:17" x14ac:dyDescent="0.15">
      <c r="A29" s="48">
        <v>0</v>
      </c>
      <c r="B29" s="109">
        <f t="shared" ref="B29:E29" ca="1" si="4">IF($A29 &lt;=B$23,  ($B$5*C28 + $B$6*C29 )/(1+B16 ),"")</f>
        <v>4.2045224917924694E-2</v>
      </c>
      <c r="C29" s="109">
        <f t="shared" ca="1" si="4"/>
        <v>3.7633206771856706E-2</v>
      </c>
      <c r="D29" s="109">
        <f t="shared" ca="1" si="4"/>
        <v>3.2272498118743338E-2</v>
      </c>
      <c r="E29" s="109">
        <f t="shared" ca="1" si="4"/>
        <v>2.6448208188329523E-2</v>
      </c>
      <c r="F29" s="20">
        <f ca="1">IF($A29 &lt;=F$23,  ($B$5*G28 + $B$6*G29 )/(1+F16 ),"")</f>
        <v>2.0560191517283496E-2</v>
      </c>
      <c r="G29" s="21">
        <f ca="1">MAX(0,(G16-$C$20)/(1+G16))</f>
        <v>1.4901450547956246E-2</v>
      </c>
      <c r="H29" s="103"/>
      <c r="Q29" s="50"/>
    </row>
    <row r="30" spans="1:17" ht="14" thickBot="1" x14ac:dyDescent="0.2">
      <c r="A30" s="53"/>
      <c r="B30" s="56"/>
      <c r="C30" s="56"/>
      <c r="D30" s="56"/>
      <c r="E30" s="56"/>
      <c r="F30" s="56"/>
      <c r="G30" s="56"/>
      <c r="H30" s="60"/>
      <c r="Q30" s="50"/>
    </row>
    <row r="31" spans="1:17" x14ac:dyDescent="0.15">
      <c r="A31" s="48"/>
      <c r="B31" s="50"/>
      <c r="C31" s="50"/>
      <c r="D31" s="50"/>
      <c r="E31" s="50"/>
      <c r="F31" s="50"/>
      <c r="G31" s="50"/>
      <c r="H31" s="50"/>
      <c r="Q31" s="50"/>
    </row>
  </sheetData>
  <mergeCells count="4">
    <mergeCell ref="A1:B1"/>
    <mergeCell ref="A9:B9"/>
    <mergeCell ref="A20:B20"/>
    <mergeCell ref="A21:C21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56"/>
  <sheetViews>
    <sheetView showGridLines="0" topLeftCell="A32" zoomScale="115" zoomScaleNormal="115" zoomScalePageLayoutView="190" workbookViewId="0">
      <selection activeCell="G55" sqref="G55"/>
    </sheetView>
  </sheetViews>
  <sheetFormatPr baseColWidth="10" defaultColWidth="8.796875" defaultRowHeight="13" x14ac:dyDescent="0.15"/>
  <cols>
    <col min="1" max="1" width="11.3984375" customWidth="1"/>
    <col min="2" max="2" width="15.796875" customWidth="1"/>
    <col min="4" max="4" width="10.796875" customWidth="1"/>
    <col min="6" max="7" width="9.796875" bestFit="1" customWidth="1"/>
    <col min="10" max="10" width="11.3984375" bestFit="1" customWidth="1"/>
    <col min="11" max="11" width="16" customWidth="1"/>
    <col min="12" max="12" width="14" customWidth="1"/>
    <col min="13" max="13" width="13.796875" customWidth="1"/>
    <col min="15" max="15" width="11.19921875" customWidth="1"/>
  </cols>
  <sheetData>
    <row r="1" spans="1:12" ht="14" thickBot="1" x14ac:dyDescent="0.2">
      <c r="A1" s="112" t="s">
        <v>35</v>
      </c>
      <c r="B1" s="111"/>
      <c r="E1" s="1"/>
    </row>
    <row r="2" spans="1:12" x14ac:dyDescent="0.15">
      <c r="A2" s="25" t="s">
        <v>2</v>
      </c>
      <c r="B2" s="38">
        <v>0.05</v>
      </c>
    </row>
    <row r="3" spans="1:12" x14ac:dyDescent="0.15">
      <c r="A3" s="26" t="s">
        <v>3</v>
      </c>
      <c r="B3" s="34">
        <v>1.1000000000000001</v>
      </c>
    </row>
    <row r="4" spans="1:12" x14ac:dyDescent="0.15">
      <c r="A4" s="26" t="s">
        <v>4</v>
      </c>
      <c r="B4" s="35">
        <v>0.9</v>
      </c>
    </row>
    <row r="5" spans="1:12" x14ac:dyDescent="0.15">
      <c r="A5" s="26" t="s">
        <v>5</v>
      </c>
      <c r="B5" s="36">
        <v>0.5</v>
      </c>
      <c r="F5" s="1"/>
    </row>
    <row r="6" spans="1:12" ht="14" thickBot="1" x14ac:dyDescent="0.2">
      <c r="A6" s="27" t="s">
        <v>6</v>
      </c>
      <c r="B6" s="37">
        <f>1-B5</f>
        <v>0.5</v>
      </c>
    </row>
    <row r="7" spans="1:12" x14ac:dyDescent="0.15">
      <c r="C7" s="7"/>
      <c r="D7" s="7"/>
      <c r="E7" s="7"/>
      <c r="F7" s="7"/>
      <c r="G7" s="7"/>
      <c r="H7" s="7"/>
      <c r="I7" s="7"/>
    </row>
    <row r="8" spans="1:12" x14ac:dyDescent="0.15">
      <c r="A8" s="10"/>
      <c r="B8" s="10"/>
      <c r="C8" s="10"/>
      <c r="D8" s="10"/>
      <c r="E8" s="10"/>
      <c r="F8" s="10"/>
      <c r="G8" s="10"/>
    </row>
    <row r="9" spans="1:12" x14ac:dyDescent="0.15">
      <c r="A9" s="139" t="s">
        <v>32</v>
      </c>
      <c r="B9" s="139"/>
      <c r="C9" s="140"/>
      <c r="D9" s="140"/>
      <c r="E9" s="140"/>
      <c r="F9" s="140"/>
      <c r="G9" s="140"/>
      <c r="H9" s="50"/>
    </row>
    <row r="10" spans="1:12" x14ac:dyDescent="0.15">
      <c r="A10" s="140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144">
        <v>6</v>
      </c>
      <c r="I10" s="144">
        <v>7</v>
      </c>
      <c r="J10" s="144">
        <v>8</v>
      </c>
      <c r="K10" s="144">
        <v>9</v>
      </c>
      <c r="L10" s="144">
        <v>10</v>
      </c>
    </row>
    <row r="11" spans="1:12" x14ac:dyDescent="0.15">
      <c r="A11" s="141">
        <v>10</v>
      </c>
      <c r="B11" s="64"/>
      <c r="C11" s="64"/>
      <c r="D11" s="64"/>
      <c r="E11" s="64"/>
      <c r="F11" s="64"/>
      <c r="G11" s="64"/>
      <c r="H11" s="50"/>
      <c r="L11" s="68">
        <f t="shared" ref="C11:L21" ca="1" si="0">IF($A11 &lt; L$10, $B$4*OFFSET(L11,0,-1),IF($A11=L$10,$B$3*OFFSET(L11,1,-1),""))</f>
        <v>0.12968712300500007</v>
      </c>
    </row>
    <row r="12" spans="1:12" x14ac:dyDescent="0.15">
      <c r="A12" s="141">
        <v>9</v>
      </c>
      <c r="B12" s="64"/>
      <c r="C12" s="64"/>
      <c r="D12" s="64"/>
      <c r="E12" s="64"/>
      <c r="F12" s="64"/>
      <c r="G12" s="64"/>
      <c r="H12" s="50"/>
      <c r="K12" s="68">
        <f t="shared" ca="1" si="0"/>
        <v>0.11789738455000007</v>
      </c>
      <c r="L12" s="68">
        <f t="shared" ca="1" si="0"/>
        <v>0.10610764609500006</v>
      </c>
    </row>
    <row r="13" spans="1:12" x14ac:dyDescent="0.15">
      <c r="A13" s="141">
        <v>8</v>
      </c>
      <c r="B13" s="64"/>
      <c r="C13" s="64"/>
      <c r="D13" s="64"/>
      <c r="E13" s="64"/>
      <c r="F13" s="64"/>
      <c r="G13" s="64"/>
      <c r="H13" s="50"/>
      <c r="J13" s="68">
        <f t="shared" ca="1" si="0"/>
        <v>0.10717944050000006</v>
      </c>
      <c r="K13" s="68">
        <f t="shared" ca="1" si="0"/>
        <v>9.6461496450000059E-2</v>
      </c>
      <c r="L13" s="68">
        <f t="shared" ca="1" si="0"/>
        <v>8.6815346805000054E-2</v>
      </c>
    </row>
    <row r="14" spans="1:12" x14ac:dyDescent="0.15">
      <c r="A14" s="141">
        <v>7</v>
      </c>
      <c r="B14" s="64"/>
      <c r="C14" s="64"/>
      <c r="D14" s="64"/>
      <c r="E14" s="64"/>
      <c r="F14" s="64"/>
      <c r="G14" s="64"/>
      <c r="H14" s="50"/>
      <c r="I14" s="68">
        <f t="shared" ca="1" si="0"/>
        <v>9.7435855000000043E-2</v>
      </c>
      <c r="J14" s="68">
        <f t="shared" ca="1" si="0"/>
        <v>8.7692269500000045E-2</v>
      </c>
      <c r="K14" s="68">
        <f t="shared" ca="1" si="0"/>
        <v>7.8923042550000044E-2</v>
      </c>
      <c r="L14" s="68">
        <f t="shared" ca="1" si="0"/>
        <v>7.1030738295000048E-2</v>
      </c>
    </row>
    <row r="15" spans="1:12" x14ac:dyDescent="0.15">
      <c r="A15" s="64">
        <v>6</v>
      </c>
      <c r="B15" s="64"/>
      <c r="C15" s="64"/>
      <c r="D15" s="64"/>
      <c r="E15" s="64"/>
      <c r="F15" s="64"/>
      <c r="G15" s="64"/>
      <c r="H15" s="68">
        <f t="shared" ca="1" si="0"/>
        <v>8.8578050000000033E-2</v>
      </c>
      <c r="I15" s="68">
        <f t="shared" ca="1" si="0"/>
        <v>7.9720245000000037E-2</v>
      </c>
      <c r="J15" s="68">
        <f t="shared" ca="1" si="0"/>
        <v>7.1748220500000029E-2</v>
      </c>
      <c r="K15" s="68">
        <f t="shared" ca="1" si="0"/>
        <v>6.4573398450000027E-2</v>
      </c>
      <c r="L15" s="68">
        <f t="shared" ca="1" si="0"/>
        <v>5.8116058605000027E-2</v>
      </c>
    </row>
    <row r="16" spans="1:12" x14ac:dyDescent="0.15">
      <c r="A16" s="64">
        <v>5</v>
      </c>
      <c r="B16" s="67"/>
      <c r="C16" s="68" t="str">
        <f t="shared" ca="1" si="0"/>
        <v/>
      </c>
      <c r="D16" s="68" t="str">
        <f t="shared" ca="1" si="0"/>
        <v/>
      </c>
      <c r="E16" s="68" t="str">
        <f t="shared" ca="1" si="0"/>
        <v/>
      </c>
      <c r="F16" s="68" t="str">
        <f t="shared" ca="1" si="0"/>
        <v/>
      </c>
      <c r="G16" s="68">
        <f t="shared" ca="1" si="0"/>
        <v>8.0525500000000028E-2</v>
      </c>
      <c r="H16" s="68">
        <f t="shared" ca="1" si="0"/>
        <v>7.2472950000000022E-2</v>
      </c>
      <c r="I16" s="68">
        <f t="shared" ca="1" si="0"/>
        <v>6.5225655000000021E-2</v>
      </c>
      <c r="J16" s="68">
        <f t="shared" ca="1" si="0"/>
        <v>5.8703089500000021E-2</v>
      </c>
      <c r="K16" s="68">
        <f t="shared" ca="1" si="0"/>
        <v>5.2832780550000021E-2</v>
      </c>
      <c r="L16" s="68">
        <f t="shared" ca="1" si="0"/>
        <v>4.7549502495000021E-2</v>
      </c>
    </row>
    <row r="17" spans="1:17" x14ac:dyDescent="0.15">
      <c r="A17" s="64">
        <v>4</v>
      </c>
      <c r="B17" s="68"/>
      <c r="C17" s="68" t="str">
        <f t="shared" ca="1" si="0"/>
        <v/>
      </c>
      <c r="D17" s="68" t="str">
        <f t="shared" ca="1" si="0"/>
        <v/>
      </c>
      <c r="E17" s="68" t="str">
        <f t="shared" ca="1" si="0"/>
        <v/>
      </c>
      <c r="F17" s="68">
        <f t="shared" ca="1" si="0"/>
        <v>7.320500000000002E-2</v>
      </c>
      <c r="G17" s="68">
        <f t="shared" ca="1" si="0"/>
        <v>6.5884500000000026E-2</v>
      </c>
      <c r="H17" s="68">
        <f t="shared" ca="1" si="0"/>
        <v>5.9296050000000024E-2</v>
      </c>
      <c r="I17" s="68">
        <f t="shared" ca="1" si="0"/>
        <v>5.3366445000000019E-2</v>
      </c>
      <c r="J17" s="68">
        <f t="shared" ca="1" si="0"/>
        <v>4.8029800500000018E-2</v>
      </c>
      <c r="K17" s="68">
        <f t="shared" ca="1" si="0"/>
        <v>4.3226820450000016E-2</v>
      </c>
      <c r="L17" s="68">
        <f t="shared" ca="1" si="0"/>
        <v>3.8904138405000017E-2</v>
      </c>
    </row>
    <row r="18" spans="1:17" x14ac:dyDescent="0.15">
      <c r="A18" s="64">
        <v>3</v>
      </c>
      <c r="B18" s="68"/>
      <c r="C18" s="68" t="str">
        <f t="shared" ca="1" si="0"/>
        <v/>
      </c>
      <c r="D18" s="68" t="str">
        <f t="shared" ca="1" si="0"/>
        <v/>
      </c>
      <c r="E18" s="68">
        <f t="shared" ca="1" si="0"/>
        <v>6.6550000000000012E-2</v>
      </c>
      <c r="F18" s="68">
        <f t="shared" ca="1" si="0"/>
        <v>5.9895000000000011E-2</v>
      </c>
      <c r="G18" s="68">
        <f t="shared" ca="1" si="0"/>
        <v>5.3905500000000009E-2</v>
      </c>
      <c r="H18" s="68">
        <f t="shared" ca="1" si="0"/>
        <v>4.8514950000000008E-2</v>
      </c>
      <c r="I18" s="68">
        <f t="shared" ca="1" si="0"/>
        <v>4.3663455000000011E-2</v>
      </c>
      <c r="J18" s="68">
        <f t="shared" ca="1" si="0"/>
        <v>3.929710950000001E-2</v>
      </c>
      <c r="K18" s="68">
        <f t="shared" ca="1" si="0"/>
        <v>3.5367398550000012E-2</v>
      </c>
      <c r="L18" s="68">
        <f t="shared" ca="1" si="0"/>
        <v>3.1830658695000014E-2</v>
      </c>
    </row>
    <row r="19" spans="1:17" x14ac:dyDescent="0.15">
      <c r="A19" s="64">
        <v>2</v>
      </c>
      <c r="B19" s="68"/>
      <c r="C19" s="68" t="str">
        <f t="shared" ca="1" si="0"/>
        <v/>
      </c>
      <c r="D19" s="68">
        <f t="shared" ca="1" si="0"/>
        <v>6.0500000000000012E-2</v>
      </c>
      <c r="E19" s="68">
        <f t="shared" ca="1" si="0"/>
        <v>5.4450000000000012E-2</v>
      </c>
      <c r="F19" s="68">
        <f t="shared" ca="1" si="0"/>
        <v>4.9005000000000014E-2</v>
      </c>
      <c r="G19" s="68">
        <f t="shared" ca="1" si="0"/>
        <v>4.4104500000000012E-2</v>
      </c>
      <c r="H19" s="68">
        <f t="shared" ca="1" si="0"/>
        <v>3.9694050000000008E-2</v>
      </c>
      <c r="I19" s="68">
        <f t="shared" ca="1" si="0"/>
        <v>3.5724645000000006E-2</v>
      </c>
      <c r="J19" s="68">
        <f t="shared" ca="1" si="0"/>
        <v>3.2152180500000009E-2</v>
      </c>
      <c r="K19" s="68">
        <f t="shared" ca="1" si="0"/>
        <v>2.893696245000001E-2</v>
      </c>
      <c r="L19" s="68">
        <f t="shared" ca="1" si="0"/>
        <v>2.6043266205000009E-2</v>
      </c>
    </row>
    <row r="20" spans="1:17" x14ac:dyDescent="0.15">
      <c r="A20" s="64">
        <v>1</v>
      </c>
      <c r="B20" s="68"/>
      <c r="C20" s="68">
        <f t="shared" ca="1" si="0"/>
        <v>5.5000000000000007E-2</v>
      </c>
      <c r="D20" s="68">
        <f t="shared" ca="1" si="0"/>
        <v>4.9500000000000009E-2</v>
      </c>
      <c r="E20" s="68">
        <f t="shared" ca="1" si="0"/>
        <v>4.4550000000000006E-2</v>
      </c>
      <c r="F20" s="68">
        <f t="shared" ca="1" si="0"/>
        <v>4.0095000000000006E-2</v>
      </c>
      <c r="G20" s="68">
        <f t="shared" ca="1" si="0"/>
        <v>3.6085500000000006E-2</v>
      </c>
      <c r="H20" s="68">
        <f t="shared" ca="1" si="0"/>
        <v>3.2476950000000004E-2</v>
      </c>
      <c r="I20" s="68">
        <f t="shared" ca="1" si="0"/>
        <v>2.9229255000000006E-2</v>
      </c>
      <c r="J20" s="68">
        <f t="shared" ca="1" si="0"/>
        <v>2.6306329500000006E-2</v>
      </c>
      <c r="K20" s="68">
        <f t="shared" ca="1" si="0"/>
        <v>2.3675696550000007E-2</v>
      </c>
      <c r="L20" s="68">
        <f t="shared" ca="1" si="0"/>
        <v>2.1308126895000008E-2</v>
      </c>
    </row>
    <row r="21" spans="1:17" x14ac:dyDescent="0.15">
      <c r="A21" s="64">
        <v>0</v>
      </c>
      <c r="B21" s="68">
        <f>$B$2</f>
        <v>0.05</v>
      </c>
      <c r="C21" s="67">
        <f t="shared" ca="1" si="0"/>
        <v>4.5000000000000005E-2</v>
      </c>
      <c r="D21" s="68">
        <f t="shared" ca="1" si="0"/>
        <v>4.0500000000000008E-2</v>
      </c>
      <c r="E21" s="68">
        <f t="shared" ca="1" si="0"/>
        <v>3.645000000000001E-2</v>
      </c>
      <c r="F21" s="68">
        <f t="shared" ca="1" si="0"/>
        <v>3.2805000000000008E-2</v>
      </c>
      <c r="G21" s="68">
        <f t="shared" ca="1" si="0"/>
        <v>2.9524500000000009E-2</v>
      </c>
      <c r="H21" s="68">
        <f t="shared" ca="1" si="0"/>
        <v>2.657205000000001E-2</v>
      </c>
      <c r="I21" s="68">
        <f t="shared" ca="1" si="0"/>
        <v>2.3914845000000011E-2</v>
      </c>
      <c r="J21" s="68">
        <f t="shared" ca="1" si="0"/>
        <v>2.1523360500000012E-2</v>
      </c>
      <c r="K21" s="68">
        <f t="shared" ca="1" si="0"/>
        <v>1.937102445000001E-2</v>
      </c>
      <c r="L21" s="68">
        <f t="shared" ca="1" si="0"/>
        <v>1.7433922005000008E-2</v>
      </c>
    </row>
    <row r="22" spans="1:17" x14ac:dyDescent="0.15">
      <c r="A22" s="50"/>
      <c r="B22" s="50"/>
      <c r="C22" s="68"/>
      <c r="D22" s="68"/>
      <c r="E22" s="68"/>
      <c r="F22" s="68"/>
      <c r="G22" s="68"/>
      <c r="H22" s="68"/>
      <c r="I22" s="7"/>
    </row>
    <row r="23" spans="1:17" x14ac:dyDescent="0.15">
      <c r="A23" s="1"/>
      <c r="H23" s="7"/>
      <c r="I23" s="7"/>
    </row>
    <row r="24" spans="1:17" ht="14" thickBot="1" x14ac:dyDescent="0.2">
      <c r="B24" s="5"/>
      <c r="C24" s="5"/>
      <c r="D24" s="2"/>
      <c r="E24" s="5"/>
    </row>
    <row r="25" spans="1:17" x14ac:dyDescent="0.15">
      <c r="A25" s="145" t="s">
        <v>22</v>
      </c>
      <c r="B25" s="146"/>
      <c r="C25" s="147">
        <v>4.4999999999999998E-2</v>
      </c>
      <c r="D25" s="2"/>
      <c r="E25" s="5"/>
    </row>
    <row r="26" spans="1:17" x14ac:dyDescent="0.15">
      <c r="A26" s="148" t="s">
        <v>45</v>
      </c>
      <c r="B26" s="149"/>
      <c r="C26" s="149"/>
      <c r="D26" s="23"/>
      <c r="E26" s="49"/>
      <c r="F26" s="50"/>
      <c r="G26" s="50"/>
      <c r="H26" s="50"/>
      <c r="Q26" s="50"/>
    </row>
    <row r="27" spans="1:17" x14ac:dyDescent="0.15">
      <c r="A27" s="50"/>
      <c r="B27" s="49"/>
      <c r="C27" s="49"/>
      <c r="D27" s="23"/>
      <c r="E27" s="49"/>
      <c r="F27" s="50"/>
      <c r="G27" s="50"/>
      <c r="H27" s="50"/>
      <c r="Q27" s="50"/>
    </row>
    <row r="28" spans="1:17" x14ac:dyDescent="0.15">
      <c r="A28" s="50"/>
      <c r="B28" s="50">
        <v>0</v>
      </c>
      <c r="C28" s="50">
        <v>1</v>
      </c>
      <c r="D28" s="50">
        <v>2</v>
      </c>
      <c r="E28" s="50">
        <v>3</v>
      </c>
      <c r="F28" s="50">
        <v>4</v>
      </c>
      <c r="G28" s="50">
        <v>5</v>
      </c>
      <c r="H28" s="142">
        <v>6</v>
      </c>
      <c r="I28" s="142">
        <v>7</v>
      </c>
      <c r="J28" s="142">
        <v>8</v>
      </c>
      <c r="K28" s="142">
        <v>9</v>
      </c>
      <c r="L28" s="142">
        <v>10</v>
      </c>
      <c r="Q28" s="50"/>
    </row>
    <row r="29" spans="1:17" x14ac:dyDescent="0.15">
      <c r="A29" s="50">
        <v>10</v>
      </c>
      <c r="B29" s="50"/>
      <c r="C29" s="50"/>
      <c r="D29" s="50"/>
      <c r="E29" s="50"/>
      <c r="F29" s="50"/>
      <c r="G29" s="50"/>
      <c r="H29" s="50"/>
      <c r="L29" s="21">
        <f ca="1">(L11-$C$25)/(1+L11)</f>
        <v>7.4965113154277535E-2</v>
      </c>
      <c r="Q29" s="50"/>
    </row>
    <row r="30" spans="1:17" x14ac:dyDescent="0.15">
      <c r="A30" s="50">
        <v>9</v>
      </c>
      <c r="B30" s="50"/>
      <c r="C30" s="50"/>
      <c r="D30" s="50"/>
      <c r="E30" s="50"/>
      <c r="F30" s="50"/>
      <c r="G30" s="50"/>
      <c r="H30" s="50"/>
      <c r="K30" s="20">
        <f ca="1">IF($A30 &lt;=K$28,  ((K12-$C$25)+$B$5*L29 + $B$6*L30 )/(1+K12 ),"")</f>
        <v>0.12344851383735674</v>
      </c>
      <c r="L30" s="21">
        <f ca="1">(L12-$C$25)/(1+L12)</f>
        <v>5.5245659236453484E-2</v>
      </c>
      <c r="Q30" s="50"/>
    </row>
    <row r="31" spans="1:17" x14ac:dyDescent="0.15">
      <c r="A31" s="50">
        <v>8</v>
      </c>
      <c r="B31" s="50"/>
      <c r="C31" s="50"/>
      <c r="D31" s="50"/>
      <c r="E31" s="50"/>
      <c r="F31" s="50"/>
      <c r="G31" s="50"/>
      <c r="H31" s="50"/>
      <c r="J31" s="20">
        <f t="shared" ref="J31:J39" ca="1" si="1">IF($A31 &lt;=J$28,  ((J13-$C$25)+$B$5*K30 + $B$6*K31 )/(1+J13 ),"")</f>
        <v>0.1524050087780412</v>
      </c>
      <c r="K31" s="20">
        <f ca="1">IF($A31 &lt;=K$28,  ((K13-$C$25)+$B$5*L30 + $B$6*L31 )/(1+K13 ),"")</f>
        <v>8.9671989859181622E-2</v>
      </c>
      <c r="L31" s="21">
        <f ca="1">(L13-$C$25)/(1+L13)</f>
        <v>3.8475116244841449E-2</v>
      </c>
      <c r="Q31" s="50"/>
    </row>
    <row r="32" spans="1:17" x14ac:dyDescent="0.15">
      <c r="A32" s="50">
        <v>7</v>
      </c>
      <c r="B32" s="50"/>
      <c r="C32" s="50"/>
      <c r="D32" s="50"/>
      <c r="E32" s="50"/>
      <c r="F32" s="50"/>
      <c r="G32" s="50"/>
      <c r="H32" s="50"/>
      <c r="I32" s="20">
        <f t="shared" ref="I32:I39" ca="1" si="2">IF($A32 &lt;=I$28,  ((I14-$C$25)+$B$5*J31 + $B$6*J32 )/(1+I14 ),"")</f>
        <v>0.16655898055703106</v>
      </c>
      <c r="J32" s="20">
        <f t="shared" ca="1" si="1"/>
        <v>0.10829887569302628</v>
      </c>
      <c r="K32" s="20">
        <f ca="1">IF($A32 &lt;=K$28,  ((K14-$C$25)+$B$5*L31 + $B$6*L32 )/(1+K14 ),"")</f>
        <v>6.0535170914510557E-2</v>
      </c>
      <c r="L32" s="21">
        <f ca="1">(L14-$C$25)/(1+L14)</f>
        <v>2.4304380223894431E-2</v>
      </c>
      <c r="Q32" s="50"/>
    </row>
    <row r="33" spans="1:17" x14ac:dyDescent="0.15">
      <c r="A33" s="50">
        <v>6</v>
      </c>
      <c r="B33" s="50"/>
      <c r="C33" s="50"/>
      <c r="D33" s="50"/>
      <c r="E33" s="50"/>
      <c r="F33" s="50"/>
      <c r="G33" s="50"/>
      <c r="H33" s="20">
        <f t="shared" ref="H33:H39" ca="1" si="3">IF($A33 &lt;=H$28,  ((H15-$C$25)+$B$5*I32 + $B$6*I33 )/(1+H15 ),"")</f>
        <v>0.16919075674914999</v>
      </c>
      <c r="I33" s="20">
        <f t="shared" ca="1" si="2"/>
        <v>0.11463960756299692</v>
      </c>
      <c r="J33" s="20">
        <f t="shared" ca="1" si="1"/>
        <v>6.9818044636219448E-2</v>
      </c>
      <c r="K33" s="20">
        <f ca="1">IF($A33 &lt;=K$28,  ((K15-$C$25)+$B$5*L32 + $B$6*L33 )/(1+K15 ),"")</f>
        <v>3.5623118280804909E-2</v>
      </c>
      <c r="L33" s="21">
        <f ca="1">(L15-$C$25)/(1+L15)</f>
        <v>1.2395671059271125E-2</v>
      </c>
      <c r="Q33" s="50"/>
    </row>
    <row r="34" spans="1:17" x14ac:dyDescent="0.15">
      <c r="A34" s="50">
        <v>5</v>
      </c>
      <c r="B34" s="21" t="str">
        <f>IF($A34 &lt;=B$28,  ((B16-$C$25)+$B$5*C28 + $B$6*C34 )/(1+B16 ),"")</f>
        <v/>
      </c>
      <c r="C34" s="21" t="str">
        <f>IF($A34 &lt;=C$28,  ((C16-$C$25)+$B$5*D28 + $B$6*D34 )/(1+C16 ),"")</f>
        <v/>
      </c>
      <c r="D34" s="21" t="str">
        <f>IF($A34 &lt;=D$28,  ((D16-$C$25)+$B$5*E28 + $B$6*E34 )/(1+D16 ),"")</f>
        <v/>
      </c>
      <c r="E34" s="21" t="str">
        <f>IF($A34 &lt;=E$28,  ((E16-$C$25)+$B$5*F28 + $B$6*F34 )/(1+E16 ),"")</f>
        <v/>
      </c>
      <c r="F34" s="21" t="str">
        <f>IF($A34 &lt;=F$28,  ((F16-$C$25)+$B$5*G28 + $B$6*G34 )/(1+F16 ),"")</f>
        <v/>
      </c>
      <c r="G34" s="20">
        <f t="shared" ref="G34:G39" ca="1" si="4">IF($A34 &lt;=G$28,  ((G16-$C$25)+$B$5*H33 + $B$6*H34 )/(1+G16 ),"")</f>
        <v>0.16262730779389331</v>
      </c>
      <c r="H34" s="20">
        <f t="shared" ca="1" si="3"/>
        <v>0.11120414938615093</v>
      </c>
      <c r="I34" s="20">
        <f t="shared" ca="1" si="2"/>
        <v>6.8941376725815032E-2</v>
      </c>
      <c r="J34" s="20">
        <f t="shared" ca="1" si="1"/>
        <v>3.6606891722496662E-2</v>
      </c>
      <c r="K34" s="20">
        <f ca="1">IF($A34 &lt;=K$28,  ((K16-$C$25)+$B$5*L33 + $B$6*L34 )/(1+K16 ),"")</f>
        <v>1.448236144639343E-2</v>
      </c>
      <c r="L34" s="21">
        <f ca="1">(L16-$C$25)/(1+L16)</f>
        <v>2.4337775818018595E-3</v>
      </c>
      <c r="Q34" s="50"/>
    </row>
    <row r="35" spans="1:17" x14ac:dyDescent="0.15">
      <c r="A35" s="50">
        <v>4</v>
      </c>
      <c r="B35" s="21" t="str">
        <f>IF($A35 &lt;=B$28,  ((B17-$C$25)+$B$5*C34 + $B$6*C35 )/(1+B17 ),"")</f>
        <v/>
      </c>
      <c r="C35" s="21" t="str">
        <f>IF($A35 &lt;=C$28,  ((C17-$C$25)+$B$5*D34 + $B$6*D35 )/(1+C17 ),"")</f>
        <v/>
      </c>
      <c r="D35" s="21" t="str">
        <f>IF($A35 &lt;=D$28,  ((D17-$C$25)+$B$5*E34 + $B$6*E35 )/(1+D17 ),"")</f>
        <v/>
      </c>
      <c r="E35" s="21" t="str">
        <f>IF($A35 &lt;=E$28,  ((E17-$C$25)+$B$5*F34 + $B$6*F35 )/(1+E17 ),"")</f>
        <v/>
      </c>
      <c r="F35" s="21">
        <f ca="1">IF($A35 &lt;=F$28,  ((F17-$C$25)+$B$5*G34 + $B$6*G35 )/(1+F17 ),"")</f>
        <v>0.14855503601739203</v>
      </c>
      <c r="G35" s="20">
        <f t="shared" ca="1" si="4"/>
        <v>9.9822707064197033E-2</v>
      </c>
      <c r="H35" s="20">
        <f t="shared" ca="1" si="3"/>
        <v>5.9825803029385283E-2</v>
      </c>
      <c r="I35" s="20">
        <f t="shared" ca="1" si="2"/>
        <v>2.921299694839663E-2</v>
      </c>
      <c r="J35" s="20">
        <f t="shared" ca="1" si="1"/>
        <v>8.2041997641601055E-3</v>
      </c>
      <c r="K35" s="20">
        <f ca="1">IF($A35 &lt;=K$28,  ((K17-$C$25)+$B$5*L34 + $B$6*L35 )/(1+K17 ),"")</f>
        <v>-3.3454707622037434E-3</v>
      </c>
      <c r="L35" s="21">
        <f ca="1">(L17-$C$25)/(1+L17)</f>
        <v>-5.8675881341263923E-3</v>
      </c>
      <c r="Q35" s="50"/>
    </row>
    <row r="36" spans="1:17" x14ac:dyDescent="0.15">
      <c r="A36" s="50">
        <v>3</v>
      </c>
      <c r="B36" s="21" t="str">
        <f>IF($A36 &lt;=B$28,  ((B18-$C$25)+$B$5*C35 + $B$6*C36 )/(1+B18 ),"")</f>
        <v/>
      </c>
      <c r="C36" s="21" t="str">
        <f>IF($A36 &lt;=C$28,  ((C18-$C$25)+$B$5*D35 + $B$6*D36 )/(1+C18 ),"")</f>
        <v/>
      </c>
      <c r="D36" s="21" t="str">
        <f>IF($A36 &lt;=D$28,  ((D18-$C$25)+$B$5*E35 + $B$6*E36 )/(1+D18 ),"")</f>
        <v/>
      </c>
      <c r="E36" s="21">
        <f ca="1">IF($A36 &lt;=E$28,  ((E18-$C$25)+$B$5*F35 + $B$6*F36 )/(1+E18 ),"")</f>
        <v>0.12822311985493159</v>
      </c>
      <c r="F36" s="21">
        <f ca="1">IF($A36 &lt;=F$28,  ((F18-$C$25)+$B$5*G35 + $B$6*G36 )/(1+F18 ),"")</f>
        <v>8.1857700945162593E-2</v>
      </c>
      <c r="G36" s="20">
        <f t="shared" ca="1" si="4"/>
        <v>4.3908428822349167E-2</v>
      </c>
      <c r="H36" s="20">
        <f t="shared" ca="1" si="3"/>
        <v>1.4913866235079317E-2</v>
      </c>
      <c r="I36" s="20">
        <f t="shared" ca="1" si="2"/>
        <v>-4.9680735288348942E-3</v>
      </c>
      <c r="J36" s="20">
        <f t="shared" ca="1" si="1"/>
        <v>-1.5901103331755866E-2</v>
      </c>
      <c r="K36" s="20">
        <f ca="1">IF($A36 &lt;=K$28,  ((K18-$C$25)+$B$5*L35 + $B$6*L36 )/(1+K18 ),"")</f>
        <v>-1.8300689698905661E-2</v>
      </c>
      <c r="L36" s="21">
        <f ca="1">(L18-$C$25)/(1+L18)</f>
        <v>-1.2763083936327118E-2</v>
      </c>
      <c r="Q36" s="50"/>
    </row>
    <row r="37" spans="1:17" x14ac:dyDescent="0.15">
      <c r="A37" s="50">
        <v>2</v>
      </c>
      <c r="B37" s="21" t="str">
        <f>IF($A37 &lt;=B$28,  ((B19-$C$25)+$B$5*C36 + $B$6*C37 )/(1+B19 ),"")</f>
        <v/>
      </c>
      <c r="C37" s="21" t="str">
        <f>IF($A37 &lt;=C$28,  ((C19-$C$25)+$B$5*D36 + $B$6*D37 )/(1+C19 ),"")</f>
        <v/>
      </c>
      <c r="D37" s="21">
        <f ca="1">IF($A37 &lt;=D$28,  ((D19-$C$25)+$B$5*E36 + $B$6*E37 )/(1+D19 ),"")</f>
        <v>0.1025781025984535</v>
      </c>
      <c r="E37" s="21">
        <f ca="1">IF($A37 &lt;=E$28,  ((E19-$C$25)+$B$5*F36 + $B$6*F37 )/(1+E19 ),"")</f>
        <v>5.8345035756388233E-2</v>
      </c>
      <c r="F37" s="21">
        <f ca="1">IF($A37 &lt;=F$28,  ((F19-$C$25)+$B$5*G36 + $B$6*G37 )/(1+F19 ),"")</f>
        <v>2.2286144961484539E-2</v>
      </c>
      <c r="G37" s="20">
        <f t="shared" ca="1" si="4"/>
        <v>-5.1618738317050243E-3</v>
      </c>
      <c r="H37" s="20">
        <f t="shared" ca="1" si="3"/>
        <v>-2.3901937627310261E-2</v>
      </c>
      <c r="I37" s="20">
        <f t="shared" ca="1" si="2"/>
        <v>-3.412143114033632E-2</v>
      </c>
      <c r="J37" s="20">
        <f t="shared" ca="1" si="1"/>
        <v>-3.6229000977677707E-2</v>
      </c>
      <c r="K37" s="20">
        <f ca="1">IF($A37 &lt;=K$28,  ((K19-$C$25)+$B$5*L36 + $B$6*L37 )/(1+K19 ),"")</f>
        <v>-3.0791356013987699E-2</v>
      </c>
      <c r="L37" s="21">
        <f ca="1">(L19-$C$25)/(1+L19)</f>
        <v>-1.8475569617170992E-2</v>
      </c>
      <c r="Q37" s="50"/>
    </row>
    <row r="38" spans="1:17" x14ac:dyDescent="0.15">
      <c r="A38" s="50">
        <v>1</v>
      </c>
      <c r="B38" s="21" t="str">
        <f>IF($A38 &lt;=B$28,  ((B20-$C$25)+$B$5*C37 + $B$6*C38 )/(1+B20 ),"")</f>
        <v/>
      </c>
      <c r="C38" s="21">
        <f ca="1">IF($A38 &lt;=C$28,  ((C20-$C$25)+$B$5*D37 + $B$6*D38 )/(1+C20 ),"")</f>
        <v>7.2354418948619728E-2</v>
      </c>
      <c r="D38" s="21">
        <f ca="1">IF($A38 &lt;=D$28,  ((D20-$C$25)+$B$5*E37 + $B$6*E38 )/(1+D20 ),"")</f>
        <v>3.0089721383134108E-2</v>
      </c>
      <c r="E38" s="21">
        <f ca="1">IF($A38 &lt;=E$28,  ((E20-$C$25)+$B$5*F37 + $B$6*F38 )/(1+E20 ),"")</f>
        <v>-4.1867105731897523E-3</v>
      </c>
      <c r="F38" s="21">
        <f ca="1">IF($A38 &lt;=F$28,  ((F20-$C$25)+$B$5*G37 + $B$6*G38 )/(1+F20 ),"")</f>
        <v>-3.0132602019935267E-2</v>
      </c>
      <c r="G38" s="20">
        <f t="shared" ca="1" si="4"/>
        <v>-4.7709663564144127E-2</v>
      </c>
      <c r="H38" s="20">
        <f t="shared" ca="1" si="3"/>
        <v>-5.7131643630065863E-2</v>
      </c>
      <c r="I38" s="20">
        <f t="shared" ca="1" si="2"/>
        <v>-5.880667918697835E-2</v>
      </c>
      <c r="J38" s="20">
        <f t="shared" ca="1" si="1"/>
        <v>-5.3280618239597774E-2</v>
      </c>
      <c r="K38" s="20">
        <f ca="1">IF($A38 &lt;=K$28,  ((K20-$C$25)+$B$5*L37 + $B$6*L38 )/(1+K20 ),"")</f>
        <v>-4.1185774463957027E-2</v>
      </c>
      <c r="L38" s="21">
        <f ca="1">(L20-$C$25)/(1+L20)</f>
        <v>-2.3197576207513854E-2</v>
      </c>
      <c r="Q38" s="50"/>
    </row>
    <row r="39" spans="1:17" x14ac:dyDescent="0.15">
      <c r="A39" s="50">
        <v>0</v>
      </c>
      <c r="B39" s="21">
        <f ca="1">IF($A39 &lt;=B$28,  ((B21-$C$25)+$B$5*C38 + $B$6*C39 )/(1+B21 ),"")</f>
        <v>3.8136146824068538E-2</v>
      </c>
      <c r="C39" s="21">
        <f ca="1">IF($A39 &lt;=C$28,  ((C21-$C$25)+$B$5*D38 + $B$6*D39 )/(1+C21 ),"")</f>
        <v>-2.2685106180758059E-3</v>
      </c>
      <c r="D39" s="21">
        <f ca="1">IF($A39 &lt;=D$28,  ((D21-$C$25)+$B$5*E38 + $B$6*E39 )/(1+D21 ),"")</f>
        <v>-3.4830908574912556E-2</v>
      </c>
      <c r="E39" s="21">
        <f ca="1">IF($A39 &lt;=E$28,  ((E21-$C$25)+$B$5*F38 + $B$6*F39 )/(1+E21 ),"")</f>
        <v>-5.9296410171203295E-2</v>
      </c>
      <c r="F39" s="20">
        <f ca="1">IF($A39 &lt;=F$28,  ((F21-$C$25)+$B$5*G38 + $B$6*G39 )/(1+F21 ),"")</f>
        <v>-7.5682926623952082E-2</v>
      </c>
      <c r="G39" s="20">
        <f t="shared" ca="1" si="4"/>
        <v>-8.4231746499557572E-2</v>
      </c>
      <c r="H39" s="20">
        <f t="shared" ca="1" si="3"/>
        <v>-8.535464976810167E-2</v>
      </c>
      <c r="I39" s="20">
        <f t="shared" ca="1" si="2"/>
        <v>-7.9582816391965988E-2</v>
      </c>
      <c r="J39" s="20">
        <f t="shared" ca="1" si="1"/>
        <v>-6.7521125981688884E-2</v>
      </c>
      <c r="K39" s="20">
        <f ca="1">IF($A39 &lt;=K$28,  ((K21-$C$25)+$B$5*L38 + $B$6*L39 )/(1+K21 ),"")</f>
        <v>-4.9809761571160377E-2</v>
      </c>
      <c r="L39" s="21">
        <f ca="1">(L21-$C$25)/(1+L21)</f>
        <v>-2.7093728053294179E-2</v>
      </c>
      <c r="N39">
        <f ca="1">B39*1000000</f>
        <v>38136.146824068535</v>
      </c>
      <c r="Q39" s="50"/>
    </row>
    <row r="40" spans="1:17" x14ac:dyDescent="0.15">
      <c r="A40" s="50"/>
      <c r="B40" s="50"/>
      <c r="C40" s="50"/>
      <c r="D40" s="50"/>
      <c r="E40" s="50"/>
      <c r="F40" s="50"/>
      <c r="G40" s="50"/>
      <c r="H40" s="50"/>
      <c r="Q40" s="50"/>
    </row>
    <row r="41" spans="1:17" x14ac:dyDescent="0.15">
      <c r="A41" s="50"/>
      <c r="B41" s="50"/>
      <c r="C41" s="50"/>
      <c r="D41" s="151">
        <f ca="1">D37/(1-0.05)</f>
        <v>0.10797695010363527</v>
      </c>
      <c r="E41" s="50"/>
      <c r="F41" s="50"/>
      <c r="G41" s="50"/>
      <c r="H41" s="50"/>
      <c r="Q41" s="50"/>
    </row>
    <row r="42" spans="1:17" x14ac:dyDescent="0.15">
      <c r="A42" s="50"/>
      <c r="B42" s="50"/>
      <c r="C42" s="151">
        <f ca="1">C38/(1-0.05)</f>
        <v>7.6162546261704975E-2</v>
      </c>
      <c r="D42" s="151">
        <f ca="1">D38/(1-0.05)</f>
        <v>3.1673390929614853E-2</v>
      </c>
      <c r="E42" s="50"/>
      <c r="F42" s="50"/>
      <c r="G42" s="50"/>
      <c r="H42" s="50"/>
      <c r="Q42" s="50"/>
    </row>
    <row r="43" spans="1:17" x14ac:dyDescent="0.15">
      <c r="A43" s="48"/>
      <c r="B43" s="50"/>
      <c r="C43" s="151">
        <f ca="1">C39/(1-0.05)</f>
        <v>-2.3879059137640064E-3</v>
      </c>
      <c r="D43" s="151">
        <f ca="1">D39/(1-0.05)</f>
        <v>-3.6664114289381641E-2</v>
      </c>
      <c r="E43" s="50"/>
      <c r="F43" s="50"/>
      <c r="G43" s="50"/>
      <c r="H43" s="50"/>
      <c r="Q43" s="50"/>
    </row>
    <row r="45" spans="1:17" ht="14" thickBot="1" x14ac:dyDescent="0.2"/>
    <row r="46" spans="1:17" x14ac:dyDescent="0.15">
      <c r="A46" s="145" t="s">
        <v>46</v>
      </c>
      <c r="B46" s="150"/>
      <c r="C46" s="104">
        <v>0</v>
      </c>
      <c r="D46" s="2"/>
      <c r="E46" s="5"/>
    </row>
    <row r="47" spans="1:17" x14ac:dyDescent="0.15">
      <c r="A47" s="148" t="s">
        <v>49</v>
      </c>
      <c r="B47" s="149"/>
      <c r="C47" s="149"/>
      <c r="D47" s="23"/>
      <c r="E47" s="49"/>
      <c r="F47" s="50"/>
    </row>
    <row r="48" spans="1:17" x14ac:dyDescent="0.15">
      <c r="A48" s="50"/>
      <c r="B48" s="49"/>
      <c r="C48" s="49"/>
      <c r="D48" s="23"/>
      <c r="E48" s="49"/>
      <c r="F48" s="50"/>
    </row>
    <row r="49" spans="1:10" x14ac:dyDescent="0.15">
      <c r="A49" s="50"/>
      <c r="B49" s="50">
        <v>0</v>
      </c>
      <c r="C49" s="50">
        <v>1</v>
      </c>
      <c r="D49" s="50">
        <v>2</v>
      </c>
      <c r="E49" s="50">
        <v>3</v>
      </c>
      <c r="F49" s="142">
        <v>4</v>
      </c>
      <c r="G49" s="142">
        <v>5</v>
      </c>
    </row>
    <row r="50" spans="1:10" x14ac:dyDescent="0.15">
      <c r="A50" s="50">
        <v>5</v>
      </c>
      <c r="B50" s="50"/>
      <c r="C50" s="50"/>
      <c r="D50" s="50"/>
      <c r="E50" s="50"/>
      <c r="F50" s="50"/>
      <c r="G50" s="21">
        <f ca="1">MAX(G34,0)</f>
        <v>0.16262730779389331</v>
      </c>
    </row>
    <row r="51" spans="1:10" x14ac:dyDescent="0.15">
      <c r="A51" s="50">
        <v>4</v>
      </c>
      <c r="B51" s="50"/>
      <c r="C51" s="50"/>
      <c r="D51" s="50"/>
      <c r="E51" s="50"/>
      <c r="F51" s="20">
        <f ca="1">IF($A51 &lt;=F$49,  ($B$5*G50 + $B$6*G51 )/(1+F17 ),"")</f>
        <v>0.12227394340228118</v>
      </c>
      <c r="G51" s="21">
        <f ca="1">MAX(G35,0)</f>
        <v>9.9822707064197033E-2</v>
      </c>
    </row>
    <row r="52" spans="1:10" x14ac:dyDescent="0.15">
      <c r="A52" s="50">
        <v>3</v>
      </c>
      <c r="B52" s="21" t="str">
        <f>IF($A52 &lt;=B$49,  ($B$5*C49 + $B$6*C52 )/(1+B18 ),"")</f>
        <v/>
      </c>
      <c r="C52" s="21" t="str">
        <f>IF($A52 &lt;=C$49,  ($B$5*D49 + $B$6*D52 )/(1+C18 ),"")</f>
        <v/>
      </c>
      <c r="D52" s="21" t="str">
        <f>IF($A52 &lt;=D$49,  ($B$5*E49 + $B$6*E52 )/(1+D18 ),"")</f>
        <v/>
      </c>
      <c r="E52" s="20">
        <f ca="1">IF($A52 &lt;=E$49,  ($B$5*F51 + $B$6*F52 )/(1+E18 ),"")</f>
        <v>8.9108980115754022E-2</v>
      </c>
      <c r="F52" s="20">
        <f ca="1">IF($A52 &lt;=F$49,  ($B$5*G51 + $B$6*G52 )/(1+F18 ),"")</f>
        <v>6.780442208263375E-2</v>
      </c>
      <c r="G52" s="21">
        <f ca="1">MAX(G36,0)</f>
        <v>4.3908428822349167E-2</v>
      </c>
    </row>
    <row r="53" spans="1:10" x14ac:dyDescent="0.15">
      <c r="A53" s="50">
        <v>2</v>
      </c>
      <c r="B53" s="21" t="str">
        <f>IF($A53 &lt;=B$49,  ($B$5*C52 + $B$6*C53 )/(1+B19 ),"")</f>
        <v/>
      </c>
      <c r="C53" s="21" t="str">
        <f>IF($A53 &lt;=C$49,  ($B$5*D52 + $B$6*D53 )/(1+C19 ),"")</f>
        <v/>
      </c>
      <c r="D53" s="21">
        <f ca="1">IF($A53 &lt;=D$49,  ($B$5*E52 + $B$6*E53 )/(1+D19 ),"")</f>
        <v>6.1850298897362266E-2</v>
      </c>
      <c r="E53" s="20">
        <f ca="1">IF($A53 &lt;=E$49,  ($B$5*F52 + $B$6*F53 )/(1+E19 ),"")</f>
        <v>4.2075503845551337E-2</v>
      </c>
      <c r="F53" s="20">
        <f ca="1">IF($A53 &lt;=F$49,  ($B$5*G52 + $B$6*G53 )/(1+F19 ),"")</f>
        <v>2.0928607977249474E-2</v>
      </c>
      <c r="G53" s="21">
        <f ca="1">MAX(G37,0)</f>
        <v>0</v>
      </c>
    </row>
    <row r="54" spans="1:10" x14ac:dyDescent="0.15">
      <c r="A54" s="50">
        <v>1</v>
      </c>
      <c r="B54" s="21" t="str">
        <f>IF($A54 &lt;=B$49,  ($B$5*C53 + $B$6*C54 )/(1+B20 ),"")</f>
        <v/>
      </c>
      <c r="C54" s="21">
        <f ca="1">IF($A54 &lt;=C$49,  ($B$5*D53 + $B$6*D54 )/(1+C20 ),"")</f>
        <v>4.1075141453199279E-2</v>
      </c>
      <c r="D54" s="21">
        <f ca="1">IF($A54 &lt;=D$49,  ($B$5*E53 + $B$6*E54 )/(1+D20 ),"")</f>
        <v>2.4818249568888204E-2</v>
      </c>
      <c r="E54" s="20">
        <f ca="1">IF($A54 &lt;=E$49,  ($B$5*F53 + $B$6*F54 )/(1+E20 ),"")</f>
        <v>1.0018001999545006E-2</v>
      </c>
      <c r="F54" s="20">
        <f ca="1">IF($A54 &lt;=F$49,  ($B$5*G53 + $B$6*G54 )/(1+F20 ),"")</f>
        <v>0</v>
      </c>
      <c r="G54" s="21">
        <f ca="1">MAX(G38,0)</f>
        <v>0</v>
      </c>
    </row>
    <row r="55" spans="1:10" x14ac:dyDescent="0.15">
      <c r="A55" s="50">
        <v>0</v>
      </c>
      <c r="B55" s="21">
        <f t="shared" ref="B55:C55" ca="1" si="5">IF($A55 &lt;=B$49,  ($B$5*C54 + $B$6*C55 )/(1+B21 ),"")</f>
        <v>2.6311079490192263E-2</v>
      </c>
      <c r="C55" s="21">
        <f t="shared" ca="1" si="5"/>
        <v>1.4178125476204475E-2</v>
      </c>
      <c r="D55" s="20">
        <f ca="1">IF($A55 &lt;=D$49,  ($B$5*E54 + $B$6*E55 )/(1+D21 ),"")</f>
        <v>4.8140326763791473E-3</v>
      </c>
      <c r="E55" s="20">
        <f ca="1">IF($A55 &lt;=E$49,  ($B$5*F54 + $B$6*F55 )/(1+E21 ),"")</f>
        <v>0</v>
      </c>
      <c r="F55" s="20">
        <f ca="1">IF($A55 &lt;=F$49,  ($B$5*G54 + $B$6*G55 )/(1+F21 ),"")</f>
        <v>0</v>
      </c>
      <c r="G55" s="21">
        <f ca="1">MAX(G39,0)</f>
        <v>0</v>
      </c>
      <c r="J55">
        <f ca="1">B55*1000000</f>
        <v>26311.079490192264</v>
      </c>
    </row>
    <row r="56" spans="1:10" x14ac:dyDescent="0.15">
      <c r="A56" s="50"/>
      <c r="B56" s="50"/>
      <c r="C56" s="50"/>
      <c r="D56" s="50"/>
      <c r="E56" s="50"/>
      <c r="F56" s="50"/>
    </row>
  </sheetData>
  <mergeCells count="6">
    <mergeCell ref="A47:C47"/>
    <mergeCell ref="A46:B46"/>
    <mergeCell ref="A25:B25"/>
    <mergeCell ref="A1:B1"/>
    <mergeCell ref="A9:B9"/>
    <mergeCell ref="A26:C26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34"/>
  <sheetViews>
    <sheetView showGridLines="0" topLeftCell="A4" zoomScaleNormal="100" zoomScalePageLayoutView="205" workbookViewId="0">
      <selection activeCell="F34" sqref="F34"/>
    </sheetView>
  </sheetViews>
  <sheetFormatPr baseColWidth="10" defaultColWidth="8.796875" defaultRowHeight="13" x14ac:dyDescent="0.15"/>
  <cols>
    <col min="1" max="1" width="18.3984375" bestFit="1" customWidth="1"/>
  </cols>
  <sheetData>
    <row r="1" spans="1:8" ht="14" thickBot="1" x14ac:dyDescent="0.2">
      <c r="A1" s="112" t="s">
        <v>35</v>
      </c>
      <c r="B1" s="111"/>
      <c r="C1" s="1"/>
    </row>
    <row r="2" spans="1:8" x14ac:dyDescent="0.15">
      <c r="A2" s="25" t="s">
        <v>2</v>
      </c>
      <c r="B2" s="38">
        <v>0.06</v>
      </c>
    </row>
    <row r="3" spans="1:8" x14ac:dyDescent="0.15">
      <c r="A3" s="26" t="s">
        <v>3</v>
      </c>
      <c r="B3" s="34">
        <v>1.25</v>
      </c>
    </row>
    <row r="4" spans="1:8" x14ac:dyDescent="0.15">
      <c r="A4" s="26" t="s">
        <v>4</v>
      </c>
      <c r="B4" s="35">
        <v>0.9</v>
      </c>
    </row>
    <row r="5" spans="1:8" x14ac:dyDescent="0.15">
      <c r="A5" s="26" t="s">
        <v>5</v>
      </c>
      <c r="B5" s="36">
        <v>0.5</v>
      </c>
    </row>
    <row r="6" spans="1:8" ht="14" thickBot="1" x14ac:dyDescent="0.2">
      <c r="A6" s="27" t="s">
        <v>6</v>
      </c>
      <c r="B6" s="37">
        <f>1-B5</f>
        <v>0.5</v>
      </c>
    </row>
    <row r="7" spans="1:8" x14ac:dyDescent="0.15">
      <c r="C7" s="7"/>
      <c r="D7" s="7"/>
      <c r="E7" s="7"/>
      <c r="F7" s="7"/>
      <c r="G7" s="7"/>
      <c r="H7" s="7"/>
    </row>
    <row r="8" spans="1:8" ht="14" thickBot="1" x14ac:dyDescent="0.2"/>
    <row r="9" spans="1:8" ht="14" thickBot="1" x14ac:dyDescent="0.2">
      <c r="A9" s="113" t="s">
        <v>32</v>
      </c>
      <c r="B9" s="114"/>
      <c r="C9" s="61"/>
      <c r="D9" s="61"/>
      <c r="E9" s="61"/>
      <c r="F9" s="61"/>
      <c r="G9" s="61"/>
      <c r="H9" s="47"/>
    </row>
    <row r="10" spans="1:8" x14ac:dyDescent="0.15">
      <c r="A10" s="63"/>
      <c r="B10" s="64">
        <v>0</v>
      </c>
      <c r="C10" s="64">
        <v>1</v>
      </c>
      <c r="D10" s="64">
        <v>2</v>
      </c>
      <c r="E10" s="64">
        <v>3</v>
      </c>
      <c r="F10" s="64">
        <v>4</v>
      </c>
      <c r="G10" s="64">
        <v>5</v>
      </c>
      <c r="H10" s="24"/>
    </row>
    <row r="11" spans="1:8" x14ac:dyDescent="0.15">
      <c r="A11" s="66">
        <v>5</v>
      </c>
      <c r="B11" s="67"/>
      <c r="C11" s="68" t="str">
        <f t="shared" ref="C11:G16" ca="1" si="0">IF($A11 &lt; C$10, $B$4*OFFSET(C11,0,-1),IF($A11=C$10,$B$3*OFFSET(C11,1,-1),""))</f>
        <v/>
      </c>
      <c r="D11" s="68" t="str">
        <f t="shared" ca="1" si="0"/>
        <v/>
      </c>
      <c r="E11" s="68" t="str">
        <f t="shared" ca="1" si="0"/>
        <v/>
      </c>
      <c r="F11" s="68" t="str">
        <f t="shared" ca="1" si="0"/>
        <v/>
      </c>
      <c r="G11" s="68">
        <f t="shared" ca="1" si="0"/>
        <v>0.18310546875</v>
      </c>
      <c r="H11" s="69"/>
    </row>
    <row r="12" spans="1:8" x14ac:dyDescent="0.15">
      <c r="A12" s="66">
        <v>4</v>
      </c>
      <c r="B12" s="68"/>
      <c r="C12" s="68" t="str">
        <f t="shared" ca="1" si="0"/>
        <v/>
      </c>
      <c r="D12" s="68" t="str">
        <f t="shared" ca="1" si="0"/>
        <v/>
      </c>
      <c r="E12" s="68" t="str">
        <f t="shared" ca="1" si="0"/>
        <v/>
      </c>
      <c r="F12" s="68">
        <f t="shared" ca="1" si="0"/>
        <v>0.146484375</v>
      </c>
      <c r="G12" s="68">
        <f t="shared" ca="1" si="0"/>
        <v>0.1318359375</v>
      </c>
      <c r="H12" s="69"/>
    </row>
    <row r="13" spans="1:8" x14ac:dyDescent="0.15">
      <c r="A13" s="66">
        <v>3</v>
      </c>
      <c r="B13" s="68"/>
      <c r="C13" s="68" t="str">
        <f t="shared" ca="1" si="0"/>
        <v/>
      </c>
      <c r="D13" s="68" t="str">
        <f t="shared" ca="1" si="0"/>
        <v/>
      </c>
      <c r="E13" s="68">
        <f t="shared" ca="1" si="0"/>
        <v>0.1171875</v>
      </c>
      <c r="F13" s="68">
        <f t="shared" ca="1" si="0"/>
        <v>0.10546875</v>
      </c>
      <c r="G13" s="68">
        <f t="shared" ca="1" si="0"/>
        <v>9.4921875000000003E-2</v>
      </c>
      <c r="H13" s="69"/>
    </row>
    <row r="14" spans="1:8" x14ac:dyDescent="0.15">
      <c r="A14" s="66">
        <v>2</v>
      </c>
      <c r="B14" s="68"/>
      <c r="C14" s="68" t="str">
        <f t="shared" ca="1" si="0"/>
        <v/>
      </c>
      <c r="D14" s="68">
        <f t="shared" ca="1" si="0"/>
        <v>9.375E-2</v>
      </c>
      <c r="E14" s="68">
        <f t="shared" ca="1" si="0"/>
        <v>8.4375000000000006E-2</v>
      </c>
      <c r="F14" s="68">
        <f t="shared" ca="1" si="0"/>
        <v>7.5937500000000005E-2</v>
      </c>
      <c r="G14" s="68">
        <f t="shared" ca="1" si="0"/>
        <v>6.8343750000000009E-2</v>
      </c>
      <c r="H14" s="69"/>
    </row>
    <row r="15" spans="1:8" x14ac:dyDescent="0.15">
      <c r="A15" s="66">
        <v>1</v>
      </c>
      <c r="B15" s="68"/>
      <c r="C15" s="68">
        <f t="shared" ca="1" si="0"/>
        <v>7.4999999999999997E-2</v>
      </c>
      <c r="D15" s="68">
        <f t="shared" ca="1" si="0"/>
        <v>6.7500000000000004E-2</v>
      </c>
      <c r="E15" s="68">
        <f t="shared" ca="1" si="0"/>
        <v>6.0750000000000005E-2</v>
      </c>
      <c r="F15" s="68">
        <f t="shared" ca="1" si="0"/>
        <v>5.4675000000000008E-2</v>
      </c>
      <c r="G15" s="68">
        <f t="shared" ca="1" si="0"/>
        <v>4.9207500000000008E-2</v>
      </c>
      <c r="H15" s="69"/>
    </row>
    <row r="16" spans="1:8" x14ac:dyDescent="0.15">
      <c r="A16" s="66">
        <v>0</v>
      </c>
      <c r="B16" s="68">
        <f>$B$2</f>
        <v>0.06</v>
      </c>
      <c r="C16" s="67">
        <f t="shared" ca="1" si="0"/>
        <v>5.3999999999999999E-2</v>
      </c>
      <c r="D16" s="68">
        <f t="shared" ca="1" si="0"/>
        <v>4.8599999999999997E-2</v>
      </c>
      <c r="E16" s="68">
        <f t="shared" ca="1" si="0"/>
        <v>4.3740000000000001E-2</v>
      </c>
      <c r="F16" s="68">
        <f t="shared" ca="1" si="0"/>
        <v>3.9366000000000005E-2</v>
      </c>
      <c r="G16" s="68">
        <f t="shared" ca="1" si="0"/>
        <v>3.5429400000000007E-2</v>
      </c>
      <c r="H16" s="69"/>
    </row>
    <row r="17" spans="1:9" ht="14" thickBot="1" x14ac:dyDescent="0.2">
      <c r="A17" s="53"/>
      <c r="B17" s="56"/>
      <c r="C17" s="56"/>
      <c r="D17" s="56"/>
      <c r="E17" s="56"/>
      <c r="F17" s="56"/>
      <c r="G17" s="56"/>
      <c r="H17" s="60"/>
    </row>
    <row r="20" spans="1:9" ht="14" thickBot="1" x14ac:dyDescent="0.2"/>
    <row r="21" spans="1:9" ht="14" thickBot="1" x14ac:dyDescent="0.2">
      <c r="A21" s="113" t="s">
        <v>13</v>
      </c>
      <c r="B21" s="114"/>
      <c r="C21" s="46"/>
      <c r="D21" s="46"/>
      <c r="E21" s="46"/>
      <c r="F21" s="46"/>
      <c r="G21" s="46"/>
      <c r="H21" s="46"/>
      <c r="I21" s="47"/>
    </row>
    <row r="22" spans="1:9" x14ac:dyDescent="0.15">
      <c r="A22" s="48"/>
      <c r="B22" s="50">
        <v>0</v>
      </c>
      <c r="C22" s="50">
        <v>1</v>
      </c>
      <c r="D22" s="50">
        <v>2</v>
      </c>
      <c r="E22" s="50">
        <v>3</v>
      </c>
      <c r="F22" s="50">
        <v>4</v>
      </c>
      <c r="G22" s="50">
        <v>5</v>
      </c>
      <c r="H22" s="50">
        <v>6</v>
      </c>
      <c r="I22" s="24"/>
    </row>
    <row r="23" spans="1:9" x14ac:dyDescent="0.15">
      <c r="A23" s="48">
        <v>6</v>
      </c>
      <c r="B23" s="57"/>
      <c r="C23" s="21" t="str">
        <f t="shared" ref="C23:H28" si="1">IF($A23=0,$B$5*B23/(1+B10), IF($A23=C$22, $B$5*B24/(1 +B11 ), IF(AND(0 &lt; $A23, $A23 &lt; C$22), $B$5*B24/(1+B11) + $B$6*B23/(1+B10 ),"")))</f>
        <v/>
      </c>
      <c r="D23" s="21" t="str">
        <f t="shared" si="1"/>
        <v/>
      </c>
      <c r="E23" s="21" t="str">
        <f t="shared" si="1"/>
        <v/>
      </c>
      <c r="F23" s="21" t="str">
        <f t="shared" si="1"/>
        <v/>
      </c>
      <c r="G23" s="21" t="str">
        <f t="shared" si="1"/>
        <v/>
      </c>
      <c r="H23" s="21">
        <f t="shared" ca="1" si="1"/>
        <v>8.273132131083329E-3</v>
      </c>
      <c r="I23" s="24"/>
    </row>
    <row r="24" spans="1:9" x14ac:dyDescent="0.15">
      <c r="A24" s="48">
        <v>5</v>
      </c>
      <c r="B24" s="57"/>
      <c r="C24" s="21" t="str">
        <f t="shared" si="1"/>
        <v/>
      </c>
      <c r="D24" s="21" t="str">
        <f t="shared" si="1"/>
        <v/>
      </c>
      <c r="E24" s="21" t="str">
        <f t="shared" si="1"/>
        <v/>
      </c>
      <c r="F24" s="21" t="str">
        <f t="shared" si="1"/>
        <v/>
      </c>
      <c r="G24" s="21">
        <f t="shared" ca="1" si="1"/>
        <v>1.9575975735952055E-2</v>
      </c>
      <c r="H24" s="21">
        <f t="shared" ca="1" si="1"/>
        <v>5.4253219267040222E-2</v>
      </c>
      <c r="I24" s="24"/>
    </row>
    <row r="25" spans="1:9" x14ac:dyDescent="0.15">
      <c r="A25" s="48">
        <v>4</v>
      </c>
      <c r="B25" s="57"/>
      <c r="C25" s="21" t="str">
        <f t="shared" si="1"/>
        <v/>
      </c>
      <c r="D25" s="21" t="str">
        <f t="shared" si="1"/>
        <v/>
      </c>
      <c r="E25" s="21" t="str">
        <f t="shared" si="1"/>
        <v/>
      </c>
      <c r="F25" s="21">
        <f t="shared" ca="1" si="1"/>
        <v>4.4887100613296316E-2</v>
      </c>
      <c r="G25" s="21">
        <f t="shared" ca="1" si="1"/>
        <v>0.10408383005971493</v>
      </c>
      <c r="H25" s="21">
        <f t="shared" ca="1" si="1"/>
        <v>0.14613116919921304</v>
      </c>
      <c r="I25" s="24"/>
    </row>
    <row r="26" spans="1:9" x14ac:dyDescent="0.15">
      <c r="A26" s="48">
        <v>3</v>
      </c>
      <c r="B26" s="57"/>
      <c r="C26" s="21" t="str">
        <f t="shared" si="1"/>
        <v/>
      </c>
      <c r="D26" s="21" t="str">
        <f t="shared" si="1"/>
        <v/>
      </c>
      <c r="E26" s="21">
        <f t="shared" ca="1" si="1"/>
        <v>0.10029461543283395</v>
      </c>
      <c r="F26" s="21">
        <f t="shared" ca="1" si="1"/>
        <v>0.18684158416894447</v>
      </c>
      <c r="G26" s="21">
        <f t="shared" ca="1" si="1"/>
        <v>0.21931522111195856</v>
      </c>
      <c r="H26" s="21">
        <f t="shared" ca="1" si="1"/>
        <v>0.20745099327213951</v>
      </c>
      <c r="I26" s="24"/>
    </row>
    <row r="27" spans="1:9" x14ac:dyDescent="0.15">
      <c r="A27" s="48">
        <v>2</v>
      </c>
      <c r="B27" s="57"/>
      <c r="C27" s="21" t="str">
        <f t="shared" si="1"/>
        <v/>
      </c>
      <c r="D27" s="21">
        <f t="shared" ca="1" si="1"/>
        <v>0.21939447125932426</v>
      </c>
      <c r="E27" s="21">
        <f t="shared" ca="1" si="1"/>
        <v>0.307863786211312</v>
      </c>
      <c r="F27" s="21">
        <f t="shared" ca="1" si="1"/>
        <v>0.29008860240734857</v>
      </c>
      <c r="G27" s="21">
        <f t="shared" ca="1" si="1"/>
        <v>0.22926637903113095</v>
      </c>
      <c r="H27" s="21">
        <f t="shared" ca="1" si="1"/>
        <v>0.16403204418995573</v>
      </c>
      <c r="I27" s="24"/>
    </row>
    <row r="28" spans="1:9" x14ac:dyDescent="0.15">
      <c r="A28" s="48">
        <v>1</v>
      </c>
      <c r="B28" s="57"/>
      <c r="C28" s="21">
        <f t="shared" si="1"/>
        <v>0.47169811320754712</v>
      </c>
      <c r="D28" s="21">
        <f t="shared" ca="1" si="1"/>
        <v>0.44316017961205056</v>
      </c>
      <c r="E28" s="21">
        <f t="shared" ca="1" si="1"/>
        <v>0.31426653314388253</v>
      </c>
      <c r="F28" s="21">
        <f t="shared" ca="1" si="1"/>
        <v>0.1992471174746355</v>
      </c>
      <c r="G28" s="21">
        <f t="shared" ca="1" si="1"/>
        <v>0.119047558829477</v>
      </c>
      <c r="H28" s="21">
        <f t="shared" ca="1" si="1"/>
        <v>6.8605731792609759E-2</v>
      </c>
      <c r="I28" s="24"/>
    </row>
    <row r="29" spans="1:9" x14ac:dyDescent="0.15">
      <c r="A29" s="48">
        <v>0</v>
      </c>
      <c r="B29" s="57">
        <v>1</v>
      </c>
      <c r="C29" s="21">
        <f>IF($A29=0,$B$5*B29/(1+B16), IF($A29=C$22, $B$5*B30/(1 +B17 ), IF(AND(0 &lt; $A29, $A29 &lt; C$22), $B$5*B30/(1+B17) + $B$6*B29/(1+B16 ),"")))</f>
        <v>0.47169811320754712</v>
      </c>
      <c r="D29" s="21">
        <f t="shared" ref="D29:H29" ca="1" si="2">IF($A29=0,$B$5*C29/(1+C16), IF($A29=D$22, $B$5*C30/(1 +C17 ), IF(AND(0 &lt; $A29, $A29 &lt; D$22), $B$5*C30/(1+C17) + $B$6*C29/(1+C16 ),"")))</f>
        <v>0.22376570835272633</v>
      </c>
      <c r="E29" s="21">
        <f t="shared" ca="1" si="2"/>
        <v>0.1066973623654045</v>
      </c>
      <c r="F29" s="21">
        <f t="shared" ca="1" si="2"/>
        <v>5.1112998622935064E-2</v>
      </c>
      <c r="G29" s="21">
        <f t="shared" ca="1" si="2"/>
        <v>2.4588546586541731E-2</v>
      </c>
      <c r="H29" s="21">
        <f t="shared" ca="1" si="2"/>
        <v>1.1873598811537383E-2</v>
      </c>
      <c r="I29" s="24"/>
    </row>
    <row r="30" spans="1:9" ht="14" thickBot="1" x14ac:dyDescent="0.2">
      <c r="A30" s="53"/>
      <c r="B30" s="56"/>
      <c r="C30" s="56"/>
      <c r="D30" s="56"/>
      <c r="E30" s="56"/>
      <c r="F30" s="56"/>
      <c r="G30" s="56"/>
      <c r="H30" s="56"/>
      <c r="I30" s="60"/>
    </row>
    <row r="32" spans="1:9" ht="14" thickBot="1" x14ac:dyDescent="0.2"/>
    <row r="33" spans="1:8" ht="14" thickBot="1" x14ac:dyDescent="0.2">
      <c r="A33" s="113" t="s">
        <v>40</v>
      </c>
      <c r="B33" s="114"/>
      <c r="C33" s="76">
        <f>SUM(C23:C29)*100</f>
        <v>94.339622641509422</v>
      </c>
      <c r="D33" s="74">
        <f t="shared" ref="D33:H33" ca="1" si="3">SUM(D23:D29)*100</f>
        <v>88.632035922410125</v>
      </c>
      <c r="E33" s="74">
        <f t="shared" ca="1" si="3"/>
        <v>82.912229715343301</v>
      </c>
      <c r="F33" s="74">
        <f t="shared" ca="1" si="3"/>
        <v>77.217740328716005</v>
      </c>
      <c r="G33" s="74">
        <f t="shared" ca="1" si="3"/>
        <v>71.587751135477532</v>
      </c>
      <c r="H33" s="77">
        <f t="shared" ca="1" si="3"/>
        <v>66.061988866357908</v>
      </c>
    </row>
    <row r="34" spans="1:8" ht="14" thickBot="1" x14ac:dyDescent="0.2">
      <c r="A34" s="113" t="s">
        <v>14</v>
      </c>
      <c r="B34" s="114"/>
      <c r="C34" s="78">
        <f>(100/C33)^(1/C22)-1</f>
        <v>6.0000000000000053E-2</v>
      </c>
      <c r="D34" s="75">
        <f t="shared" ref="D34:H34" ca="1" si="4">(100/D33)^(1/D22)-1</f>
        <v>6.2195940523159576E-2</v>
      </c>
      <c r="E34" s="75">
        <f t="shared" ca="1" si="4"/>
        <v>6.4454580516027038E-2</v>
      </c>
      <c r="F34" s="75">
        <f t="shared" ca="1" si="4"/>
        <v>6.6769838003144066E-2</v>
      </c>
      <c r="G34" s="75">
        <f t="shared" ca="1" si="4"/>
        <v>6.9134283378631478E-2</v>
      </c>
      <c r="H34" s="79">
        <f t="shared" ca="1" si="4"/>
        <v>7.1539189743532461E-2</v>
      </c>
    </row>
  </sheetData>
  <mergeCells count="5">
    <mergeCell ref="A34:B34"/>
    <mergeCell ref="A1:B1"/>
    <mergeCell ref="A9:B9"/>
    <mergeCell ref="A21:B21"/>
    <mergeCell ref="A33:B33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S115"/>
  <sheetViews>
    <sheetView showGridLines="0" topLeftCell="A6" zoomScaleNormal="100" zoomScalePageLayoutView="130" workbookViewId="0">
      <selection activeCell="F17" sqref="F17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26" t="s">
        <v>21</v>
      </c>
      <c r="B1" s="128"/>
      <c r="C1" s="128"/>
      <c r="D1" s="128"/>
      <c r="E1" s="128"/>
      <c r="F1" s="128"/>
      <c r="G1" s="128"/>
      <c r="H1" s="127"/>
    </row>
    <row r="2" spans="1:16" ht="14" thickBot="1" x14ac:dyDescent="0.2"/>
    <row r="3" spans="1:16" x14ac:dyDescent="0.15">
      <c r="A3" s="129" t="s">
        <v>15</v>
      </c>
      <c r="B3" s="130"/>
      <c r="C3" s="94">
        <v>1</v>
      </c>
      <c r="D3" s="94">
        <v>2</v>
      </c>
      <c r="E3" s="94">
        <v>3</v>
      </c>
      <c r="F3" s="94">
        <v>4</v>
      </c>
      <c r="G3" s="94">
        <v>5</v>
      </c>
      <c r="H3" s="94">
        <v>6</v>
      </c>
      <c r="I3" s="94">
        <v>7</v>
      </c>
      <c r="J3" s="94">
        <v>8</v>
      </c>
      <c r="K3" s="94">
        <v>9</v>
      </c>
      <c r="L3" s="94">
        <v>10</v>
      </c>
      <c r="M3" s="94">
        <v>11</v>
      </c>
      <c r="N3" s="94">
        <v>12</v>
      </c>
      <c r="O3" s="94">
        <v>13</v>
      </c>
      <c r="P3" s="95">
        <v>14</v>
      </c>
    </row>
    <row r="4" spans="1:16" ht="14" thickBot="1" x14ac:dyDescent="0.2">
      <c r="A4" s="131" t="s">
        <v>43</v>
      </c>
      <c r="B4" s="132"/>
      <c r="C4" s="96">
        <v>7.3</v>
      </c>
      <c r="D4" s="96">
        <v>7.62</v>
      </c>
      <c r="E4" s="96">
        <v>8.1</v>
      </c>
      <c r="F4" s="96">
        <v>8.4499999999999993</v>
      </c>
      <c r="G4" s="96">
        <v>9.1999999999999993</v>
      </c>
      <c r="H4" s="96">
        <v>9.64</v>
      </c>
      <c r="I4" s="96">
        <v>10.119999999999999</v>
      </c>
      <c r="J4" s="96">
        <v>10.45</v>
      </c>
      <c r="K4" s="97">
        <v>10.75</v>
      </c>
      <c r="L4" s="96">
        <v>11.22</v>
      </c>
      <c r="M4" s="96">
        <v>11.55</v>
      </c>
      <c r="N4" s="96">
        <v>11.92</v>
      </c>
      <c r="O4" s="96">
        <v>12.2</v>
      </c>
      <c r="P4" s="98">
        <v>12.32</v>
      </c>
    </row>
    <row r="5" spans="1:16" ht="14" thickBot="1" x14ac:dyDescent="0.2">
      <c r="A5" s="133" t="s">
        <v>16</v>
      </c>
      <c r="B5" s="134"/>
      <c r="C5" s="99">
        <v>5</v>
      </c>
      <c r="D5" s="100">
        <v>5</v>
      </c>
      <c r="E5" s="100">
        <v>5</v>
      </c>
      <c r="F5" s="100">
        <v>5</v>
      </c>
      <c r="G5" s="100">
        <v>5</v>
      </c>
      <c r="H5" s="100">
        <v>5</v>
      </c>
      <c r="I5" s="100">
        <v>5</v>
      </c>
      <c r="J5" s="100">
        <v>5</v>
      </c>
      <c r="K5" s="100">
        <v>5</v>
      </c>
      <c r="L5" s="100">
        <v>5</v>
      </c>
      <c r="M5" s="100">
        <v>5</v>
      </c>
      <c r="N5" s="100">
        <v>5</v>
      </c>
      <c r="O5" s="100">
        <v>5</v>
      </c>
      <c r="P5" s="101">
        <v>5</v>
      </c>
    </row>
    <row r="6" spans="1:16" x14ac:dyDescent="0.15">
      <c r="A6" s="80" t="s">
        <v>18</v>
      </c>
      <c r="B6" s="31">
        <v>5.0000000000000001E-3</v>
      </c>
    </row>
    <row r="7" spans="1:16" x14ac:dyDescent="0.15">
      <c r="A7" s="81" t="s">
        <v>5</v>
      </c>
      <c r="B7" s="83">
        <v>0.5</v>
      </c>
    </row>
    <row r="8" spans="1:16" ht="14" thickBot="1" x14ac:dyDescent="0.2">
      <c r="A8" s="82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26" t="s">
        <v>17</v>
      </c>
      <c r="B10" s="12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5.3357951219209632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5.3091827327267982</v>
      </c>
      <c r="P13" s="4">
        <f t="shared" si="0"/>
        <v>5.3091827327267982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5.2827030733774718</v>
      </c>
      <c r="O14" s="4">
        <f t="shared" si="0"/>
        <v>5.2827030733774718</v>
      </c>
      <c r="P14" s="4">
        <f t="shared" si="0"/>
        <v>5.2827030733774718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5.2563554818801208</v>
      </c>
      <c r="N15" s="4">
        <f t="shared" si="0"/>
        <v>5.2563554818801208</v>
      </c>
      <c r="O15" s="4">
        <f t="shared" si="0"/>
        <v>5.2563554818801208</v>
      </c>
      <c r="P15" s="4">
        <f t="shared" si="0"/>
        <v>5.2563554818801208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5.2301392995435849</v>
      </c>
      <c r="M16" s="4">
        <f t="shared" si="0"/>
        <v>5.2301392995435849</v>
      </c>
      <c r="N16" s="4">
        <f t="shared" si="0"/>
        <v>5.2301392995435849</v>
      </c>
      <c r="O16" s="4">
        <f t="shared" si="0"/>
        <v>5.2301392995435849</v>
      </c>
      <c r="P16" s="4">
        <f t="shared" si="0"/>
        <v>5.2301392995435849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5.2040538709619408</v>
      </c>
      <c r="L17" s="4">
        <f t="shared" si="0"/>
        <v>5.2040538709619408</v>
      </c>
      <c r="M17" s="4">
        <f t="shared" si="0"/>
        <v>5.2040538709619408</v>
      </c>
      <c r="N17" s="4">
        <f t="shared" si="0"/>
        <v>5.2040538709619408</v>
      </c>
      <c r="O17" s="4">
        <f t="shared" si="0"/>
        <v>5.2040538709619408</v>
      </c>
      <c r="P17" s="4">
        <f t="shared" si="0"/>
        <v>5.2040538709619408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5.1780985439981162</v>
      </c>
      <c r="K18" s="4">
        <f t="shared" si="0"/>
        <v>5.1780985439981162</v>
      </c>
      <c r="L18" s="4">
        <f t="shared" si="0"/>
        <v>5.1780985439981162</v>
      </c>
      <c r="M18" s="4">
        <f t="shared" si="0"/>
        <v>5.1780985439981162</v>
      </c>
      <c r="N18" s="4">
        <f t="shared" si="0"/>
        <v>5.1780985439981162</v>
      </c>
      <c r="O18" s="4">
        <f t="shared" si="0"/>
        <v>5.1780985439981162</v>
      </c>
      <c r="P18" s="4">
        <f t="shared" si="0"/>
        <v>5.1780985439981162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5.1522726697675845</v>
      </c>
      <c r="J19" s="4">
        <f t="shared" si="0"/>
        <v>5.1522726697675845</v>
      </c>
      <c r="K19" s="4">
        <f t="shared" si="0"/>
        <v>5.1522726697675845</v>
      </c>
      <c r="L19" s="4">
        <f t="shared" si="0"/>
        <v>5.1522726697675845</v>
      </c>
      <c r="M19" s="4">
        <f t="shared" si="0"/>
        <v>5.1522726697675845</v>
      </c>
      <c r="N19" s="4">
        <f t="shared" si="0"/>
        <v>5.1522726697675845</v>
      </c>
      <c r="O19" s="4">
        <f t="shared" si="0"/>
        <v>5.1522726697675845</v>
      </c>
      <c r="P19" s="4">
        <f t="shared" si="0"/>
        <v>5.1522726697675845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5.1265756026221441</v>
      </c>
      <c r="I20" s="4">
        <f t="shared" si="0"/>
        <v>5.1265756026221441</v>
      </c>
      <c r="J20" s="4">
        <f t="shared" si="0"/>
        <v>5.1265756026221441</v>
      </c>
      <c r="K20" s="4">
        <f t="shared" si="0"/>
        <v>5.1265756026221441</v>
      </c>
      <c r="L20" s="4">
        <f t="shared" si="0"/>
        <v>5.1265756026221441</v>
      </c>
      <c r="M20" s="4">
        <f t="shared" si="0"/>
        <v>5.1265756026221441</v>
      </c>
      <c r="N20" s="4">
        <f t="shared" si="0"/>
        <v>5.1265756026221441</v>
      </c>
      <c r="O20" s="4">
        <f t="shared" si="0"/>
        <v>5.1265756026221441</v>
      </c>
      <c r="P20" s="4">
        <f t="shared" si="0"/>
        <v>5.1265756026221441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5.1010067001337784</v>
      </c>
      <c r="H21" s="4">
        <f t="shared" si="0"/>
        <v>5.1010067001337784</v>
      </c>
      <c r="I21" s="4">
        <f t="shared" si="0"/>
        <v>5.1010067001337784</v>
      </c>
      <c r="J21" s="4">
        <f t="shared" si="0"/>
        <v>5.1010067001337784</v>
      </c>
      <c r="K21" s="4">
        <f t="shared" si="0"/>
        <v>5.1010067001337784</v>
      </c>
      <c r="L21" s="4">
        <f t="shared" si="0"/>
        <v>5.1010067001337784</v>
      </c>
      <c r="M21" s="4">
        <f t="shared" si="0"/>
        <v>5.1010067001337784</v>
      </c>
      <c r="N21" s="4">
        <f t="shared" si="0"/>
        <v>5.1010067001337784</v>
      </c>
      <c r="O21" s="4">
        <f t="shared" si="0"/>
        <v>5.1010067001337784</v>
      </c>
      <c r="P21" s="4">
        <f t="shared" si="0"/>
        <v>5.1010067001337784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5.0755653230785942</v>
      </c>
      <c r="G22" s="4">
        <f t="shared" si="0"/>
        <v>5.0755653230785942</v>
      </c>
      <c r="H22" s="4">
        <f t="shared" si="0"/>
        <v>5.0755653230785942</v>
      </c>
      <c r="I22" s="4">
        <f t="shared" si="0"/>
        <v>5.0755653230785942</v>
      </c>
      <c r="J22" s="4">
        <f t="shared" si="0"/>
        <v>5.0755653230785942</v>
      </c>
      <c r="K22" s="4">
        <f t="shared" si="0"/>
        <v>5.0755653230785942</v>
      </c>
      <c r="L22" s="4">
        <f t="shared" si="0"/>
        <v>5.0755653230785942</v>
      </c>
      <c r="M22" s="4">
        <f t="shared" si="0"/>
        <v>5.0755653230785942</v>
      </c>
      <c r="N22" s="4">
        <f t="shared" si="0"/>
        <v>5.0755653230785942</v>
      </c>
      <c r="O22" s="4">
        <f t="shared" si="0"/>
        <v>5.0755653230785942</v>
      </c>
      <c r="P22" s="4">
        <f t="shared" si="0"/>
        <v>5.0755653230785942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5.0502508354208402</v>
      </c>
      <c r="F23" s="4">
        <f t="shared" si="0"/>
        <v>5.0502508354208402</v>
      </c>
      <c r="G23" s="4">
        <f t="shared" si="0"/>
        <v>5.0502508354208402</v>
      </c>
      <c r="H23" s="4">
        <f t="shared" si="0"/>
        <v>5.0502508354208402</v>
      </c>
      <c r="I23" s="4">
        <f t="shared" si="0"/>
        <v>5.0502508354208402</v>
      </c>
      <c r="J23" s="4">
        <f t="shared" si="0"/>
        <v>5.0502508354208402</v>
      </c>
      <c r="K23" s="4">
        <f t="shared" si="0"/>
        <v>5.0502508354208402</v>
      </c>
      <c r="L23" s="4">
        <f t="shared" si="0"/>
        <v>5.0502508354208402</v>
      </c>
      <c r="M23" s="4">
        <f t="shared" si="0"/>
        <v>5.0502508354208402</v>
      </c>
      <c r="N23" s="4">
        <f t="shared" si="0"/>
        <v>5.0502508354208402</v>
      </c>
      <c r="O23" s="4">
        <f t="shared" si="0"/>
        <v>5.0502508354208402</v>
      </c>
      <c r="P23" s="4">
        <f t="shared" si="0"/>
        <v>5.0502508354208402</v>
      </c>
    </row>
    <row r="24" spans="1:17" x14ac:dyDescent="0.15">
      <c r="A24" s="12"/>
      <c r="B24" s="12">
        <v>1</v>
      </c>
      <c r="C24" s="4"/>
      <c r="D24" s="4">
        <f t="shared" si="0"/>
        <v>5.0250626042970046</v>
      </c>
      <c r="E24" s="4">
        <f t="shared" si="0"/>
        <v>5.0250626042970046</v>
      </c>
      <c r="F24" s="4">
        <f t="shared" si="0"/>
        <v>5.0250626042970046</v>
      </c>
      <c r="G24" s="4">
        <f t="shared" si="0"/>
        <v>5.0250626042970046</v>
      </c>
      <c r="H24" s="4">
        <f t="shared" si="0"/>
        <v>5.0250626042970046</v>
      </c>
      <c r="I24" s="4">
        <f t="shared" si="0"/>
        <v>5.0250626042970046</v>
      </c>
      <c r="J24" s="4">
        <f t="shared" si="0"/>
        <v>5.0250626042970046</v>
      </c>
      <c r="K24" s="4">
        <f t="shared" si="0"/>
        <v>5.0250626042970046</v>
      </c>
      <c r="L24" s="4">
        <f t="shared" si="0"/>
        <v>5.0250626042970046</v>
      </c>
      <c r="M24" s="4">
        <f t="shared" si="0"/>
        <v>5.0250626042970046</v>
      </c>
      <c r="N24" s="4">
        <f t="shared" si="0"/>
        <v>5.0250626042970046</v>
      </c>
      <c r="O24" s="4">
        <f t="shared" si="0"/>
        <v>5.0250626042970046</v>
      </c>
      <c r="P24" s="4">
        <f t="shared" si="0"/>
        <v>5.0250626042970046</v>
      </c>
    </row>
    <row r="25" spans="1:17" x14ac:dyDescent="0.15">
      <c r="A25" s="12"/>
      <c r="B25" s="12">
        <v>0</v>
      </c>
      <c r="C25" s="4">
        <f>IF( $B25 &lt;=C$11,(C$5+$B$6*$B25),"")</f>
        <v>5</v>
      </c>
      <c r="D25" s="2">
        <f t="shared" si="0"/>
        <v>5</v>
      </c>
      <c r="E25" s="4">
        <f t="shared" si="0"/>
        <v>5</v>
      </c>
      <c r="F25" s="4">
        <f t="shared" si="0"/>
        <v>5</v>
      </c>
      <c r="G25" s="4">
        <f t="shared" si="0"/>
        <v>5</v>
      </c>
      <c r="H25" s="4">
        <f t="shared" si="0"/>
        <v>5</v>
      </c>
      <c r="I25" s="4">
        <f t="shared" si="0"/>
        <v>5</v>
      </c>
      <c r="J25" s="4">
        <f t="shared" si="0"/>
        <v>5</v>
      </c>
      <c r="K25" s="4">
        <f t="shared" si="0"/>
        <v>5</v>
      </c>
      <c r="L25" s="4">
        <f t="shared" si="0"/>
        <v>5</v>
      </c>
      <c r="M25" s="4">
        <f t="shared" si="0"/>
        <v>5</v>
      </c>
      <c r="N25" s="4">
        <f t="shared" si="0"/>
        <v>5</v>
      </c>
      <c r="O25" s="4">
        <f t="shared" si="0"/>
        <v>5</v>
      </c>
      <c r="P25" s="4">
        <f t="shared" si="0"/>
        <v>5</v>
      </c>
    </row>
    <row r="27" spans="1:17" ht="14" thickBot="1" x14ac:dyDescent="0.2"/>
    <row r="28" spans="1:17" ht="14" thickBot="1" x14ac:dyDescent="0.2">
      <c r="A28" s="126" t="s">
        <v>13</v>
      </c>
      <c r="B28" s="127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P30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ref="Q30:Q44" si="2">IF($B30=0,$B$8*P30/(1+P11/100), IF($B30=Q$29, $B$7*P31/(1 +P12/100 ), IF(AND(0 &lt; $B30, $B30 &lt; Q$29), $B$7*P31/(1+P12/100) + $B$8*P30/(1+P11/100 ),"")))</f>
        <v>3.0151950769474699E-5</v>
      </c>
    </row>
    <row r="31" spans="1:17" x14ac:dyDescent="0.15">
      <c r="B31">
        <v>13</v>
      </c>
      <c r="C31" s="8"/>
      <c r="D31" s="8" t="str">
        <f t="shared" ref="D31:P31" si="3">IF($B31=0,$B$8*C31/(1+C12/100), IF($B31=D$29, $B$7*C32/(1 +C13/100 ), IF(AND(0 &lt; $B31, $B31 &lt; D$29), $B$7*C32/(1+C13/100) + $B$8*C31/(1+C12/100 ),"")))</f>
        <v/>
      </c>
      <c r="E31" s="8" t="str">
        <f t="shared" si="3"/>
        <v/>
      </c>
      <c r="F31" s="8" t="str">
        <f t="shared" si="3"/>
        <v/>
      </c>
      <c r="G31" s="8" t="str">
        <f t="shared" si="3"/>
        <v/>
      </c>
      <c r="H31" s="8" t="str">
        <f t="shared" si="3"/>
        <v/>
      </c>
      <c r="I31" s="8" t="str">
        <f t="shared" si="3"/>
        <v/>
      </c>
      <c r="J31" s="8" t="str">
        <f t="shared" si="3"/>
        <v/>
      </c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8" t="str">
        <f t="shared" si="3"/>
        <v/>
      </c>
      <c r="O31" s="8" t="str">
        <f t="shared" si="3"/>
        <v/>
      </c>
      <c r="P31" s="8">
        <f t="shared" si="3"/>
        <v>6.3521594175592683E-5</v>
      </c>
      <c r="Q31" s="8">
        <f t="shared" si="2"/>
        <v>4.2280838902499499E-4</v>
      </c>
    </row>
    <row r="32" spans="1:17" x14ac:dyDescent="0.15">
      <c r="B32">
        <v>12</v>
      </c>
      <c r="C32" s="8"/>
      <c r="D32" s="8" t="str">
        <f t="shared" ref="D32:P32" si="4">IF($B32=0,$B$8*C32/(1+C13/100), IF($B32=D$29, $B$7*C33/(1 +C14/100 ), IF(AND(0 &lt; $B32, $B32 &lt; D$29), $B$7*C33/(1+C14/100) + $B$8*C32/(1+C13/100 ),"")))</f>
        <v/>
      </c>
      <c r="E32" s="8" t="str">
        <f t="shared" si="4"/>
        <v/>
      </c>
      <c r="F32" s="8" t="str">
        <f t="shared" si="4"/>
        <v/>
      </c>
      <c r="G32" s="8" t="str">
        <f t="shared" si="4"/>
        <v/>
      </c>
      <c r="H32" s="8" t="str">
        <f t="shared" si="4"/>
        <v/>
      </c>
      <c r="I32" s="8" t="str">
        <f t="shared" si="4"/>
        <v/>
      </c>
      <c r="J32" s="8" t="str">
        <f t="shared" si="4"/>
        <v/>
      </c>
      <c r="K32" s="8" t="str">
        <f t="shared" si="4"/>
        <v/>
      </c>
      <c r="L32" s="8" t="str">
        <f t="shared" si="4"/>
        <v/>
      </c>
      <c r="M32" s="8" t="str">
        <f t="shared" si="4"/>
        <v/>
      </c>
      <c r="N32" s="8" t="str">
        <f t="shared" si="4"/>
        <v/>
      </c>
      <c r="O32" s="8">
        <f t="shared" si="4"/>
        <v>1.3378814337023208E-4</v>
      </c>
      <c r="P32" s="8">
        <f t="shared" si="4"/>
        <v>8.270065721486449E-4</v>
      </c>
      <c r="Q32" s="8">
        <f t="shared" si="2"/>
        <v>2.7526754438043631E-3</v>
      </c>
    </row>
    <row r="33" spans="1:17" x14ac:dyDescent="0.15">
      <c r="B33">
        <v>11</v>
      </c>
      <c r="C33" s="8"/>
      <c r="D33" s="8" t="str">
        <f t="shared" ref="D33:P33" si="5">IF($B33=0,$B$8*C33/(1+C14/100), IF($B33=D$29, $B$7*C34/(1 +C15/100 ), IF(AND(0 &lt; $B33, $B33 &lt; D$29), $B$7*C34/(1+C15/100) + $B$8*C33/(1+C14/100 ),"")))</f>
        <v/>
      </c>
      <c r="E33" s="8" t="str">
        <f t="shared" si="5"/>
        <v/>
      </c>
      <c r="F33" s="8" t="str">
        <f t="shared" si="5"/>
        <v/>
      </c>
      <c r="G33" s="8" t="str">
        <f t="shared" si="5"/>
        <v/>
      </c>
      <c r="H33" s="8" t="str">
        <f t="shared" si="5"/>
        <v/>
      </c>
      <c r="I33" s="8" t="str">
        <f t="shared" si="5"/>
        <v/>
      </c>
      <c r="J33" s="8" t="str">
        <f t="shared" si="5"/>
        <v/>
      </c>
      <c r="K33" s="8" t="str">
        <f t="shared" si="5"/>
        <v/>
      </c>
      <c r="L33" s="8" t="str">
        <f t="shared" si="5"/>
        <v/>
      </c>
      <c r="M33" s="8" t="str">
        <f t="shared" si="5"/>
        <v/>
      </c>
      <c r="N33" s="8">
        <f t="shared" si="5"/>
        <v>2.8171154746373204E-4</v>
      </c>
      <c r="O33" s="8">
        <f t="shared" si="5"/>
        <v>1.6076352447384199E-3</v>
      </c>
      <c r="P33" s="8">
        <f t="shared" si="5"/>
        <v>4.9693836041745281E-3</v>
      </c>
      <c r="Q33" s="8">
        <f t="shared" si="2"/>
        <v>1.1028361026240302E-2</v>
      </c>
    </row>
    <row r="34" spans="1:17" x14ac:dyDescent="0.15">
      <c r="B34">
        <v>10</v>
      </c>
      <c r="C34" s="8"/>
      <c r="D34" s="8" t="str">
        <f t="shared" ref="D34:P34" si="6">IF($B34=0,$B$8*C34/(1+C15/100), IF($B34=D$29, $B$7*C35/(1 +C16/100 ), IF(AND(0 &lt; $B34, $B34 &lt; D$29), $B$7*C35/(1+C16/100) + $B$8*C34/(1+C15/100 ),"")))</f>
        <v/>
      </c>
      <c r="E34" s="8" t="str">
        <f t="shared" si="6"/>
        <v/>
      </c>
      <c r="F34" s="8" t="str">
        <f t="shared" si="6"/>
        <v/>
      </c>
      <c r="G34" s="8" t="str">
        <f t="shared" si="6"/>
        <v/>
      </c>
      <c r="H34" s="8" t="str">
        <f t="shared" si="6"/>
        <v/>
      </c>
      <c r="I34" s="8" t="str">
        <f t="shared" si="6"/>
        <v/>
      </c>
      <c r="J34" s="8" t="str">
        <f t="shared" si="6"/>
        <v/>
      </c>
      <c r="K34" s="8" t="str">
        <f t="shared" si="6"/>
        <v/>
      </c>
      <c r="L34" s="8" t="str">
        <f t="shared" si="6"/>
        <v/>
      </c>
      <c r="M34" s="8">
        <f t="shared" si="6"/>
        <v>5.930386156638625E-4</v>
      </c>
      <c r="N34" s="8">
        <f t="shared" si="6"/>
        <v>3.1026354885509717E-3</v>
      </c>
      <c r="O34" s="8">
        <f t="shared" si="6"/>
        <v>8.8539512184042761E-3</v>
      </c>
      <c r="P34" s="8">
        <f t="shared" si="6"/>
        <v>1.8247961783368388E-2</v>
      </c>
      <c r="Q34" s="8">
        <f t="shared" si="2"/>
        <v>3.0376488539929053E-2</v>
      </c>
    </row>
    <row r="35" spans="1:17" x14ac:dyDescent="0.15">
      <c r="B35">
        <v>9</v>
      </c>
      <c r="C35" s="8"/>
      <c r="D35" s="8" t="str">
        <f t="shared" ref="D35:P35" si="7">IF($B35=0,$B$8*C35/(1+C16/100), IF($B35=D$29, $B$7*C36/(1 +C17/100 ), IF(AND(0 &lt; $B35, $B35 &lt; D$29), $B$7*C36/(1+C17/100) + $B$8*C35/(1+C16/100 ),"")))</f>
        <v/>
      </c>
      <c r="E35" s="8" t="str">
        <f t="shared" si="7"/>
        <v/>
      </c>
      <c r="F35" s="8" t="str">
        <f t="shared" si="7"/>
        <v/>
      </c>
      <c r="G35" s="8" t="str">
        <f t="shared" si="7"/>
        <v/>
      </c>
      <c r="H35" s="8" t="str">
        <f t="shared" si="7"/>
        <v/>
      </c>
      <c r="I35" s="8" t="str">
        <f t="shared" si="7"/>
        <v/>
      </c>
      <c r="J35" s="8" t="str">
        <f t="shared" si="7"/>
        <v/>
      </c>
      <c r="K35" s="8" t="str">
        <f t="shared" si="7"/>
        <v/>
      </c>
      <c r="L35" s="8">
        <f t="shared" si="7"/>
        <v>1.2481107227263349E-3</v>
      </c>
      <c r="M35" s="8">
        <f t="shared" si="7"/>
        <v>5.9369243854805551E-3</v>
      </c>
      <c r="N35" s="8">
        <f t="shared" si="7"/>
        <v>1.5532187685616854E-2</v>
      </c>
      <c r="O35" s="8">
        <f t="shared" si="7"/>
        <v>2.9552965241633259E-2</v>
      </c>
      <c r="P35" s="8">
        <f t="shared" si="7"/>
        <v>4.568702564308548E-2</v>
      </c>
      <c r="Q35" s="8">
        <f t="shared" si="2"/>
        <v>6.0849833880637083E-2</v>
      </c>
    </row>
    <row r="36" spans="1:17" x14ac:dyDescent="0.15">
      <c r="B36">
        <v>8</v>
      </c>
      <c r="C36" s="8"/>
      <c r="D36" s="8" t="str">
        <f t="shared" ref="D36:P36" si="8">IF($B36=0,$B$8*C36/(1+C17/100), IF($B36=D$29, $B$7*C37/(1 +C18/100 ), IF(AND(0 &lt; $B36, $B36 &lt; D$29), $B$7*C37/(1+C18/100) + $B$8*C36/(1+C17/100 ),"")))</f>
        <v/>
      </c>
      <c r="E36" s="8" t="str">
        <f t="shared" si="8"/>
        <v/>
      </c>
      <c r="F36" s="8" t="str">
        <f t="shared" si="8"/>
        <v/>
      </c>
      <c r="G36" s="8" t="str">
        <f t="shared" si="8"/>
        <v/>
      </c>
      <c r="H36" s="8" t="str">
        <f t="shared" si="8"/>
        <v/>
      </c>
      <c r="I36" s="8" t="str">
        <f t="shared" si="8"/>
        <v/>
      </c>
      <c r="J36" s="8" t="str">
        <f t="shared" si="8"/>
        <v/>
      </c>
      <c r="K36" s="8">
        <f t="shared" si="8"/>
        <v>2.6261261542125315E-3</v>
      </c>
      <c r="L36" s="8">
        <f t="shared" si="8"/>
        <v>1.1243968928161246E-2</v>
      </c>
      <c r="M36" s="8">
        <f t="shared" si="8"/>
        <v>2.6745529514949982E-2</v>
      </c>
      <c r="N36" s="8">
        <f t="shared" si="8"/>
        <v>4.6653497524509577E-2</v>
      </c>
      <c r="O36" s="8">
        <f t="shared" si="8"/>
        <v>6.658356676226293E-2</v>
      </c>
      <c r="P36" s="8">
        <f t="shared" si="8"/>
        <v>8.2357283715380453E-2</v>
      </c>
      <c r="Q36" s="8">
        <f t="shared" si="2"/>
        <v>9.1419833789852828E-2</v>
      </c>
    </row>
    <row r="37" spans="1:17" x14ac:dyDescent="0.15">
      <c r="B37">
        <v>7</v>
      </c>
      <c r="C37" s="8"/>
      <c r="D37" s="8" t="str">
        <f t="shared" ref="D37:P37" si="9">IF($B37=0,$B$8*C37/(1+C18/100), IF($B37=D$29, $B$7*C38/(1 +C19/100 ), IF(AND(0 &lt; $B37, $B37 &lt; D$29), $B$7*C38/(1+C19/100) + $B$8*C37/(1+C18/100 ),"")))</f>
        <v/>
      </c>
      <c r="E37" s="8" t="str">
        <f t="shared" si="9"/>
        <v/>
      </c>
      <c r="F37" s="8" t="str">
        <f t="shared" si="9"/>
        <v/>
      </c>
      <c r="G37" s="8" t="str">
        <f t="shared" si="9"/>
        <v/>
      </c>
      <c r="H37" s="8" t="str">
        <f t="shared" si="9"/>
        <v/>
      </c>
      <c r="I37" s="8" t="str">
        <f t="shared" si="9"/>
        <v/>
      </c>
      <c r="J37" s="8">
        <f t="shared" si="9"/>
        <v>5.5242191087347282E-3</v>
      </c>
      <c r="K37" s="8">
        <f t="shared" si="9"/>
        <v>2.1026907187261301E-2</v>
      </c>
      <c r="L37" s="8">
        <f t="shared" si="9"/>
        <v>4.5019683896583396E-2</v>
      </c>
      <c r="M37" s="8">
        <f t="shared" si="9"/>
        <v>7.1399592186283084E-2</v>
      </c>
      <c r="N37" s="8">
        <f t="shared" si="9"/>
        <v>9.3420671479338024E-2</v>
      </c>
      <c r="O37" s="8">
        <f t="shared" si="9"/>
        <v>0.10667651039334461</v>
      </c>
      <c r="P37" s="8">
        <f t="shared" si="9"/>
        <v>0.10997032073498857</v>
      </c>
      <c r="Q37" s="8">
        <f t="shared" si="2"/>
        <v>0.10464538771507492</v>
      </c>
    </row>
    <row r="38" spans="1:17" x14ac:dyDescent="0.15">
      <c r="B38">
        <v>6</v>
      </c>
      <c r="C38" s="8"/>
      <c r="D38" s="8" t="str">
        <f t="shared" ref="D38:P38" si="10">IF($B38=0,$B$8*C38/(1+C19/100), IF($B38=D$29, $B$7*C39/(1 +C20/100 ), IF(AND(0 &lt; $B38, $B38 &lt; D$29), $B$7*C39/(1+C20/100) + $B$8*C38/(1+C19/100 ),"")))</f>
        <v/>
      </c>
      <c r="E38" s="8" t="str">
        <f t="shared" si="10"/>
        <v/>
      </c>
      <c r="F38" s="8" t="str">
        <f t="shared" si="10"/>
        <v/>
      </c>
      <c r="G38" s="8" t="str">
        <f t="shared" si="10"/>
        <v/>
      </c>
      <c r="H38" s="8" t="str">
        <f t="shared" si="10"/>
        <v/>
      </c>
      <c r="I38" s="8">
        <f t="shared" si="10"/>
        <v>1.1617683880184292E-2</v>
      </c>
      <c r="J38" s="8">
        <f t="shared" si="10"/>
        <v>3.8697678890476643E-2</v>
      </c>
      <c r="K38" s="8">
        <f t="shared" si="10"/>
        <v>7.3656697380281133E-2</v>
      </c>
      <c r="L38" s="8">
        <f t="shared" si="10"/>
        <v>0.10514795814825528</v>
      </c>
      <c r="M38" s="8">
        <f t="shared" si="10"/>
        <v>0.12508585797869365</v>
      </c>
      <c r="N38" s="8">
        <f t="shared" si="10"/>
        <v>0.13094781759343307</v>
      </c>
      <c r="O38" s="8">
        <f t="shared" si="10"/>
        <v>0.12462226643740187</v>
      </c>
      <c r="P38" s="8">
        <f t="shared" si="10"/>
        <v>0.11013068869468685</v>
      </c>
      <c r="Q38" s="8">
        <f t="shared" si="2"/>
        <v>9.1709391932007112E-2</v>
      </c>
    </row>
    <row r="39" spans="1:17" x14ac:dyDescent="0.15">
      <c r="B39">
        <v>5</v>
      </c>
      <c r="C39" s="8"/>
      <c r="D39" s="8" t="str">
        <f t="shared" ref="D39:P39" si="11">IF($B39=0,$B$8*C39/(1+C20/100), IF($B39=D$29, $B$7*C40/(1 +C21/100 ), IF(AND(0 &lt; $B39, $B39 &lt; D$29), $B$7*C40/(1+C21/100) + $B$8*C39/(1+C20/100 ),"")))</f>
        <v/>
      </c>
      <c r="E39" s="8" t="str">
        <f t="shared" si="11"/>
        <v/>
      </c>
      <c r="F39" s="8" t="str">
        <f t="shared" si="11"/>
        <v/>
      </c>
      <c r="G39" s="8" t="str">
        <f t="shared" si="11"/>
        <v/>
      </c>
      <c r="H39" s="8">
        <f t="shared" si="11"/>
        <v>2.4426546455151174E-2</v>
      </c>
      <c r="I39" s="8">
        <f t="shared" si="11"/>
        <v>6.9748244554916738E-2</v>
      </c>
      <c r="J39" s="8">
        <f t="shared" si="11"/>
        <v>0.11617730534738976</v>
      </c>
      <c r="K39" s="8">
        <f t="shared" si="11"/>
        <v>0.14743819824640655</v>
      </c>
      <c r="L39" s="8">
        <f t="shared" si="11"/>
        <v>0.15787469597682913</v>
      </c>
      <c r="M39" s="8">
        <f t="shared" si="11"/>
        <v>0.15026662337413998</v>
      </c>
      <c r="N39" s="8">
        <f t="shared" si="11"/>
        <v>0.13110642566591335</v>
      </c>
      <c r="O39" s="8">
        <f t="shared" si="11"/>
        <v>0.10696143212305892</v>
      </c>
      <c r="P39" s="8">
        <f t="shared" si="11"/>
        <v>8.2718111483837453E-2</v>
      </c>
      <c r="Q39" s="8">
        <f t="shared" si="2"/>
        <v>6.1235911044431386E-2</v>
      </c>
    </row>
    <row r="40" spans="1:17" x14ac:dyDescent="0.15">
      <c r="B40">
        <v>4</v>
      </c>
      <c r="C40" s="8"/>
      <c r="D40" s="8" t="str">
        <f t="shared" ref="D40:P40" si="12">IF($B40=0,$B$8*C40/(1+C21/100), IF($B40=D$29, $B$7*C41/(1 +C22/100 ), IF(AND(0 &lt; $B40, $B40 &lt; D$29), $B$7*C41/(1+C22/100) + $B$8*C40/(1+C21/100 ),"")))</f>
        <v/>
      </c>
      <c r="E40" s="8" t="str">
        <f t="shared" si="12"/>
        <v/>
      </c>
      <c r="F40" s="8" t="str">
        <f t="shared" si="12"/>
        <v/>
      </c>
      <c r="G40" s="8">
        <f t="shared" si="12"/>
        <v>5.1345092452879451E-2</v>
      </c>
      <c r="H40" s="8">
        <f t="shared" si="12"/>
        <v>0.12219160893915176</v>
      </c>
      <c r="I40" s="8">
        <f t="shared" si="12"/>
        <v>0.17447575457864048</v>
      </c>
      <c r="J40" s="8">
        <f t="shared" si="12"/>
        <v>0.19376901255037454</v>
      </c>
      <c r="K40" s="8">
        <f t="shared" si="12"/>
        <v>0.18445345128853702</v>
      </c>
      <c r="L40" s="8">
        <f t="shared" si="12"/>
        <v>0.15802717013295059</v>
      </c>
      <c r="M40" s="8">
        <f t="shared" si="12"/>
        <v>0.12535827094484331</v>
      </c>
      <c r="N40" s="8">
        <f t="shared" si="12"/>
        <v>9.376054594428225E-2</v>
      </c>
      <c r="O40" s="8">
        <f t="shared" si="12"/>
        <v>6.693971883922932E-2</v>
      </c>
      <c r="P40" s="8">
        <f t="shared" si="12"/>
        <v>4.6021125167824833E-2</v>
      </c>
      <c r="Q40" s="8">
        <f t="shared" si="2"/>
        <v>3.0666045963913629E-2</v>
      </c>
    </row>
    <row r="41" spans="1:17" x14ac:dyDescent="0.15">
      <c r="B41">
        <v>3</v>
      </c>
      <c r="C41" s="8"/>
      <c r="D41" s="8" t="str">
        <f t="shared" ref="D41:P41" si="13">IF($B41=0,$B$8*C41/(1+C22/100), IF($B41=D$29, $B$7*C42/(1 +C23/100 ), IF(AND(0 &lt; $B41, $B41 &lt; D$29), $B$7*C42/(1+C23/100) + $B$8*C41/(1+C22/100 ),"")))</f>
        <v/>
      </c>
      <c r="E41" s="8" t="str">
        <f t="shared" si="13"/>
        <v/>
      </c>
      <c r="F41" s="8">
        <f t="shared" si="13"/>
        <v>0.1079022923210409</v>
      </c>
      <c r="G41" s="8">
        <f t="shared" si="13"/>
        <v>0.20545438418704931</v>
      </c>
      <c r="H41" s="8">
        <f t="shared" si="13"/>
        <v>0.2445007404415267</v>
      </c>
      <c r="I41" s="8">
        <f t="shared" si="13"/>
        <v>0.23277425078050717</v>
      </c>
      <c r="J41" s="8">
        <f t="shared" si="13"/>
        <v>0.19390890573217692</v>
      </c>
      <c r="K41" s="8">
        <f t="shared" si="13"/>
        <v>0.14768708337745132</v>
      </c>
      <c r="L41" s="8">
        <f t="shared" si="13"/>
        <v>0.10545290661621562</v>
      </c>
      <c r="M41" s="8">
        <f t="shared" si="13"/>
        <v>7.1710921428434299E-2</v>
      </c>
      <c r="N41" s="8">
        <f t="shared" si="13"/>
        <v>4.6936726285147515E-2</v>
      </c>
      <c r="O41" s="8">
        <f t="shared" si="13"/>
        <v>2.9790399864959381E-2</v>
      </c>
      <c r="P41" s="8">
        <f t="shared" si="13"/>
        <v>1.8435057298079274E-2</v>
      </c>
      <c r="Q41" s="8">
        <f t="shared" si="2"/>
        <v>1.1168752199840547E-2</v>
      </c>
    </row>
    <row r="42" spans="1:17" x14ac:dyDescent="0.15">
      <c r="B42">
        <v>2</v>
      </c>
      <c r="C42" s="8"/>
      <c r="D42" s="8" t="str">
        <f t="shared" ref="D42:P42" si="14">IF($B42=0,$B$8*C42/(1+C23/100), IF($B42=D$29, $B$7*C43/(1 +C24/100 ), IF(AND(0 &lt; $B42, $B42 &lt; D$29), $B$7*C43/(1+C24/100) + $B$8*C42/(1+C23/100 ),"")))</f>
        <v/>
      </c>
      <c r="E42" s="8">
        <f t="shared" si="14"/>
        <v>0.22670325748084499</v>
      </c>
      <c r="F42" s="8">
        <f t="shared" si="14"/>
        <v>0.32378439505487183</v>
      </c>
      <c r="G42" s="8">
        <f t="shared" si="14"/>
        <v>0.308292395518873</v>
      </c>
      <c r="H42" s="8">
        <f t="shared" si="14"/>
        <v>0.24461803258836437</v>
      </c>
      <c r="I42" s="8">
        <f t="shared" si="14"/>
        <v>0.17468541221628692</v>
      </c>
      <c r="J42" s="8">
        <f t="shared" si="14"/>
        <v>0.11642911329445599</v>
      </c>
      <c r="K42" s="8">
        <f t="shared" si="14"/>
        <v>7.3905582775516704E-2</v>
      </c>
      <c r="L42" s="8">
        <f t="shared" si="14"/>
        <v>4.523750445328973E-2</v>
      </c>
      <c r="M42" s="8">
        <f t="shared" si="14"/>
        <v>2.6920652343009541E-2</v>
      </c>
      <c r="N42" s="8">
        <f t="shared" si="14"/>
        <v>1.566436113513504E-2</v>
      </c>
      <c r="O42" s="8">
        <f t="shared" si="14"/>
        <v>8.9489250147207367E-3</v>
      </c>
      <c r="P42" s="8">
        <f t="shared" si="14"/>
        <v>5.034988422452126E-3</v>
      </c>
      <c r="Q42" s="8">
        <f t="shared" si="2"/>
        <v>2.7965475631248258E-3</v>
      </c>
    </row>
    <row r="43" spans="1:17" x14ac:dyDescent="0.15">
      <c r="B43">
        <v>1</v>
      </c>
      <c r="C43" s="8"/>
      <c r="D43" s="8">
        <f t="shared" ref="D43:P43" si="15">IF($B43=0,$B$8*C43/(1+C24/100), IF($B43=D$29, $B$7*C44/(1 +C25/100 ), IF(AND(0 &lt; $B43, $B43 &lt; D$29), $B$7*C44/(1+C25/100) + $B$8*C43/(1+C24/100 ),"")))</f>
        <v>0.47619047619047616</v>
      </c>
      <c r="E43" s="8">
        <f t="shared" si="15"/>
        <v>0.45346062709535745</v>
      </c>
      <c r="F43" s="8">
        <f t="shared" si="15"/>
        <v>0.32386180255026542</v>
      </c>
      <c r="G43" s="8">
        <f t="shared" si="15"/>
        <v>0.20560200845919577</v>
      </c>
      <c r="H43" s="8">
        <f t="shared" si="15"/>
        <v>0.12236754733297758</v>
      </c>
      <c r="I43" s="8">
        <f t="shared" si="15"/>
        <v>6.9915970912135056E-2</v>
      </c>
      <c r="J43" s="8">
        <f t="shared" si="15"/>
        <v>3.8837572438647321E-2</v>
      </c>
      <c r="K43" s="8">
        <f t="shared" si="15"/>
        <v>2.1133572545352787E-2</v>
      </c>
      <c r="L43" s="8">
        <f t="shared" si="15"/>
        <v>1.1320206239790267E-2</v>
      </c>
      <c r="M43" s="8">
        <f t="shared" si="15"/>
        <v>5.9888126844833238E-3</v>
      </c>
      <c r="N43" s="8">
        <f t="shared" si="15"/>
        <v>3.1366229565556814E-3</v>
      </c>
      <c r="O43" s="8">
        <f t="shared" si="15"/>
        <v>1.6292201829520368E-3</v>
      </c>
      <c r="P43" s="8">
        <f t="shared" si="15"/>
        <v>8.4037049051909974E-4</v>
      </c>
      <c r="Q43" s="8">
        <f t="shared" si="2"/>
        <v>4.3090782958000561E-4</v>
      </c>
    </row>
    <row r="44" spans="1:17" x14ac:dyDescent="0.15">
      <c r="B44">
        <v>0</v>
      </c>
      <c r="C44" s="8">
        <v>1</v>
      </c>
      <c r="D44" s="9">
        <f t="shared" ref="D44:P44" si="16">IF($B44=0,$B$8*C44/(1+C25/100), IF($B44=D$29, $B$7*C45/(1 +C26/100 ), IF(AND(0 &lt; $B44, $B44 &lt; D$29), $B$7*C45/(1+C26/100) + $B$8*C44/(1+C25/100 ),"")))</f>
        <v>0.47619047619047616</v>
      </c>
      <c r="E44" s="8">
        <f t="shared" si="16"/>
        <v>0.22675736961451246</v>
      </c>
      <c r="F44" s="8">
        <f t="shared" si="16"/>
        <v>0.1079796998164345</v>
      </c>
      <c r="G44" s="8">
        <f t="shared" si="16"/>
        <v>5.1418904674492616E-2</v>
      </c>
      <c r="H44" s="8">
        <f t="shared" si="16"/>
        <v>2.4485192702139339E-2</v>
      </c>
      <c r="I44" s="8">
        <f t="shared" si="16"/>
        <v>1.1659615572447303E-2</v>
      </c>
      <c r="J44" s="8">
        <f t="shared" si="16"/>
        <v>5.5521978916415722E-3</v>
      </c>
      <c r="K44" s="8">
        <f t="shared" si="16"/>
        <v>2.6439037579245581E-3</v>
      </c>
      <c r="L44" s="8">
        <f t="shared" si="16"/>
        <v>1.2590017894878848E-3</v>
      </c>
      <c r="M44" s="8">
        <f t="shared" si="16"/>
        <v>5.9952466166089755E-4</v>
      </c>
      <c r="N44" s="8">
        <f t="shared" si="16"/>
        <v>2.8548793412423691E-4</v>
      </c>
      <c r="O44" s="8">
        <f t="shared" si="16"/>
        <v>1.3594663529725565E-4</v>
      </c>
      <c r="P44" s="8">
        <f t="shared" si="16"/>
        <v>6.4736492998693164E-5</v>
      </c>
      <c r="Q44" s="8">
        <f t="shared" si="2"/>
        <v>3.0826901427949123E-5</v>
      </c>
    </row>
    <row r="46" spans="1:17" ht="14" thickBot="1" x14ac:dyDescent="0.2"/>
    <row r="47" spans="1:17" ht="14" thickBot="1" x14ac:dyDescent="0.2">
      <c r="A47" s="126" t="s">
        <v>41</v>
      </c>
      <c r="B47" s="128"/>
      <c r="C47" s="127"/>
      <c r="D47" s="91">
        <f>SUM(D30:D44)</f>
        <v>0.95238095238095233</v>
      </c>
      <c r="E47" s="92">
        <f>SUM(E30:E44)</f>
        <v>0.9069212541907149</v>
      </c>
      <c r="F47" s="92">
        <f t="shared" ref="F47:Q47" si="17">SUM(F30:F44)</f>
        <v>0.8635281897426127</v>
      </c>
      <c r="G47" s="92">
        <f t="shared" si="17"/>
        <v>0.8221127852924901</v>
      </c>
      <c r="H47" s="92">
        <f t="shared" si="17"/>
        <v>0.78258966845931099</v>
      </c>
      <c r="I47" s="92">
        <f t="shared" si="17"/>
        <v>0.74487693249511799</v>
      </c>
      <c r="J47" s="92">
        <f t="shared" si="17"/>
        <v>0.7088960052538974</v>
      </c>
      <c r="K47" s="92">
        <f t="shared" si="17"/>
        <v>0.67457152271294385</v>
      </c>
      <c r="L47" s="92">
        <f t="shared" si="17"/>
        <v>0.64183120690428952</v>
      </c>
      <c r="M47" s="92">
        <f t="shared" si="17"/>
        <v>0.61060574811764257</v>
      </c>
      <c r="N47" s="92">
        <f t="shared" si="17"/>
        <v>0.58082869124007031</v>
      </c>
      <c r="O47" s="92">
        <f t="shared" si="17"/>
        <v>0.55243632610137328</v>
      </c>
      <c r="P47" s="92">
        <f t="shared" si="17"/>
        <v>0.52536758169771991</v>
      </c>
      <c r="Q47" s="93">
        <f t="shared" si="17"/>
        <v>0.49956392416965845</v>
      </c>
    </row>
    <row r="48" spans="1:17" ht="14" thickBot="1" x14ac:dyDescent="0.2">
      <c r="A48" s="126" t="s">
        <v>42</v>
      </c>
      <c r="B48" s="128"/>
      <c r="C48" s="127"/>
      <c r="D48" s="88">
        <f>100*((1/D47)^(1/D29)-1)</f>
        <v>5.0000000000000044</v>
      </c>
      <c r="E48" s="89">
        <f t="shared" ref="E48:Q48" si="18">100*((1/E47)^(1/E29)-1)</f>
        <v>5.006264716495834</v>
      </c>
      <c r="F48" s="89">
        <f t="shared" si="18"/>
        <v>5.0125392715468786</v>
      </c>
      <c r="G48" s="89">
        <f t="shared" si="18"/>
        <v>5.0188236793180074</v>
      </c>
      <c r="H48" s="89">
        <f t="shared" si="18"/>
        <v>5.0251179539794188</v>
      </c>
      <c r="I48" s="89">
        <f t="shared" si="18"/>
        <v>5.0314221097065515</v>
      </c>
      <c r="J48" s="89">
        <f t="shared" si="18"/>
        <v>5.0377361606800175</v>
      </c>
      <c r="K48" s="89">
        <f t="shared" si="18"/>
        <v>5.044060121085403</v>
      </c>
      <c r="L48" s="89">
        <f t="shared" si="18"/>
        <v>5.0503940051133345</v>
      </c>
      <c r="M48" s="89">
        <f t="shared" si="18"/>
        <v>5.0567378269592567</v>
      </c>
      <c r="N48" s="89">
        <f t="shared" si="18"/>
        <v>5.0630916008234106</v>
      </c>
      <c r="O48" s="89">
        <f t="shared" si="18"/>
        <v>5.069455340910678</v>
      </c>
      <c r="P48" s="89">
        <f t="shared" si="18"/>
        <v>5.0758290614305368</v>
      </c>
      <c r="Q48" s="90">
        <f t="shared" si="18"/>
        <v>5.0822127765969949</v>
      </c>
    </row>
    <row r="49" spans="1:17" ht="14" thickBot="1" x14ac:dyDescent="0.2"/>
    <row r="50" spans="1:17" ht="14" thickBot="1" x14ac:dyDescent="0.2">
      <c r="A50" s="126" t="s">
        <v>20</v>
      </c>
      <c r="B50" s="128"/>
      <c r="C50" s="127"/>
      <c r="D50" s="85">
        <f t="shared" ref="D50:Q50" si="19">(D48-C4)^2</f>
        <v>5.2899999999999787</v>
      </c>
      <c r="E50" s="86">
        <f t="shared" si="19"/>
        <v>6.8316121322346035</v>
      </c>
      <c r="F50" s="86">
        <f t="shared" si="19"/>
        <v>9.532413749740277</v>
      </c>
      <c r="G50" s="86">
        <f t="shared" si="19"/>
        <v>11.772970943608811</v>
      </c>
      <c r="H50" s="86">
        <f t="shared" si="19"/>
        <v>17.429640098184986</v>
      </c>
      <c r="I50" s="86">
        <f t="shared" si="19"/>
        <v>21.238990170901619</v>
      </c>
      <c r="J50" s="86">
        <f t="shared" si="19"/>
        <v>25.829405732459481</v>
      </c>
      <c r="K50" s="86">
        <f t="shared" si="19"/>
        <v>29.224185974439159</v>
      </c>
      <c r="L50" s="86">
        <f t="shared" si="19"/>
        <v>32.485508496948015</v>
      </c>
      <c r="M50" s="86">
        <f t="shared" si="19"/>
        <v>37.985800613634915</v>
      </c>
      <c r="N50" s="86">
        <f t="shared" si="19"/>
        <v>42.079980579307794</v>
      </c>
      <c r="O50" s="86">
        <f t="shared" si="19"/>
        <v>46.929962126177237</v>
      </c>
      <c r="P50" s="86">
        <f t="shared" si="19"/>
        <v>50.753811561957697</v>
      </c>
      <c r="Q50" s="87">
        <f t="shared" si="19"/>
        <v>52.385563891255785</v>
      </c>
    </row>
    <row r="51" spans="1:17" ht="14" thickBot="1" x14ac:dyDescent="0.2">
      <c r="A51" s="126" t="s">
        <v>19</v>
      </c>
      <c r="B51" s="128"/>
      <c r="C51" s="127"/>
      <c r="D51" s="84">
        <f>SUM(D50:Q50)</f>
        <v>389.76984607085041</v>
      </c>
    </row>
    <row r="55" spans="1:17" ht="14" thickBot="1" x14ac:dyDescent="0.2"/>
    <row r="56" spans="1:17" ht="14" thickBot="1" x14ac:dyDescent="0.2">
      <c r="A56" s="135" t="s">
        <v>28</v>
      </c>
      <c r="B56" s="136"/>
      <c r="C56" s="13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16" t="str">
        <f t="shared" ref="C58:D67" si="20">IF($B58&lt;= C$57, ($B$7*D57+$B$8*D58)/(1+C16/100),"")</f>
        <v/>
      </c>
      <c r="D58" s="16" t="str">
        <f t="shared" si="20"/>
        <v/>
      </c>
      <c r="E58" s="16" t="str">
        <f t="shared" ref="E58:E67" si="21">IF($B58&lt;= E$57, MAX((E16/100-$C$70)/(1+E16/100) +($B$7*F57+$B$8*F58)/(1+E16/100) - $C$73,0),"")</f>
        <v/>
      </c>
      <c r="F58" s="17" t="str">
        <f t="shared" ref="F58:K67" si="22">IF($B58&lt;= F$57, (F16/100-$C$70)/(1+F16/100) +($B$7*G57+$B$8*G58)/(1+F16/100),"")</f>
        <v/>
      </c>
      <c r="G58" s="17" t="str">
        <f t="shared" si="22"/>
        <v/>
      </c>
      <c r="H58" s="17" t="str">
        <f t="shared" si="22"/>
        <v/>
      </c>
      <c r="I58" s="17" t="str">
        <f t="shared" si="22"/>
        <v/>
      </c>
      <c r="J58" s="17" t="str">
        <f t="shared" si="22"/>
        <v/>
      </c>
      <c r="K58" s="17" t="str">
        <f t="shared" si="22"/>
        <v/>
      </c>
      <c r="L58" s="17">
        <f t="shared" ref="L58:L67" si="23">IF($B58&lt;= L$57, (L16/100-$C$70)/(1+L16/100),"")</f>
        <v>-6.1007813381125695E-2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16" t="str">
        <f t="shared" si="20"/>
        <v/>
      </c>
      <c r="D59" s="16" t="str">
        <f t="shared" si="20"/>
        <v/>
      </c>
      <c r="E59" s="16" t="str">
        <f t="shared" si="21"/>
        <v/>
      </c>
      <c r="F59" s="17" t="str">
        <f t="shared" si="22"/>
        <v/>
      </c>
      <c r="G59" s="17" t="str">
        <f t="shared" si="22"/>
        <v/>
      </c>
      <c r="H59" s="17" t="str">
        <f t="shared" si="22"/>
        <v/>
      </c>
      <c r="I59" s="17" t="str">
        <f t="shared" si="22"/>
        <v/>
      </c>
      <c r="J59" s="17" t="str">
        <f t="shared" si="22"/>
        <v/>
      </c>
      <c r="K59" s="17">
        <f t="shared" si="22"/>
        <v>-0.11938590663996712</v>
      </c>
      <c r="L59" s="17">
        <f t="shared" si="23"/>
        <v>-6.1270891109807775E-2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16" t="str">
        <f t="shared" si="20"/>
        <v/>
      </c>
      <c r="D60" s="16" t="str">
        <f t="shared" si="20"/>
        <v/>
      </c>
      <c r="E60" s="16" t="str">
        <f t="shared" si="21"/>
        <v/>
      </c>
      <c r="F60" s="17" t="str">
        <f t="shared" si="22"/>
        <v/>
      </c>
      <c r="G60" s="17" t="str">
        <f t="shared" si="22"/>
        <v/>
      </c>
      <c r="H60" s="17" t="str">
        <f t="shared" si="22"/>
        <v/>
      </c>
      <c r="I60" s="17" t="str">
        <f t="shared" si="22"/>
        <v/>
      </c>
      <c r="J60" s="17">
        <f t="shared" si="22"/>
        <v>-0.17529107663871923</v>
      </c>
      <c r="K60" s="17">
        <f t="shared" si="22"/>
        <v>-0.11991170689180998</v>
      </c>
      <c r="L60" s="17">
        <f t="shared" si="23"/>
        <v>-6.1532786251070684E-2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16" t="str">
        <f t="shared" si="20"/>
        <v/>
      </c>
      <c r="D61" s="16" t="str">
        <f t="shared" si="20"/>
        <v/>
      </c>
      <c r="E61" s="16" t="str">
        <f t="shared" si="21"/>
        <v/>
      </c>
      <c r="F61" s="17" t="str">
        <f t="shared" si="22"/>
        <v/>
      </c>
      <c r="G61" s="17" t="str">
        <f t="shared" si="22"/>
        <v/>
      </c>
      <c r="H61" s="17" t="str">
        <f t="shared" si="22"/>
        <v/>
      </c>
      <c r="I61" s="17">
        <f t="shared" si="22"/>
        <v>-0.22887014958644189</v>
      </c>
      <c r="J61" s="17">
        <f t="shared" si="22"/>
        <v>-0.17607870426231312</v>
      </c>
      <c r="K61" s="17">
        <f t="shared" si="22"/>
        <v>-0.120435264942144</v>
      </c>
      <c r="L61" s="17">
        <f t="shared" si="23"/>
        <v>-6.1793503509321522E-2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16" t="str">
        <f t="shared" si="20"/>
        <v/>
      </c>
      <c r="D62" s="16" t="str">
        <f t="shared" si="20"/>
        <v/>
      </c>
      <c r="E62" s="16" t="str">
        <f t="shared" si="21"/>
        <v/>
      </c>
      <c r="F62" s="17" t="str">
        <f t="shared" si="22"/>
        <v/>
      </c>
      <c r="G62" s="17" t="str">
        <f t="shared" si="22"/>
        <v/>
      </c>
      <c r="H62" s="17">
        <f t="shared" si="22"/>
        <v>-0.28026066284960949</v>
      </c>
      <c r="I62" s="17">
        <f t="shared" si="22"/>
        <v>-0.22991823769601041</v>
      </c>
      <c r="J62" s="17">
        <f t="shared" si="22"/>
        <v>-0.17686314774155554</v>
      </c>
      <c r="K62" s="17">
        <f t="shared" si="22"/>
        <v>-0.12095658855770626</v>
      </c>
      <c r="L62" s="17">
        <f t="shared" si="23"/>
        <v>-6.205304757606072E-2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16" t="str">
        <f t="shared" si="20"/>
        <v/>
      </c>
      <c r="D63" s="16" t="str">
        <f t="shared" si="20"/>
        <v/>
      </c>
      <c r="E63" s="16" t="str">
        <f t="shared" si="21"/>
        <v/>
      </c>
      <c r="F63" s="17" t="str">
        <f t="shared" si="22"/>
        <v/>
      </c>
      <c r="G63" s="17">
        <f t="shared" si="22"/>
        <v>-0.32959149717004693</v>
      </c>
      <c r="H63" s="17">
        <f t="shared" si="22"/>
        <v>-0.28156743420059055</v>
      </c>
      <c r="I63" s="17">
        <f t="shared" si="22"/>
        <v>-0.23096231207577994</v>
      </c>
      <c r="J63" s="17">
        <f t="shared" si="22"/>
        <v>-0.17764441644021881</v>
      </c>
      <c r="K63" s="17">
        <f t="shared" si="22"/>
        <v>-0.12147568549546515</v>
      </c>
      <c r="L63" s="17">
        <f t="shared" si="23"/>
        <v>-6.2311423129859385E-2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16" t="str">
        <f t="shared" si="20"/>
        <v/>
      </c>
      <c r="D64" s="16" t="str">
        <f t="shared" si="20"/>
        <v/>
      </c>
      <c r="E64" s="16" t="str">
        <f t="shared" si="21"/>
        <v/>
      </c>
      <c r="F64" s="17">
        <f t="shared" si="22"/>
        <v>-0.37698346310033565</v>
      </c>
      <c r="G64" s="17">
        <f t="shared" si="22"/>
        <v>-0.33115481934591917</v>
      </c>
      <c r="H64" s="17">
        <f t="shared" si="22"/>
        <v>-0.28286946930566992</v>
      </c>
      <c r="I64" s="17">
        <f t="shared" si="22"/>
        <v>-0.23200238238444193</v>
      </c>
      <c r="J64" s="17">
        <f t="shared" si="22"/>
        <v>-0.1784225197282788</v>
      </c>
      <c r="K64" s="17">
        <f t="shared" si="22"/>
        <v>-0.12199256350244751</v>
      </c>
      <c r="L64" s="17">
        <f t="shared" si="23"/>
        <v>-6.2568634836337247E-2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16" t="str">
        <f t="shared" si="20"/>
        <v/>
      </c>
      <c r="D65" s="16" t="str">
        <f t="shared" si="20"/>
        <v/>
      </c>
      <c r="E65" s="17">
        <f t="shared" si="21"/>
        <v>0</v>
      </c>
      <c r="F65" s="17">
        <f t="shared" si="22"/>
        <v>-0.3788008980971459</v>
      </c>
      <c r="G65" s="17">
        <f t="shared" si="22"/>
        <v>-0.33271278459825493</v>
      </c>
      <c r="H65" s="17">
        <f t="shared" si="22"/>
        <v>-0.28416677696670739</v>
      </c>
      <c r="I65" s="17">
        <f t="shared" si="22"/>
        <v>-0.23303845831288883</v>
      </c>
      <c r="J65" s="17">
        <f t="shared" si="22"/>
        <v>-0.17919746698151262</v>
      </c>
      <c r="K65" s="17">
        <f t="shared" si="22"/>
        <v>-0.12250723031556809</v>
      </c>
      <c r="L65" s="17">
        <f t="shared" si="23"/>
        <v>-6.2824687348141561E-2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16" t="str">
        <f t="shared" si="20"/>
        <v/>
      </c>
      <c r="D66" s="17">
        <f t="shared" si="20"/>
        <v>0</v>
      </c>
      <c r="E66" s="17">
        <f t="shared" si="21"/>
        <v>0</v>
      </c>
      <c r="F66" s="17">
        <f t="shared" si="22"/>
        <v>-0.38061245218351131</v>
      </c>
      <c r="G66" s="17">
        <f t="shared" si="22"/>
        <v>-0.33426539985865072</v>
      </c>
      <c r="H66" s="17">
        <f t="shared" si="22"/>
        <v>-0.28545936605133593</v>
      </c>
      <c r="I66" s="17">
        <f t="shared" si="22"/>
        <v>-0.23407054958354104</v>
      </c>
      <c r="J66" s="17">
        <f t="shared" si="22"/>
        <v>-0.17996926758109955</v>
      </c>
      <c r="K66" s="17">
        <f t="shared" si="22"/>
        <v>-0.12301969366146115</v>
      </c>
      <c r="L66" s="17">
        <f t="shared" si="23"/>
        <v>-6.3079585304926467E-2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2">
        <f t="shared" si="20"/>
        <v>0</v>
      </c>
      <c r="D67" s="16">
        <f t="shared" si="20"/>
        <v>0</v>
      </c>
      <c r="E67" s="16">
        <f t="shared" si="21"/>
        <v>0</v>
      </c>
      <c r="F67" s="17">
        <f t="shared" si="22"/>
        <v>-0.3824181295343565</v>
      </c>
      <c r="G67" s="17">
        <f t="shared" si="22"/>
        <v>-0.33581267216349786</v>
      </c>
      <c r="H67" s="17">
        <f t="shared" si="22"/>
        <v>-0.28674724549200953</v>
      </c>
      <c r="I67" s="17">
        <f t="shared" si="22"/>
        <v>-0.23509866594967899</v>
      </c>
      <c r="J67" s="17">
        <f t="shared" si="22"/>
        <v>-0.18073793091322637</v>
      </c>
      <c r="K67" s="16">
        <f t="shared" si="22"/>
        <v>-0.1235299612563142</v>
      </c>
      <c r="L67" s="16">
        <f t="shared" si="23"/>
        <v>-6.3333333333333339E-2</v>
      </c>
      <c r="M67" s="4"/>
      <c r="N67" s="4"/>
      <c r="O67" s="4"/>
      <c r="P67" s="4"/>
    </row>
    <row r="70" spans="1:16" x14ac:dyDescent="0.15">
      <c r="A70" s="13" t="s">
        <v>22</v>
      </c>
      <c r="B70" s="11"/>
      <c r="C70" s="18">
        <v>0.11650000000000001</v>
      </c>
      <c r="D70" s="13" t="s">
        <v>30</v>
      </c>
    </row>
    <row r="71" spans="1:16" x14ac:dyDescent="0.15">
      <c r="A71" s="13" t="s">
        <v>23</v>
      </c>
      <c r="C71" s="19">
        <v>2</v>
      </c>
      <c r="D71" s="13" t="s">
        <v>26</v>
      </c>
    </row>
    <row r="72" spans="1:16" x14ac:dyDescent="0.15">
      <c r="A72" s="13" t="s">
        <v>24</v>
      </c>
      <c r="C72" s="14">
        <v>10</v>
      </c>
      <c r="D72" s="13" t="s">
        <v>27</v>
      </c>
    </row>
    <row r="73" spans="1:16" x14ac:dyDescent="0.15">
      <c r="A73" s="13" t="s">
        <v>25</v>
      </c>
      <c r="C73" s="15">
        <v>0</v>
      </c>
      <c r="D73" s="13" t="s">
        <v>31</v>
      </c>
    </row>
    <row r="74" spans="1:16" x14ac:dyDescent="0.15">
      <c r="A74" s="13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56:C56"/>
    <mergeCell ref="A50:C50"/>
    <mergeCell ref="A51:C51"/>
    <mergeCell ref="A47:C47"/>
    <mergeCell ref="A48:C48"/>
    <mergeCell ref="A28:B28"/>
    <mergeCell ref="A1:H1"/>
    <mergeCell ref="A3:B3"/>
    <mergeCell ref="A4:B4"/>
    <mergeCell ref="A5:B5"/>
    <mergeCell ref="A10:B10"/>
  </mergeCells>
  <phoneticPr fontId="4" type="noConversion"/>
  <pageMargins left="0.53" right="0.38" top="0.63" bottom="5.31" header="0.5" footer="0.5"/>
  <pageSetup orientation="portrait"/>
  <headerFooter alignWithMargins="0"/>
  <ignoredErrors>
    <ignoredError sqref="D2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15"/>
  <sheetViews>
    <sheetView showGridLines="0" topLeftCell="A31" workbookViewId="0">
      <selection activeCell="H71" sqref="H71"/>
    </sheetView>
  </sheetViews>
  <sheetFormatPr baseColWidth="10" defaultColWidth="8.796875" defaultRowHeight="13" x14ac:dyDescent="0.15"/>
  <cols>
    <col min="1" max="1" width="10.59765625" customWidth="1"/>
    <col min="3" max="3" width="10.59765625" bestFit="1" customWidth="1"/>
    <col min="4" max="4" width="12.3984375" bestFit="1" customWidth="1"/>
  </cols>
  <sheetData>
    <row r="1" spans="1:16" ht="14" thickBot="1" x14ac:dyDescent="0.2">
      <c r="A1" s="126" t="s">
        <v>21</v>
      </c>
      <c r="B1" s="128"/>
      <c r="C1" s="128"/>
      <c r="D1" s="128"/>
      <c r="E1" s="128"/>
      <c r="F1" s="128"/>
      <c r="G1" s="128"/>
      <c r="H1" s="127"/>
    </row>
    <row r="2" spans="1:16" ht="14" thickBot="1" x14ac:dyDescent="0.2"/>
    <row r="3" spans="1:16" x14ac:dyDescent="0.15">
      <c r="A3" s="129" t="s">
        <v>15</v>
      </c>
      <c r="B3" s="130"/>
      <c r="C3" s="94">
        <v>0</v>
      </c>
      <c r="D3" s="94">
        <v>1</v>
      </c>
      <c r="E3" s="94">
        <v>2</v>
      </c>
      <c r="F3" s="94">
        <v>3</v>
      </c>
      <c r="G3" s="94">
        <v>4</v>
      </c>
      <c r="H3" s="94">
        <v>5</v>
      </c>
      <c r="I3" s="94">
        <v>6</v>
      </c>
      <c r="J3" s="94">
        <v>7</v>
      </c>
      <c r="K3" s="94">
        <v>8</v>
      </c>
      <c r="L3" s="94">
        <v>9</v>
      </c>
      <c r="M3" s="94">
        <v>10</v>
      </c>
      <c r="N3" s="94">
        <v>11</v>
      </c>
      <c r="O3" s="94">
        <v>12</v>
      </c>
      <c r="P3" s="95">
        <v>13</v>
      </c>
    </row>
    <row r="4" spans="1:16" ht="14" thickBot="1" x14ac:dyDescent="0.2">
      <c r="A4" s="131" t="s">
        <v>43</v>
      </c>
      <c r="B4" s="132"/>
      <c r="C4" s="96">
        <v>7.3</v>
      </c>
      <c r="D4" s="96">
        <v>7.62</v>
      </c>
      <c r="E4" s="96">
        <v>8.1</v>
      </c>
      <c r="F4" s="96">
        <v>8.4499999999999993</v>
      </c>
      <c r="G4" s="96">
        <v>9.1999999999999993</v>
      </c>
      <c r="H4" s="96">
        <v>9.64</v>
      </c>
      <c r="I4" s="96">
        <v>10.119999999999999</v>
      </c>
      <c r="J4" s="96">
        <v>10.45</v>
      </c>
      <c r="K4" s="97">
        <v>10.75</v>
      </c>
      <c r="L4" s="96">
        <v>11.22</v>
      </c>
      <c r="M4" s="96">
        <v>11.55</v>
      </c>
      <c r="N4" s="96">
        <v>11.92</v>
      </c>
      <c r="O4" s="96">
        <v>12.2</v>
      </c>
      <c r="P4" s="98">
        <v>12.32</v>
      </c>
    </row>
    <row r="5" spans="1:16" ht="14" thickBot="1" x14ac:dyDescent="0.2">
      <c r="A5" s="133" t="s">
        <v>16</v>
      </c>
      <c r="B5" s="134"/>
      <c r="C5" s="99">
        <v>7.2999964346648465</v>
      </c>
      <c r="D5" s="100">
        <v>7.921104142652359</v>
      </c>
      <c r="E5" s="100">
        <v>9.0211769305488758</v>
      </c>
      <c r="F5" s="100">
        <v>9.4357085755265171</v>
      </c>
      <c r="G5" s="100">
        <v>12.130248533649439</v>
      </c>
      <c r="H5" s="100">
        <v>11.719237283350624</v>
      </c>
      <c r="I5" s="100">
        <v>12.850182063738108</v>
      </c>
      <c r="J5" s="100">
        <v>12.565991013014807</v>
      </c>
      <c r="K5" s="100">
        <v>12.91852593856389</v>
      </c>
      <c r="L5" s="100">
        <v>15.195039481532831</v>
      </c>
      <c r="M5" s="100">
        <v>14.536478724774369</v>
      </c>
      <c r="N5" s="100">
        <v>15.636218925819565</v>
      </c>
      <c r="O5" s="100">
        <v>15.154031141202985</v>
      </c>
      <c r="P5" s="101">
        <v>13.447781515854537</v>
      </c>
    </row>
    <row r="6" spans="1:16" x14ac:dyDescent="0.15">
      <c r="A6" s="80" t="s">
        <v>18</v>
      </c>
      <c r="B6" s="106">
        <v>5.0000000000000001E-3</v>
      </c>
    </row>
    <row r="7" spans="1:16" x14ac:dyDescent="0.15">
      <c r="A7" s="81" t="s">
        <v>5</v>
      </c>
      <c r="B7" s="83">
        <v>0.5</v>
      </c>
    </row>
    <row r="8" spans="1:16" ht="14" thickBot="1" x14ac:dyDescent="0.2">
      <c r="A8" s="82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26" t="s">
        <v>17</v>
      </c>
      <c r="B10" s="12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14.350921402591107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16.091104093215812</v>
      </c>
      <c r="P13" s="4">
        <f t="shared" si="0"/>
        <v>14.279345883491503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16.520300355086</v>
      </c>
      <c r="O14" s="4">
        <f t="shared" si="0"/>
        <v>16.010849376738186</v>
      </c>
      <c r="P14" s="4">
        <f t="shared" si="0"/>
        <v>14.208127348782703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15.281779926440301</v>
      </c>
      <c r="N15" s="4">
        <f t="shared" si="0"/>
        <v>16.43790501332187</v>
      </c>
      <c r="O15" s="4">
        <f t="shared" si="0"/>
        <v>15.930994932328874</v>
      </c>
      <c r="P15" s="4">
        <f t="shared" si="0"/>
        <v>14.13726401799763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15.894434630096248</v>
      </c>
      <c r="M16" s="4">
        <f t="shared" si="0"/>
        <v>15.205561731084329</v>
      </c>
      <c r="N16" s="4">
        <f t="shared" si="0"/>
        <v>16.355920620039218</v>
      </c>
      <c r="O16" s="4">
        <f t="shared" si="0"/>
        <v>15.85153876362261</v>
      </c>
      <c r="P16" s="4">
        <f t="shared" si="0"/>
        <v>14.066754119549323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13.445740983541132</v>
      </c>
      <c r="L17" s="4">
        <f t="shared" si="0"/>
        <v>15.81516080665809</v>
      </c>
      <c r="M17" s="4">
        <f t="shared" si="0"/>
        <v>15.129723675563591</v>
      </c>
      <c r="N17" s="4">
        <f t="shared" si="0"/>
        <v>16.274345125623935</v>
      </c>
      <c r="O17" s="4">
        <f t="shared" si="0"/>
        <v>15.77247888421104</v>
      </c>
      <c r="P17" s="4">
        <f t="shared" si="0"/>
        <v>13.996595890686649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13.013587953677078</v>
      </c>
      <c r="K18" s="4">
        <f t="shared" si="0"/>
        <v>13.378680070615916</v>
      </c>
      <c r="L18" s="4">
        <f t="shared" si="0"/>
        <v>15.736282363063809</v>
      </c>
      <c r="M18" s="4">
        <f t="shared" si="0"/>
        <v>15.054263863922751</v>
      </c>
      <c r="N18" s="4">
        <f t="shared" si="0"/>
        <v>16.193176490684415</v>
      </c>
      <c r="O18" s="4">
        <f t="shared" si="0"/>
        <v>15.693813317593058</v>
      </c>
      <c r="P18" s="4">
        <f t="shared" si="0"/>
        <v>13.926787577450233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13.241528369707096</v>
      </c>
      <c r="J19" s="4">
        <f t="shared" si="0"/>
        <v>12.948682412980256</v>
      </c>
      <c r="K19" s="4">
        <f t="shared" si="0"/>
        <v>13.311953625389274</v>
      </c>
      <c r="L19" s="4">
        <f t="shared" si="0"/>
        <v>15.657797327348202</v>
      </c>
      <c r="M19" s="4">
        <f t="shared" si="0"/>
        <v>14.979180409662586</v>
      </c>
      <c r="N19" s="4">
        <f t="shared" si="0"/>
        <v>16.11241268600056</v>
      </c>
      <c r="O19" s="4">
        <f t="shared" si="0"/>
        <v>15.615540097125404</v>
      </c>
      <c r="P19" s="4">
        <f t="shared" si="0"/>
        <v>13.857327434628607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12.015911187633026</v>
      </c>
      <c r="I20" s="4">
        <f t="shared" si="0"/>
        <v>13.175485971442493</v>
      </c>
      <c r="J20" s="4">
        <f t="shared" si="0"/>
        <v>12.884100590018168</v>
      </c>
      <c r="K20" s="4">
        <f t="shared" si="0"/>
        <v>13.245559979696596</v>
      </c>
      <c r="L20" s="4">
        <f t="shared" si="0"/>
        <v>15.579703737381289</v>
      </c>
      <c r="M20" s="4">
        <f t="shared" si="0"/>
        <v>14.904471435692829</v>
      </c>
      <c r="N20" s="4">
        <f t="shared" si="0"/>
        <v>16.032051692473043</v>
      </c>
      <c r="O20" s="4">
        <f t="shared" si="0"/>
        <v>15.537657265973486</v>
      </c>
      <c r="P20" s="4">
        <f t="shared" si="0"/>
        <v>13.788213725714581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12.375295808886747</v>
      </c>
      <c r="H21" s="4">
        <f t="shared" si="0"/>
        <v>11.955981580565824</v>
      </c>
      <c r="I21" s="4">
        <f t="shared" si="0"/>
        <v>13.1097729610134</v>
      </c>
      <c r="J21" s="4">
        <f t="shared" si="0"/>
        <v>12.819840870241876</v>
      </c>
      <c r="K21" s="4">
        <f t="shared" si="0"/>
        <v>13.179497473693283</v>
      </c>
      <c r="L21" s="4">
        <f t="shared" si="0"/>
        <v>15.501999640819255</v>
      </c>
      <c r="M21" s="4">
        <f t="shared" si="0"/>
        <v>14.830135074285238</v>
      </c>
      <c r="N21" s="4">
        <f t="shared" si="0"/>
        <v>15.952091501072839</v>
      </c>
      <c r="O21" s="4">
        <f t="shared" si="0"/>
        <v>15.460162877062473</v>
      </c>
      <c r="P21" s="4">
        <f t="shared" si="0"/>
        <v>13.719444722861835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9.5783110489235419</v>
      </c>
      <c r="G22" s="4">
        <f t="shared" si="0"/>
        <v>12.313573763543213</v>
      </c>
      <c r="H22" s="4">
        <f t="shared" si="0"/>
        <v>11.896350873660845</v>
      </c>
      <c r="I22" s="4">
        <f t="shared" si="0"/>
        <v>13.044387695591135</v>
      </c>
      <c r="J22" s="4">
        <f t="shared" si="0"/>
        <v>12.755901647155044</v>
      </c>
      <c r="K22" s="4">
        <f t="shared" si="0"/>
        <v>13.113764455813248</v>
      </c>
      <c r="L22" s="4">
        <f t="shared" si="0"/>
        <v>15.424683095055636</v>
      </c>
      <c r="M22" s="4">
        <f t="shared" si="0"/>
        <v>14.756169467026908</v>
      </c>
      <c r="N22" s="4">
        <f t="shared" si="0"/>
        <v>15.872530112791003</v>
      </c>
      <c r="O22" s="4">
        <f t="shared" si="0"/>
        <v>15.383054993028603</v>
      </c>
      <c r="P22" s="4">
        <f t="shared" si="0"/>
        <v>13.651018706841716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9.1118412659967341</v>
      </c>
      <c r="F23" s="4">
        <f t="shared" si="0"/>
        <v>9.5305390232680747</v>
      </c>
      <c r="G23" s="4">
        <f t="shared" si="0"/>
        <v>12.252159558185099</v>
      </c>
      <c r="H23" s="4">
        <f t="shared" si="0"/>
        <v>11.837017576147309</v>
      </c>
      <c r="I23" s="4">
        <f t="shared" si="0"/>
        <v>12.979328540540655</v>
      </c>
      <c r="J23" s="4">
        <f t="shared" si="0"/>
        <v>12.692281322273759</v>
      </c>
      <c r="K23" s="4">
        <f t="shared" si="0"/>
        <v>13.048359282727615</v>
      </c>
      <c r="L23" s="4">
        <f t="shared" si="0"/>
        <v>15.347752167172764</v>
      </c>
      <c r="M23" s="4">
        <f t="shared" si="0"/>
        <v>14.682572764773804</v>
      </c>
      <c r="N23" s="4">
        <f t="shared" si="0"/>
        <v>15.793365538588681</v>
      </c>
      <c r="O23" s="4">
        <f t="shared" si="0"/>
        <v>15.306331686170759</v>
      </c>
      <c r="P23" s="4">
        <f t="shared" si="0"/>
        <v>13.58293396700026</v>
      </c>
    </row>
    <row r="24" spans="1:17" x14ac:dyDescent="0.15">
      <c r="A24" s="12"/>
      <c r="B24" s="12">
        <v>1</v>
      </c>
      <c r="C24" s="4"/>
      <c r="D24" s="4">
        <f t="shared" si="0"/>
        <v>7.960808842396891</v>
      </c>
      <c r="E24" s="4">
        <f t="shared" si="0"/>
        <v>9.066395768089599</v>
      </c>
      <c r="F24" s="4">
        <f t="shared" si="0"/>
        <v>9.483005261584573</v>
      </c>
      <c r="G24" s="4">
        <f t="shared" si="0"/>
        <v>12.191051657454075</v>
      </c>
      <c r="H24" s="4">
        <f t="shared" si="0"/>
        <v>11.777980204689689</v>
      </c>
      <c r="I24" s="4">
        <f t="shared" si="0"/>
        <v>12.914593869379695</v>
      </c>
      <c r="J24" s="4">
        <f t="shared" si="0"/>
        <v>12.628978305086589</v>
      </c>
      <c r="K24" s="4">
        <f t="shared" si="0"/>
        <v>12.983280319303654</v>
      </c>
      <c r="L24" s="4">
        <f t="shared" si="0"/>
        <v>15.271204933893435</v>
      </c>
      <c r="M24" s="4">
        <f t="shared" si="0"/>
        <v>14.609343127604539</v>
      </c>
      <c r="N24" s="4">
        <f t="shared" si="0"/>
        <v>15.714595799347395</v>
      </c>
      <c r="O24" s="4">
        <f t="shared" si="0"/>
        <v>15.229991038402277</v>
      </c>
      <c r="P24" s="4">
        <f t="shared" si="0"/>
        <v>13.515188801215425</v>
      </c>
    </row>
    <row r="25" spans="1:17" x14ac:dyDescent="0.15">
      <c r="A25" s="12"/>
      <c r="B25" s="12">
        <v>0</v>
      </c>
      <c r="C25" s="4">
        <f>IF( $B25 &lt;=C$11,(C$5+$B$6*$B25),"")</f>
        <v>7.2999964346648465</v>
      </c>
      <c r="D25" s="2">
        <f t="shared" si="0"/>
        <v>7.921104142652359</v>
      </c>
      <c r="E25" s="4">
        <f t="shared" si="0"/>
        <v>9.0211769305488758</v>
      </c>
      <c r="F25" s="4">
        <f t="shared" si="0"/>
        <v>9.4357085755265171</v>
      </c>
      <c r="G25" s="4">
        <f t="shared" si="0"/>
        <v>12.130248533649439</v>
      </c>
      <c r="H25" s="4">
        <f t="shared" si="0"/>
        <v>11.719237283350624</v>
      </c>
      <c r="I25" s="4">
        <f t="shared" si="0"/>
        <v>12.850182063738108</v>
      </c>
      <c r="J25" s="4">
        <f t="shared" si="0"/>
        <v>12.565991013014807</v>
      </c>
      <c r="K25" s="4">
        <f t="shared" si="0"/>
        <v>12.91852593856389</v>
      </c>
      <c r="L25" s="4">
        <f t="shared" si="0"/>
        <v>15.195039481532831</v>
      </c>
      <c r="M25" s="4">
        <f t="shared" si="0"/>
        <v>14.536478724774369</v>
      </c>
      <c r="N25" s="4">
        <f t="shared" si="0"/>
        <v>15.636218925819565</v>
      </c>
      <c r="O25" s="4">
        <f t="shared" si="0"/>
        <v>15.154031141202985</v>
      </c>
      <c r="P25" s="4">
        <f t="shared" si="0"/>
        <v>13.447781515854537</v>
      </c>
    </row>
    <row r="27" spans="1:17" ht="14" thickBot="1" x14ac:dyDescent="0.2"/>
    <row r="28" spans="1:17" ht="14" thickBot="1" x14ac:dyDescent="0.2">
      <c r="A28" s="126" t="s">
        <v>13</v>
      </c>
      <c r="B28" s="127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1.1667535513217776E-5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2.6683868728678131E-5</v>
      </c>
      <c r="Q31" s="8">
        <f t="shared" si="1"/>
        <v>1.6400797500426773E-4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6.1955195643813581E-5</v>
      </c>
      <c r="P32" s="8">
        <f t="shared" si="1"/>
        <v>3.481873155328162E-4</v>
      </c>
      <c r="Q32" s="8">
        <f t="shared" si="1"/>
        <v>1.0703628999151184E-3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1.443807600995055E-4</v>
      </c>
      <c r="O33" s="8">
        <f t="shared" si="1"/>
        <v>7.4595775882594034E-4</v>
      </c>
      <c r="P33" s="8">
        <f t="shared" si="1"/>
        <v>2.0969125213830967E-3</v>
      </c>
      <c r="Q33" s="8">
        <f t="shared" si="1"/>
        <v>4.2987155024416142E-3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3.3288942022806735E-4</v>
      </c>
      <c r="N34" s="8">
        <f t="shared" si="1"/>
        <v>1.5928765096133834E-3</v>
      </c>
      <c r="O34" s="8">
        <f t="shared" si="1"/>
        <v>4.1164988085564784E-3</v>
      </c>
      <c r="P34" s="8">
        <f t="shared" si="1"/>
        <v>7.7172610860112827E-3</v>
      </c>
      <c r="Q34" s="8">
        <f t="shared" si="1"/>
        <v>1.1868996934899274E-2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7.7160062303344786E-4</v>
      </c>
      <c r="M35" s="8">
        <f t="shared" si="1"/>
        <v>3.3374953297566862E-3</v>
      </c>
      <c r="N35" s="8">
        <f t="shared" si="1"/>
        <v>7.9878252131072129E-3</v>
      </c>
      <c r="O35" s="8">
        <f t="shared" si="1"/>
        <v>1.3767453972603221E-2</v>
      </c>
      <c r="P35" s="8">
        <f t="shared" si="1"/>
        <v>1.9364665460827067E-2</v>
      </c>
      <c r="Q35" s="8">
        <f t="shared" si="1"/>
        <v>2.3833158665474457E-2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1.7506960884678296E-3</v>
      </c>
      <c r="L36" s="8">
        <f t="shared" si="1"/>
        <v>6.9595783314538428E-3</v>
      </c>
      <c r="M36" s="8">
        <f t="shared" si="1"/>
        <v>1.5057423883339444E-2</v>
      </c>
      <c r="N36" s="8">
        <f t="shared" si="1"/>
        <v>2.4033808832690871E-2</v>
      </c>
      <c r="O36" s="8">
        <f t="shared" si="1"/>
        <v>3.1079847732735134E-2</v>
      </c>
      <c r="P36" s="8">
        <f t="shared" si="1"/>
        <v>3.4985224170250552E-2</v>
      </c>
      <c r="Q36" s="8">
        <f t="shared" si="1"/>
        <v>3.5892643047984965E-2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3.9570489274843501E-3</v>
      </c>
      <c r="K37" s="8">
        <f t="shared" si="1"/>
        <v>1.4031694897741979E-2</v>
      </c>
      <c r="L37" s="8">
        <f t="shared" si="1"/>
        <v>2.7898966885751608E-2</v>
      </c>
      <c r="M37" s="8">
        <f t="shared" si="1"/>
        <v>4.0256288909882018E-2</v>
      </c>
      <c r="N37" s="8">
        <f t="shared" si="1"/>
        <v>4.8208293313792491E-2</v>
      </c>
      <c r="O37" s="8">
        <f t="shared" si="1"/>
        <v>4.9892750412319178E-2</v>
      </c>
      <c r="P37" s="8">
        <f t="shared" si="1"/>
        <v>4.6818870200740666E-2</v>
      </c>
      <c r="Q37" s="8">
        <f t="shared" si="1"/>
        <v>4.1183662315793013E-2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8.9620453676407599E-3</v>
      </c>
      <c r="J38" s="8">
        <f t="shared" si="1"/>
        <v>2.7742452684457894E-2</v>
      </c>
      <c r="K38" s="8">
        <f t="shared" si="1"/>
        <v>4.920229197646165E-2</v>
      </c>
      <c r="L38" s="8">
        <f t="shared" si="1"/>
        <v>6.523902650903754E-2</v>
      </c>
      <c r="M38" s="8">
        <f t="shared" si="1"/>
        <v>7.0628983092317826E-2</v>
      </c>
      <c r="N38" s="8">
        <f t="shared" si="1"/>
        <v>6.7688567929395954E-2</v>
      </c>
      <c r="O38" s="8">
        <f t="shared" si="1"/>
        <v>5.8400784074161015E-2</v>
      </c>
      <c r="P38" s="8">
        <f t="shared" si="1"/>
        <v>4.6990909350353285E-2</v>
      </c>
      <c r="Q38" s="8">
        <f t="shared" si="1"/>
        <v>3.6178921005566002E-2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2.0077833559223709E-2</v>
      </c>
      <c r="I39" s="8">
        <f t="shared" si="1"/>
        <v>5.3838492584449095E-2</v>
      </c>
      <c r="J39" s="8">
        <f t="shared" si="1"/>
        <v>8.3356539435966881E-2</v>
      </c>
      <c r="K39" s="8">
        <f t="shared" si="1"/>
        <v>9.8587139248924427E-2</v>
      </c>
      <c r="L39" s="8">
        <f t="shared" si="1"/>
        <v>9.8070562518513094E-2</v>
      </c>
      <c r="M39" s="8">
        <f t="shared" si="1"/>
        <v>8.4971291261536908E-2</v>
      </c>
      <c r="N39" s="8">
        <f t="shared" si="1"/>
        <v>6.7885535022514043E-2</v>
      </c>
      <c r="O39" s="8">
        <f t="shared" si="1"/>
        <v>5.0222948399973266E-2</v>
      </c>
      <c r="P39" s="8">
        <f t="shared" si="1"/>
        <v>3.5372311000420806E-2</v>
      </c>
      <c r="Q39" s="8">
        <f t="shared" si="1"/>
        <v>2.4214860705453353E-2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4.5125049708387155E-2</v>
      </c>
      <c r="H40" s="8">
        <f t="shared" si="1"/>
        <v>0.10048373396012457</v>
      </c>
      <c r="I40" s="8">
        <f t="shared" si="1"/>
        <v>0.13476155263361322</v>
      </c>
      <c r="J40" s="8">
        <f t="shared" si="1"/>
        <v>0.13914261884140777</v>
      </c>
      <c r="K40" s="8">
        <f t="shared" si="1"/>
        <v>0.12346191183178098</v>
      </c>
      <c r="L40" s="8">
        <f t="shared" si="1"/>
        <v>9.8282451258752235E-2</v>
      </c>
      <c r="M40" s="8">
        <f t="shared" si="1"/>
        <v>7.0989783236474535E-2</v>
      </c>
      <c r="N40" s="8">
        <f t="shared" si="1"/>
        <v>4.8630364531542292E-2</v>
      </c>
      <c r="O40" s="8">
        <f t="shared" si="1"/>
        <v>3.1492593347181214E-2</v>
      </c>
      <c r="P40" s="8">
        <f t="shared" si="1"/>
        <v>1.9723076865712987E-2</v>
      </c>
      <c r="Q40" s="8">
        <f t="shared" si="1"/>
        <v>1.2155271085588466E-2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9.8894534660875694E-2</v>
      </c>
      <c r="G41" s="8">
        <f t="shared" si="1"/>
        <v>0.18061348051401374</v>
      </c>
      <c r="H41" s="8">
        <f t="shared" si="1"/>
        <v>0.20115630588069586</v>
      </c>
      <c r="I41" s="8">
        <f t="shared" si="1"/>
        <v>0.17990219184250358</v>
      </c>
      <c r="J41" s="8">
        <f t="shared" si="1"/>
        <v>0.13935742223786191</v>
      </c>
      <c r="K41" s="8">
        <f t="shared" si="1"/>
        <v>9.8951753900334477E-2</v>
      </c>
      <c r="L41" s="8">
        <f t="shared" si="1"/>
        <v>6.5662803255927979E-2</v>
      </c>
      <c r="M41" s="8">
        <f t="shared" si="1"/>
        <v>4.0668630525830529E-2</v>
      </c>
      <c r="N41" s="8">
        <f t="shared" si="1"/>
        <v>2.4385532973081093E-2</v>
      </c>
      <c r="O41" s="8">
        <f t="shared" si="1"/>
        <v>1.4042615637674186E-2</v>
      </c>
      <c r="P41" s="8">
        <f t="shared" si="1"/>
        <v>7.9179695183042784E-3</v>
      </c>
      <c r="Q41" s="8">
        <f t="shared" si="1"/>
        <v>4.4375134756517087E-3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0.21581129535984162</v>
      </c>
      <c r="F42" s="8">
        <f t="shared" si="1"/>
        <v>0.29680241715114081</v>
      </c>
      <c r="G42" s="8">
        <f t="shared" si="1"/>
        <v>0.27108987565266995</v>
      </c>
      <c r="H42" s="8">
        <f t="shared" si="1"/>
        <v>0.20134484953488874</v>
      </c>
      <c r="I42" s="8">
        <f t="shared" si="1"/>
        <v>0.13509150505819451</v>
      </c>
      <c r="J42" s="8">
        <f t="shared" si="1"/>
        <v>8.3743185235104031E-2</v>
      </c>
      <c r="K42" s="8">
        <f t="shared" si="1"/>
        <v>4.9566905928119347E-2</v>
      </c>
      <c r="L42" s="8">
        <f t="shared" si="1"/>
        <v>2.8201663514118694E-2</v>
      </c>
      <c r="M42" s="8">
        <f t="shared" si="1"/>
        <v>1.5289364724241479E-2</v>
      </c>
      <c r="N42" s="8">
        <f t="shared" si="1"/>
        <v>8.1519618332187987E-3</v>
      </c>
      <c r="O42" s="8">
        <f t="shared" si="1"/>
        <v>4.2265623109812933E-3</v>
      </c>
      <c r="P42" s="8">
        <f t="shared" si="1"/>
        <v>2.16728988909023E-3</v>
      </c>
      <c r="Q42" s="8">
        <f t="shared" si="1"/>
        <v>1.1137366176762801E-3</v>
      </c>
    </row>
    <row r="43" spans="1:17" x14ac:dyDescent="0.15">
      <c r="B43">
        <v>1</v>
      </c>
      <c r="C43" s="8"/>
      <c r="D43" s="8">
        <f t="shared" si="1"/>
        <v>0.46598324008747832</v>
      </c>
      <c r="E43" s="8">
        <f t="shared" si="1"/>
        <v>0.43170198874615651</v>
      </c>
      <c r="F43" s="8">
        <f t="shared" si="1"/>
        <v>0.29692107399334638</v>
      </c>
      <c r="G43" s="8">
        <f t="shared" si="1"/>
        <v>0.18083950872577625</v>
      </c>
      <c r="H43" s="8">
        <f t="shared" si="1"/>
        <v>0.1007665494728202</v>
      </c>
      <c r="I43" s="8">
        <f t="shared" si="1"/>
        <v>5.4102454406927569E-2</v>
      </c>
      <c r="J43" s="8">
        <f t="shared" si="1"/>
        <v>2.795725555677599E-2</v>
      </c>
      <c r="K43" s="8">
        <f t="shared" si="1"/>
        <v>1.4187957520055753E-2</v>
      </c>
      <c r="L43" s="8">
        <f t="shared" si="1"/>
        <v>7.0655216011905938E-3</v>
      </c>
      <c r="M43" s="8">
        <f t="shared" si="1"/>
        <v>3.4062179951239407E-3</v>
      </c>
      <c r="N43" s="8">
        <f t="shared" si="1"/>
        <v>1.6350826192228817E-3</v>
      </c>
      <c r="O43" s="8">
        <f t="shared" si="1"/>
        <v>7.7097185118763845E-4</v>
      </c>
      <c r="P43" s="8">
        <f t="shared" si="1"/>
        <v>3.6252321333114432E-4</v>
      </c>
      <c r="Q43" s="8">
        <f t="shared" si="1"/>
        <v>1.7201528418502932E-4</v>
      </c>
    </row>
    <row r="44" spans="1:17" x14ac:dyDescent="0.15">
      <c r="B44">
        <v>0</v>
      </c>
      <c r="C44" s="8">
        <v>1</v>
      </c>
      <c r="D44" s="9">
        <f t="shared" si="1"/>
        <v>0.46598324008747832</v>
      </c>
      <c r="E44" s="8">
        <f t="shared" si="1"/>
        <v>0.21589069338631486</v>
      </c>
      <c r="F44" s="8">
        <f t="shared" si="1"/>
        <v>9.9013191503081285E-2</v>
      </c>
      <c r="G44" s="8">
        <f t="shared" si="1"/>
        <v>4.523806387873288E-2</v>
      </c>
      <c r="H44" s="8">
        <f t="shared" si="1"/>
        <v>2.0172105417726457E-2</v>
      </c>
      <c r="I44" s="8">
        <f t="shared" si="1"/>
        <v>9.0280357744317863E-3</v>
      </c>
      <c r="J44" s="8">
        <f t="shared" si="1"/>
        <v>4.0000093971194152E-3</v>
      </c>
      <c r="K44" s="8">
        <f t="shared" si="1"/>
        <v>1.7767397422268226E-3</v>
      </c>
      <c r="L44" s="8">
        <f t="shared" si="1"/>
        <v>7.8673527105441567E-4</v>
      </c>
      <c r="M44" s="8">
        <f t="shared" si="1"/>
        <v>3.4147966552871358E-4</v>
      </c>
      <c r="N44" s="8">
        <f t="shared" si="1"/>
        <v>1.4907026535592767E-4</v>
      </c>
      <c r="O44" s="8">
        <f t="shared" si="1"/>
        <v>6.4456563324487447E-5</v>
      </c>
      <c r="P44" s="8">
        <f t="shared" si="1"/>
        <v>2.7987106784585855E-5</v>
      </c>
      <c r="Q44" s="8">
        <f t="shared" si="1"/>
        <v>1.2334796860119564E-5</v>
      </c>
    </row>
    <row r="46" spans="1:17" ht="14" thickBot="1" x14ac:dyDescent="0.2"/>
    <row r="47" spans="1:17" ht="14" thickBot="1" x14ac:dyDescent="0.2">
      <c r="A47" s="126" t="s">
        <v>41</v>
      </c>
      <c r="B47" s="128"/>
      <c r="C47" s="127"/>
      <c r="D47" s="91">
        <f>SUM(D30:D44)</f>
        <v>0.93196648017495665</v>
      </c>
      <c r="E47" s="92">
        <f>SUM(E30:E44)</f>
        <v>0.8634039774923129</v>
      </c>
      <c r="F47" s="92">
        <f t="shared" ref="F47:Q47" si="2">SUM(F30:F44)</f>
        <v>0.79163121730844421</v>
      </c>
      <c r="G47" s="92">
        <f t="shared" si="2"/>
        <v>0.72290597847957994</v>
      </c>
      <c r="H47" s="92">
        <f t="shared" si="2"/>
        <v>0.6440013778254795</v>
      </c>
      <c r="I47" s="92">
        <f t="shared" si="2"/>
        <v>0.57568627766776037</v>
      </c>
      <c r="J47" s="92">
        <f t="shared" si="2"/>
        <v>0.50925653231617829</v>
      </c>
      <c r="K47" s="92">
        <f t="shared" si="2"/>
        <v>0.45151709113411326</v>
      </c>
      <c r="L47" s="92">
        <f t="shared" si="2"/>
        <v>0.39893890976883351</v>
      </c>
      <c r="M47" s="92">
        <f t="shared" si="2"/>
        <v>0.3452798480442601</v>
      </c>
      <c r="N47" s="92">
        <f t="shared" si="2"/>
        <v>0.30049329980363448</v>
      </c>
      <c r="O47" s="92">
        <f t="shared" si="2"/>
        <v>0.25888539606516686</v>
      </c>
      <c r="P47" s="92">
        <f t="shared" si="2"/>
        <v>0.22391987156747148</v>
      </c>
      <c r="Q47" s="93">
        <f t="shared" si="2"/>
        <v>0.19660786784800691</v>
      </c>
    </row>
    <row r="48" spans="1:17" ht="14" thickBot="1" x14ac:dyDescent="0.2">
      <c r="A48" s="126" t="s">
        <v>42</v>
      </c>
      <c r="B48" s="128"/>
      <c r="C48" s="127"/>
      <c r="D48" s="88">
        <f>100*((1/D47)^(1/D29)-1)</f>
        <v>7.2999964346648571</v>
      </c>
      <c r="E48" s="89">
        <f t="shared" ref="E48:Q48" si="3">100*((1/E47)^(1/E29)-1)</f>
        <v>7.6199974680667637</v>
      </c>
      <c r="F48" s="89">
        <f t="shared" si="3"/>
        <v>8.1000005170626324</v>
      </c>
      <c r="G48" s="89">
        <f t="shared" si="3"/>
        <v>8.4499973900779679</v>
      </c>
      <c r="H48" s="89">
        <f t="shared" si="3"/>
        <v>9.2000005850050961</v>
      </c>
      <c r="I48" s="89">
        <f t="shared" si="3"/>
        <v>9.6399983702653245</v>
      </c>
      <c r="J48" s="89">
        <f t="shared" si="3"/>
        <v>10.119999003043922</v>
      </c>
      <c r="K48" s="89">
        <f t="shared" si="3"/>
        <v>10.450001404090536</v>
      </c>
      <c r="L48" s="89">
        <f t="shared" si="3"/>
        <v>10.749999701331348</v>
      </c>
      <c r="M48" s="89">
        <f t="shared" si="3"/>
        <v>11.219996433101699</v>
      </c>
      <c r="N48" s="89">
        <f t="shared" si="3"/>
        <v>11.549997345992381</v>
      </c>
      <c r="O48" s="89">
        <f t="shared" si="3"/>
        <v>11.920000643668583</v>
      </c>
      <c r="P48" s="89">
        <f t="shared" si="3"/>
        <v>12.200004445130119</v>
      </c>
      <c r="Q48" s="90">
        <f t="shared" si="3"/>
        <v>12.319995927961426</v>
      </c>
    </row>
    <row r="49" spans="1:17" ht="14" thickBot="1" x14ac:dyDescent="0.2"/>
    <row r="50" spans="1:17" ht="14" thickBot="1" x14ac:dyDescent="0.2">
      <c r="A50" s="126" t="s">
        <v>20</v>
      </c>
      <c r="B50" s="128"/>
      <c r="C50" s="127"/>
      <c r="D50" s="85">
        <f t="shared" ref="D50:Q50" si="4">(D48-C4)^2</f>
        <v>1.2711614679590094E-11</v>
      </c>
      <c r="E50" s="86">
        <f t="shared" si="4"/>
        <v>6.4106859136116993E-12</v>
      </c>
      <c r="F50" s="86">
        <f t="shared" si="4"/>
        <v>2.6735376614500471E-13</v>
      </c>
      <c r="G50" s="86">
        <f t="shared" si="4"/>
        <v>6.8116930098954366E-12</v>
      </c>
      <c r="H50" s="86">
        <f t="shared" si="4"/>
        <v>3.4223096329280536E-13</v>
      </c>
      <c r="I50" s="86">
        <f t="shared" si="4"/>
        <v>2.6560351144851342E-12</v>
      </c>
      <c r="J50" s="86">
        <f t="shared" si="4"/>
        <v>9.9392141907675702E-13</v>
      </c>
      <c r="K50" s="86">
        <f t="shared" si="4"/>
        <v>1.9714702340803812E-12</v>
      </c>
      <c r="L50" s="86">
        <f t="shared" si="4"/>
        <v>8.9202963972073476E-14</v>
      </c>
      <c r="M50" s="86">
        <f t="shared" si="4"/>
        <v>1.2722763497197531E-11</v>
      </c>
      <c r="N50" s="86">
        <f t="shared" si="4"/>
        <v>7.0437564464635761E-12</v>
      </c>
      <c r="O50" s="86">
        <f t="shared" si="4"/>
        <v>4.1430924515602079E-13</v>
      </c>
      <c r="P50" s="86">
        <f t="shared" si="4"/>
        <v>1.9759181783641658E-11</v>
      </c>
      <c r="Q50" s="87">
        <f t="shared" si="4"/>
        <v>1.6581498154464701E-11</v>
      </c>
    </row>
    <row r="51" spans="1:17" ht="14" thickBot="1" x14ac:dyDescent="0.2">
      <c r="A51" s="126" t="s">
        <v>19</v>
      </c>
      <c r="B51" s="128"/>
      <c r="C51" s="127"/>
      <c r="D51" s="84">
        <f>SUM(D50:Q50)</f>
        <v>8.8775717191072872E-11</v>
      </c>
    </row>
    <row r="55" spans="1:17" ht="14" thickBot="1" x14ac:dyDescent="0.2"/>
    <row r="56" spans="1:17" ht="14" thickBot="1" x14ac:dyDescent="0.2">
      <c r="A56" s="135" t="s">
        <v>28</v>
      </c>
      <c r="B56" s="136"/>
      <c r="C56" s="13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07" t="str">
        <f t="shared" ref="F58:K67" si="7">IF($B58&lt;= F$57, (F16/100-$C$70)/(1+F16/100) +($B$7*G57+$B$8*G58)/(1+F16/100),"")</f>
        <v/>
      </c>
      <c r="G58" s="107" t="str">
        <f t="shared" si="7"/>
        <v/>
      </c>
      <c r="H58" s="107" t="str">
        <f t="shared" si="7"/>
        <v/>
      </c>
      <c r="I58" s="107" t="str">
        <f t="shared" si="7"/>
        <v/>
      </c>
      <c r="J58" s="107" t="str">
        <f t="shared" si="7"/>
        <v/>
      </c>
      <c r="K58" s="107" t="str">
        <f t="shared" si="7"/>
        <v/>
      </c>
      <c r="L58" s="107">
        <f t="shared" ref="L58:L67" si="8">IF($B58&lt;= L$57, (L16/100-$C$70)/(1+L16/100),"")</f>
        <v>3.6623282590258412E-2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07" t="str">
        <f t="shared" si="7"/>
        <v/>
      </c>
      <c r="G59" s="107" t="str">
        <f t="shared" si="7"/>
        <v/>
      </c>
      <c r="H59" s="107" t="str">
        <f t="shared" si="7"/>
        <v/>
      </c>
      <c r="I59" s="107" t="str">
        <f t="shared" si="7"/>
        <v/>
      </c>
      <c r="J59" s="107" t="str">
        <f t="shared" si="7"/>
        <v/>
      </c>
      <c r="K59" s="107">
        <f t="shared" si="7"/>
        <v>4.7821084470449665E-2</v>
      </c>
      <c r="L59" s="107">
        <f t="shared" si="8"/>
        <v>3.5963864986652418E-2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07" t="str">
        <f t="shared" si="7"/>
        <v/>
      </c>
      <c r="G60" s="107" t="str">
        <f t="shared" si="7"/>
        <v/>
      </c>
      <c r="H60" s="107" t="str">
        <f t="shared" si="7"/>
        <v/>
      </c>
      <c r="I60" s="107" t="str">
        <f t="shared" si="7"/>
        <v/>
      </c>
      <c r="J60" s="107">
        <f t="shared" si="7"/>
        <v>5.3874134370234104E-2</v>
      </c>
      <c r="K60" s="107">
        <f t="shared" si="7"/>
        <v>4.6677340917582189E-2</v>
      </c>
      <c r="L60" s="107">
        <f t="shared" si="8"/>
        <v>3.5306839649861671E-2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07" t="str">
        <f t="shared" si="7"/>
        <v/>
      </c>
      <c r="G61" s="107" t="str">
        <f t="shared" si="7"/>
        <v/>
      </c>
      <c r="H61" s="107" t="str">
        <f t="shared" si="7"/>
        <v/>
      </c>
      <c r="I61" s="107">
        <f t="shared" si="7"/>
        <v>6.0942354643787389E-2</v>
      </c>
      <c r="J61" s="107">
        <f t="shared" si="7"/>
        <v>5.2319405881847997E-2</v>
      </c>
      <c r="K61" s="107">
        <f t="shared" si="7"/>
        <v>4.5537170002505921E-2</v>
      </c>
      <c r="L61" s="107">
        <f t="shared" si="8"/>
        <v>3.4652201753461252E-2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07" t="str">
        <f t="shared" si="7"/>
        <v/>
      </c>
      <c r="G62" s="107" t="str">
        <f t="shared" si="7"/>
        <v/>
      </c>
      <c r="H62" s="107">
        <f t="shared" si="7"/>
        <v>5.6814711515146443E-2</v>
      </c>
      <c r="I62" s="107">
        <f t="shared" si="7"/>
        <v>5.9022455188184789E-2</v>
      </c>
      <c r="J62" s="107">
        <f t="shared" si="7"/>
        <v>5.0768775672312166E-2</v>
      </c>
      <c r="K62" s="107">
        <f t="shared" si="7"/>
        <v>4.4400569793637802E-2</v>
      </c>
      <c r="L62" s="107">
        <f t="shared" si="8"/>
        <v>3.3999946446569125E-2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07" t="str">
        <f t="shared" si="7"/>
        <v/>
      </c>
      <c r="G63" s="107">
        <f t="shared" si="7"/>
        <v>5.6025405359427113E-2</v>
      </c>
      <c r="H63" s="107">
        <f t="shared" si="7"/>
        <v>5.4596802308686833E-2</v>
      </c>
      <c r="I63" s="107">
        <f t="shared" si="7"/>
        <v>5.7106685073081476E-2</v>
      </c>
      <c r="J63" s="107">
        <f t="shared" si="7"/>
        <v>4.9222248770866631E-2</v>
      </c>
      <c r="K63" s="107">
        <f t="shared" si="7"/>
        <v>4.3267538273617359E-2</v>
      </c>
      <c r="L63" s="107">
        <f t="shared" si="8"/>
        <v>3.335006885420129E-2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07">
        <f t="shared" si="7"/>
        <v>3.1085183084883148E-2</v>
      </c>
      <c r="G64" s="107">
        <f t="shared" si="7"/>
        <v>5.3533610883863304E-2</v>
      </c>
      <c r="H64" s="107">
        <f t="shared" si="7"/>
        <v>5.2382745517120952E-2</v>
      </c>
      <c r="I64" s="107">
        <f t="shared" si="7"/>
        <v>5.5195058895890665E-2</v>
      </c>
      <c r="J64" s="107">
        <f t="shared" si="7"/>
        <v>4.7679830051471667E-2</v>
      </c>
      <c r="K64" s="107">
        <f t="shared" si="7"/>
        <v>4.2138073340017915E-2</v>
      </c>
      <c r="L64" s="107">
        <f t="shared" si="8"/>
        <v>3.270256407762516E-2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07">
        <f t="shared" si="6"/>
        <v>3.9918346426386503E-3</v>
      </c>
      <c r="F65" s="107">
        <f t="shared" si="7"/>
        <v>2.8389120152936084E-2</v>
      </c>
      <c r="G65" s="107">
        <f t="shared" si="7"/>
        <v>5.1045121305723445E-2</v>
      </c>
      <c r="H65" s="107">
        <f t="shared" si="7"/>
        <v>5.0172565348716704E-2</v>
      </c>
      <c r="I65" s="107">
        <f t="shared" si="7"/>
        <v>5.3287591036059748E-2</v>
      </c>
      <c r="J65" s="107">
        <f t="shared" si="7"/>
        <v>4.6141524233654509E-2</v>
      </c>
      <c r="K65" s="107">
        <f t="shared" si="7"/>
        <v>4.1012172806057033E-2</v>
      </c>
      <c r="L65" s="107">
        <f t="shared" si="8"/>
        <v>3.2057427194711482E-2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07">
        <f t="shared" si="5"/>
        <v>2.3610388267781969E-3</v>
      </c>
      <c r="E66" s="107">
        <f t="shared" si="6"/>
        <v>1.1061585863069087E-3</v>
      </c>
      <c r="F66" s="107">
        <f t="shared" si="7"/>
        <v>2.569585908840033E-2</v>
      </c>
      <c r="G66" s="107">
        <f t="shared" si="7"/>
        <v>4.8559970978110475E-2</v>
      </c>
      <c r="H66" s="107">
        <f t="shared" si="7"/>
        <v>4.7966285751995061E-2</v>
      </c>
      <c r="I66" s="107">
        <f t="shared" si="7"/>
        <v>5.1384295655726338E-2</v>
      </c>
      <c r="J66" s="107">
        <f t="shared" si="7"/>
        <v>4.4607335883361007E-2</v>
      </c>
      <c r="K66" s="107">
        <f t="shared" si="7"/>
        <v>3.9889834401306751E-2</v>
      </c>
      <c r="L66" s="107">
        <f t="shared" si="8"/>
        <v>3.1414653260284281E-2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8">
        <f t="shared" si="5"/>
        <v>1.339013866667467E-3</v>
      </c>
      <c r="D67" s="3">
        <f t="shared" si="5"/>
        <v>5.1248483560952321E-4</v>
      </c>
      <c r="E67" s="3">
        <f t="shared" si="6"/>
        <v>0</v>
      </c>
      <c r="F67" s="107">
        <f t="shared" si="7"/>
        <v>2.3005441786738804E-2</v>
      </c>
      <c r="G67" s="107">
        <f t="shared" si="7"/>
        <v>4.607819397185494E-2</v>
      </c>
      <c r="H67" s="107">
        <f t="shared" si="7"/>
        <v>4.5763930415932214E-2</v>
      </c>
      <c r="I67" s="107">
        <f t="shared" si="7"/>
        <v>4.9485186700386756E-2</v>
      </c>
      <c r="J67" s="107">
        <f t="shared" si="7"/>
        <v>4.3077269413811202E-2</v>
      </c>
      <c r="K67" s="3">
        <f t="shared" si="7"/>
        <v>3.8771055772402925E-2</v>
      </c>
      <c r="L67" s="3">
        <f t="shared" si="8"/>
        <v>3.0774237306469648E-2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115"/>
  <sheetViews>
    <sheetView showGridLines="0" topLeftCell="A52" workbookViewId="0">
      <selection activeCell="D51" sqref="D51"/>
    </sheetView>
  </sheetViews>
  <sheetFormatPr baseColWidth="10" defaultColWidth="8.796875" defaultRowHeight="13" x14ac:dyDescent="0.15"/>
  <cols>
    <col min="1" max="1" width="10.59765625" customWidth="1"/>
    <col min="3" max="3" width="9.59765625" bestFit="1" customWidth="1"/>
    <col min="4" max="4" width="12.3984375" bestFit="1" customWidth="1"/>
  </cols>
  <sheetData>
    <row r="1" spans="1:16" ht="14" thickBot="1" x14ac:dyDescent="0.2">
      <c r="A1" s="126" t="s">
        <v>21</v>
      </c>
      <c r="B1" s="128"/>
      <c r="C1" s="128"/>
      <c r="D1" s="128"/>
      <c r="E1" s="128"/>
      <c r="F1" s="128"/>
      <c r="G1" s="128"/>
      <c r="H1" s="127"/>
    </row>
    <row r="2" spans="1:16" ht="14" thickBot="1" x14ac:dyDescent="0.2"/>
    <row r="3" spans="1:16" x14ac:dyDescent="0.15">
      <c r="A3" s="129" t="s">
        <v>15</v>
      </c>
      <c r="B3" s="130"/>
      <c r="C3" s="94">
        <v>0</v>
      </c>
      <c r="D3" s="94">
        <v>1</v>
      </c>
      <c r="E3" s="94">
        <v>2</v>
      </c>
      <c r="F3" s="94">
        <v>3</v>
      </c>
      <c r="G3" s="94">
        <v>4</v>
      </c>
      <c r="H3" s="94">
        <v>5</v>
      </c>
      <c r="I3" s="94">
        <v>6</v>
      </c>
      <c r="J3" s="94">
        <v>7</v>
      </c>
      <c r="K3" s="94">
        <v>8</v>
      </c>
      <c r="L3" s="94">
        <v>9</v>
      </c>
      <c r="M3" s="94">
        <v>10</v>
      </c>
      <c r="N3" s="94">
        <v>11</v>
      </c>
      <c r="O3" s="94">
        <v>12</v>
      </c>
      <c r="P3" s="95">
        <v>13</v>
      </c>
    </row>
    <row r="4" spans="1:16" ht="14" thickBot="1" x14ac:dyDescent="0.2">
      <c r="A4" s="131" t="s">
        <v>43</v>
      </c>
      <c r="B4" s="132"/>
      <c r="C4" s="96">
        <v>7.3</v>
      </c>
      <c r="D4" s="96">
        <v>7.62</v>
      </c>
      <c r="E4" s="96">
        <v>8.1</v>
      </c>
      <c r="F4" s="96">
        <v>8.4499999999999993</v>
      </c>
      <c r="G4" s="96">
        <v>9.1999999999999993</v>
      </c>
      <c r="H4" s="96">
        <v>9.64</v>
      </c>
      <c r="I4" s="96">
        <v>10.119999999999999</v>
      </c>
      <c r="J4" s="96">
        <v>10.45</v>
      </c>
      <c r="K4" s="97">
        <v>10.75</v>
      </c>
      <c r="L4" s="96">
        <v>11.22</v>
      </c>
      <c r="M4" s="96">
        <v>11.55</v>
      </c>
      <c r="N4" s="96">
        <v>11.92</v>
      </c>
      <c r="O4" s="96">
        <v>12.2</v>
      </c>
      <c r="P4" s="98">
        <v>12.32</v>
      </c>
    </row>
    <row r="5" spans="1:16" ht="14" thickBot="1" x14ac:dyDescent="0.2">
      <c r="A5" s="133" t="s">
        <v>16</v>
      </c>
      <c r="B5" s="134"/>
      <c r="C5" s="99">
        <v>7.2999975272283564</v>
      </c>
      <c r="D5" s="100">
        <v>7.9012646992223168</v>
      </c>
      <c r="E5" s="100">
        <v>8.9760501223067521</v>
      </c>
      <c r="F5" s="100">
        <v>9.3650269905201782</v>
      </c>
      <c r="G5" s="100">
        <v>12.00938375100705</v>
      </c>
      <c r="H5" s="100">
        <v>11.573127223859411</v>
      </c>
      <c r="I5" s="100">
        <v>12.659448901993134</v>
      </c>
      <c r="J5" s="100">
        <v>12.346632768955727</v>
      </c>
      <c r="K5" s="100">
        <v>12.663744757704864</v>
      </c>
      <c r="L5" s="100">
        <v>14.857249546813584</v>
      </c>
      <c r="M5" s="100">
        <v>14.176474554745401</v>
      </c>
      <c r="N5" s="100">
        <v>15.214771236747589</v>
      </c>
      <c r="O5" s="100">
        <v>14.705630840924183</v>
      </c>
      <c r="P5" s="101">
        <v>13.019523143714936</v>
      </c>
    </row>
    <row r="6" spans="1:16" x14ac:dyDescent="0.15">
      <c r="A6" s="80" t="s">
        <v>18</v>
      </c>
      <c r="B6" s="106">
        <v>0.01</v>
      </c>
    </row>
    <row r="7" spans="1:16" x14ac:dyDescent="0.15">
      <c r="A7" s="81" t="s">
        <v>5</v>
      </c>
      <c r="B7" s="83">
        <v>0.5</v>
      </c>
    </row>
    <row r="8" spans="1:16" ht="14" thickBot="1" x14ac:dyDescent="0.2">
      <c r="A8" s="82" t="s">
        <v>6</v>
      </c>
      <c r="B8" s="33">
        <f>1-B7</f>
        <v>0.5</v>
      </c>
      <c r="C8" t="s">
        <v>7</v>
      </c>
    </row>
    <row r="9" spans="1:16" ht="14" thickBot="1" x14ac:dyDescent="0.2"/>
    <row r="10" spans="1:16" ht="14" thickBot="1" x14ac:dyDescent="0.2">
      <c r="A10" s="126" t="s">
        <v>17</v>
      </c>
      <c r="B10" s="12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1:16" x14ac:dyDescent="0.15">
      <c r="A11" s="12"/>
      <c r="B11" s="12"/>
      <c r="C11" s="12">
        <v>0</v>
      </c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</row>
    <row r="12" spans="1:16" x14ac:dyDescent="0.15">
      <c r="A12" s="12"/>
      <c r="B12" s="12">
        <v>13</v>
      </c>
      <c r="C12" s="4"/>
      <c r="D12" s="4" t="str">
        <f t="shared" ref="D12:P25" si="0">IF( $B12 &lt;=D$11,D$5*EXP($B$6*$B12),"")</f>
        <v/>
      </c>
      <c r="E12" s="4" t="str">
        <f t="shared" si="0"/>
        <v/>
      </c>
      <c r="F12" s="4" t="str">
        <f t="shared" si="0"/>
        <v/>
      </c>
      <c r="G12" s="4" t="str">
        <f t="shared" si="0"/>
        <v/>
      </c>
      <c r="H12" s="4" t="str">
        <f t="shared" si="0"/>
        <v/>
      </c>
      <c r="I12" s="4" t="str">
        <f t="shared" si="0"/>
        <v/>
      </c>
      <c r="J12" s="4" t="str">
        <f t="shared" si="0"/>
        <v/>
      </c>
      <c r="K12" s="4" t="str">
        <f t="shared" si="0"/>
        <v/>
      </c>
      <c r="L12" s="4" t="str">
        <f t="shared" si="0"/>
        <v/>
      </c>
      <c r="M12" s="4" t="str">
        <f t="shared" si="0"/>
        <v/>
      </c>
      <c r="N12" s="4" t="str">
        <f t="shared" si="0"/>
        <v/>
      </c>
      <c r="O12" s="4" t="str">
        <f t="shared" si="0"/>
        <v/>
      </c>
      <c r="P12" s="4">
        <f t="shared" si="0"/>
        <v>14.827002493414378</v>
      </c>
    </row>
    <row r="13" spans="1:16" x14ac:dyDescent="0.15">
      <c r="A13" s="12"/>
      <c r="B13" s="12">
        <v>12</v>
      </c>
      <c r="C13" s="4"/>
      <c r="D13" s="4" t="str">
        <f t="shared" si="0"/>
        <v/>
      </c>
      <c r="E13" s="4" t="str">
        <f t="shared" si="0"/>
        <v/>
      </c>
      <c r="F13" s="4" t="str">
        <f t="shared" si="0"/>
        <v/>
      </c>
      <c r="G13" s="4" t="str">
        <f t="shared" si="0"/>
        <v/>
      </c>
      <c r="H13" s="4" t="str">
        <f t="shared" si="0"/>
        <v/>
      </c>
      <c r="I13" s="4" t="str">
        <f t="shared" si="0"/>
        <v/>
      </c>
      <c r="J13" s="4" t="str">
        <f t="shared" si="0"/>
        <v/>
      </c>
      <c r="K13" s="4" t="str">
        <f t="shared" si="0"/>
        <v/>
      </c>
      <c r="L13" s="4" t="str">
        <f t="shared" si="0"/>
        <v/>
      </c>
      <c r="M13" s="4" t="str">
        <f t="shared" si="0"/>
        <v/>
      </c>
      <c r="N13" s="4" t="str">
        <f t="shared" si="0"/>
        <v/>
      </c>
      <c r="O13" s="4">
        <f t="shared" si="0"/>
        <v>16.580552473630583</v>
      </c>
      <c r="P13" s="4">
        <f t="shared" si="0"/>
        <v>14.679471353603407</v>
      </c>
    </row>
    <row r="14" spans="1:16" x14ac:dyDescent="0.15">
      <c r="A14" s="12"/>
      <c r="B14" s="12">
        <v>11</v>
      </c>
      <c r="C14" s="4"/>
      <c r="D14" s="4" t="str">
        <f t="shared" si="0"/>
        <v/>
      </c>
      <c r="E14" s="4" t="str">
        <f t="shared" si="0"/>
        <v/>
      </c>
      <c r="F14" s="4" t="str">
        <f t="shared" si="0"/>
        <v/>
      </c>
      <c r="G14" s="4" t="str">
        <f t="shared" si="0"/>
        <v/>
      </c>
      <c r="H14" s="4" t="str">
        <f t="shared" si="0"/>
        <v/>
      </c>
      <c r="I14" s="4" t="str">
        <f t="shared" si="0"/>
        <v/>
      </c>
      <c r="J14" s="4" t="str">
        <f t="shared" si="0"/>
        <v/>
      </c>
      <c r="K14" s="4" t="str">
        <f t="shared" si="0"/>
        <v/>
      </c>
      <c r="L14" s="4" t="str">
        <f t="shared" si="0"/>
        <v/>
      </c>
      <c r="M14" s="4" t="str">
        <f t="shared" si="0"/>
        <v/>
      </c>
      <c r="N14" s="4">
        <f t="shared" si="0"/>
        <v>16.983915478629733</v>
      </c>
      <c r="O14" s="4">
        <f t="shared" si="0"/>
        <v>16.415573219987316</v>
      </c>
      <c r="P14" s="4">
        <f t="shared" si="0"/>
        <v>14.533408173160726</v>
      </c>
    </row>
    <row r="15" spans="1:16" x14ac:dyDescent="0.15">
      <c r="A15" s="12"/>
      <c r="B15" s="12">
        <v>10</v>
      </c>
      <c r="C15" s="4"/>
      <c r="D15" s="4" t="str">
        <f t="shared" si="0"/>
        <v/>
      </c>
      <c r="E15" s="4" t="str">
        <f t="shared" si="0"/>
        <v/>
      </c>
      <c r="F15" s="4" t="str">
        <f t="shared" si="0"/>
        <v/>
      </c>
      <c r="G15" s="4" t="str">
        <f t="shared" si="0"/>
        <v/>
      </c>
      <c r="H15" s="4" t="str">
        <f t="shared" si="0"/>
        <v/>
      </c>
      <c r="I15" s="4" t="str">
        <f t="shared" si="0"/>
        <v/>
      </c>
      <c r="J15" s="4" t="str">
        <f t="shared" si="0"/>
        <v/>
      </c>
      <c r="K15" s="4" t="str">
        <f t="shared" si="0"/>
        <v/>
      </c>
      <c r="L15" s="4" t="str">
        <f t="shared" si="0"/>
        <v/>
      </c>
      <c r="M15" s="4">
        <f t="shared" si="0"/>
        <v>15.667427398744033</v>
      </c>
      <c r="N15" s="4">
        <f t="shared" si="0"/>
        <v>16.814922696027292</v>
      </c>
      <c r="O15" s="4">
        <f t="shared" si="0"/>
        <v>16.25223553734574</v>
      </c>
      <c r="P15" s="4">
        <f t="shared" si="0"/>
        <v>14.388798345646579</v>
      </c>
    </row>
    <row r="16" spans="1:16" x14ac:dyDescent="0.15">
      <c r="A16" s="12"/>
      <c r="B16" s="12">
        <v>9</v>
      </c>
      <c r="C16" s="4"/>
      <c r="D16" s="4" t="str">
        <f t="shared" si="0"/>
        <v/>
      </c>
      <c r="E16" s="4" t="str">
        <f t="shared" si="0"/>
        <v/>
      </c>
      <c r="F16" s="4" t="str">
        <f t="shared" si="0"/>
        <v/>
      </c>
      <c r="G16" s="4" t="str">
        <f t="shared" si="0"/>
        <v/>
      </c>
      <c r="H16" s="4" t="str">
        <f t="shared" si="0"/>
        <v/>
      </c>
      <c r="I16" s="4" t="str">
        <f t="shared" si="0"/>
        <v/>
      </c>
      <c r="J16" s="4" t="str">
        <f t="shared" si="0"/>
        <v/>
      </c>
      <c r="K16" s="4" t="str">
        <f t="shared" si="0"/>
        <v/>
      </c>
      <c r="L16" s="4">
        <f t="shared" si="0"/>
        <v>16.256420380714314</v>
      </c>
      <c r="M16" s="4">
        <f t="shared" si="0"/>
        <v>15.51153389140369</v>
      </c>
      <c r="N16" s="4">
        <f t="shared" si="0"/>
        <v>16.647611419706934</v>
      </c>
      <c r="O16" s="4">
        <f t="shared" si="0"/>
        <v>16.090523091801469</v>
      </c>
      <c r="P16" s="4">
        <f t="shared" si="0"/>
        <v>14.2456274099577</v>
      </c>
    </row>
    <row r="17" spans="1:17" x14ac:dyDescent="0.15">
      <c r="A17" s="12"/>
      <c r="B17" s="12">
        <v>8</v>
      </c>
      <c r="C17" s="4"/>
      <c r="D17" s="4" t="str">
        <f t="shared" si="0"/>
        <v/>
      </c>
      <c r="E17" s="4" t="str">
        <f t="shared" si="0"/>
        <v/>
      </c>
      <c r="F17" s="4" t="str">
        <f t="shared" si="0"/>
        <v/>
      </c>
      <c r="G17" s="4" t="str">
        <f t="shared" si="0"/>
        <v/>
      </c>
      <c r="H17" s="4" t="str">
        <f t="shared" si="0"/>
        <v/>
      </c>
      <c r="I17" s="4" t="str">
        <f t="shared" si="0"/>
        <v/>
      </c>
      <c r="J17" s="4" t="str">
        <f t="shared" si="0"/>
        <v/>
      </c>
      <c r="K17" s="4">
        <f t="shared" si="0"/>
        <v>13.718470924358231</v>
      </c>
      <c r="L17" s="4">
        <f t="shared" si="0"/>
        <v>16.094666295282796</v>
      </c>
      <c r="M17" s="4">
        <f t="shared" si="0"/>
        <v>15.357191550378809</v>
      </c>
      <c r="N17" s="4">
        <f t="shared" si="0"/>
        <v>16.481964918401601</v>
      </c>
      <c r="O17" s="4">
        <f t="shared" si="0"/>
        <v>15.930419711975194</v>
      </c>
      <c r="P17" s="4">
        <f t="shared" si="0"/>
        <v>14.103881048881213</v>
      </c>
    </row>
    <row r="18" spans="1:17" x14ac:dyDescent="0.15">
      <c r="A18" s="12"/>
      <c r="B18" s="12">
        <v>7</v>
      </c>
      <c r="C18" s="4"/>
      <c r="D18" s="4" t="str">
        <f t="shared" si="0"/>
        <v/>
      </c>
      <c r="E18" s="4" t="str">
        <f t="shared" si="0"/>
        <v/>
      </c>
      <c r="F18" s="4" t="str">
        <f t="shared" si="0"/>
        <v/>
      </c>
      <c r="G18" s="4" t="str">
        <f t="shared" si="0"/>
        <v/>
      </c>
      <c r="H18" s="4" t="str">
        <f t="shared" si="0"/>
        <v/>
      </c>
      <c r="I18" s="4" t="str">
        <f t="shared" si="0"/>
        <v/>
      </c>
      <c r="J18" s="4">
        <f t="shared" si="0"/>
        <v>13.241864655646419</v>
      </c>
      <c r="K18" s="4">
        <f t="shared" si="0"/>
        <v>13.581969857953663</v>
      </c>
      <c r="L18" s="4">
        <f t="shared" si="0"/>
        <v>15.934521689893071</v>
      </c>
      <c r="M18" s="4">
        <f t="shared" si="0"/>
        <v>15.204384941306669</v>
      </c>
      <c r="N18" s="4">
        <f t="shared" si="0"/>
        <v>16.317966627323123</v>
      </c>
      <c r="O18" s="4">
        <f t="shared" si="0"/>
        <v>15.77190938739551</v>
      </c>
      <c r="P18" s="4">
        <f t="shared" si="0"/>
        <v>13.963545087662887</v>
      </c>
    </row>
    <row r="19" spans="1:17" x14ac:dyDescent="0.15">
      <c r="A19" s="12"/>
      <c r="B19" s="12">
        <v>6</v>
      </c>
      <c r="C19" s="4"/>
      <c r="D19" s="4" t="str">
        <f t="shared" si="0"/>
        <v/>
      </c>
      <c r="E19" s="4" t="str">
        <f t="shared" si="0"/>
        <v/>
      </c>
      <c r="F19" s="4" t="str">
        <f t="shared" si="0"/>
        <v/>
      </c>
      <c r="G19" s="4" t="str">
        <f t="shared" si="0"/>
        <v/>
      </c>
      <c r="H19" s="4" t="str">
        <f t="shared" si="0"/>
        <v/>
      </c>
      <c r="I19" s="4">
        <f t="shared" si="0"/>
        <v>13.442265503259835</v>
      </c>
      <c r="J19" s="4">
        <f t="shared" si="0"/>
        <v>13.110105900851721</v>
      </c>
      <c r="K19" s="4">
        <f t="shared" si="0"/>
        <v>13.446826999853235</v>
      </c>
      <c r="L19" s="4">
        <f t="shared" si="0"/>
        <v>15.775970549951145</v>
      </c>
      <c r="M19" s="4">
        <f t="shared" si="0"/>
        <v>15.053098783399021</v>
      </c>
      <c r="N19" s="4">
        <f t="shared" si="0"/>
        <v>16.15560014650573</v>
      </c>
      <c r="O19" s="4">
        <f t="shared" si="0"/>
        <v>15.614976266897868</v>
      </c>
      <c r="P19" s="4">
        <f t="shared" si="0"/>
        <v>13.824605492589653</v>
      </c>
    </row>
    <row r="20" spans="1:17" x14ac:dyDescent="0.15">
      <c r="A20" s="12"/>
      <c r="B20" s="12">
        <v>5</v>
      </c>
      <c r="C20" s="4"/>
      <c r="D20" s="4" t="str">
        <f t="shared" si="0"/>
        <v/>
      </c>
      <c r="E20" s="4" t="str">
        <f t="shared" si="0"/>
        <v/>
      </c>
      <c r="F20" s="4" t="str">
        <f t="shared" si="0"/>
        <v/>
      </c>
      <c r="G20" s="4" t="str">
        <f t="shared" si="0"/>
        <v/>
      </c>
      <c r="H20" s="4">
        <f t="shared" si="0"/>
        <v>12.166494145125895</v>
      </c>
      <c r="I20" s="4">
        <f t="shared" si="0"/>
        <v>13.308512726714577</v>
      </c>
      <c r="J20" s="4">
        <f t="shared" si="0"/>
        <v>12.979658167572234</v>
      </c>
      <c r="K20" s="4">
        <f t="shared" si="0"/>
        <v>13.313028835658519</v>
      </c>
      <c r="L20" s="4">
        <f t="shared" si="0"/>
        <v>15.618997020210903</v>
      </c>
      <c r="M20" s="4">
        <f t="shared" si="0"/>
        <v>14.903317947914006</v>
      </c>
      <c r="N20" s="4">
        <f t="shared" si="0"/>
        <v>15.994849239166035</v>
      </c>
      <c r="O20" s="4">
        <f t="shared" si="0"/>
        <v>15.459604657039439</v>
      </c>
      <c r="P20" s="4">
        <f t="shared" si="0"/>
        <v>13.687048369586222</v>
      </c>
    </row>
    <row r="21" spans="1:17" x14ac:dyDescent="0.15">
      <c r="A21" s="12"/>
      <c r="B21" s="12">
        <v>4</v>
      </c>
      <c r="C21" s="4"/>
      <c r="D21" s="4" t="str">
        <f t="shared" si="0"/>
        <v/>
      </c>
      <c r="E21" s="4" t="str">
        <f t="shared" si="0"/>
        <v/>
      </c>
      <c r="F21" s="4" t="str">
        <f t="shared" si="0"/>
        <v/>
      </c>
      <c r="G21" s="4">
        <f t="shared" si="0"/>
        <v>12.499495999459135</v>
      </c>
      <c r="H21" s="4">
        <f t="shared" si="0"/>
        <v>12.045435505692117</v>
      </c>
      <c r="I21" s="4">
        <f t="shared" si="0"/>
        <v>13.176090812532452</v>
      </c>
      <c r="J21" s="4">
        <f t="shared" si="0"/>
        <v>12.85050841092592</v>
      </c>
      <c r="K21" s="4">
        <f t="shared" si="0"/>
        <v>13.180561985441598</v>
      </c>
      <c r="L21" s="4">
        <f t="shared" si="0"/>
        <v>15.463585403188555</v>
      </c>
      <c r="M21" s="4">
        <f t="shared" si="0"/>
        <v>14.755027456643253</v>
      </c>
      <c r="N21" s="4">
        <f t="shared" si="0"/>
        <v>15.835697830079338</v>
      </c>
      <c r="O21" s="4">
        <f t="shared" si="0"/>
        <v>15.30577902052976</v>
      </c>
      <c r="P21" s="4">
        <f t="shared" si="0"/>
        <v>13.550859962825658</v>
      </c>
    </row>
    <row r="22" spans="1:17" x14ac:dyDescent="0.15">
      <c r="A22" s="12"/>
      <c r="B22" s="12">
        <v>3</v>
      </c>
      <c r="C22" s="4"/>
      <c r="D22" s="4" t="str">
        <f t="shared" si="0"/>
        <v/>
      </c>
      <c r="E22" s="4" t="str">
        <f t="shared" si="0"/>
        <v/>
      </c>
      <c r="F22" s="4">
        <f t="shared" si="0"/>
        <v>9.6502345229785771</v>
      </c>
      <c r="G22" s="4">
        <f t="shared" si="0"/>
        <v>12.375123936212908</v>
      </c>
      <c r="H22" s="4">
        <f t="shared" si="0"/>
        <v>11.925581419846807</v>
      </c>
      <c r="I22" s="4">
        <f t="shared" si="0"/>
        <v>13.044986518411696</v>
      </c>
      <c r="J22" s="4">
        <f t="shared" si="0"/>
        <v>12.722643715829495</v>
      </c>
      <c r="K22" s="4">
        <f t="shared" si="0"/>
        <v>13.049413202407058</v>
      </c>
      <c r="L22" s="4">
        <f t="shared" si="0"/>
        <v>15.309720157592892</v>
      </c>
      <c r="M22" s="4">
        <f t="shared" si="0"/>
        <v>14.608212480414064</v>
      </c>
      <c r="N22" s="4">
        <f t="shared" si="0"/>
        <v>15.678130003972111</v>
      </c>
      <c r="O22" s="4">
        <f t="shared" si="0"/>
        <v>15.153483974676995</v>
      </c>
      <c r="P22" s="4">
        <f t="shared" si="0"/>
        <v>13.416026653353802</v>
      </c>
    </row>
    <row r="23" spans="1:17" x14ac:dyDescent="0.15">
      <c r="A23" s="12"/>
      <c r="B23" s="12">
        <v>2</v>
      </c>
      <c r="C23" s="4"/>
      <c r="D23" s="4" t="str">
        <f t="shared" si="0"/>
        <v/>
      </c>
      <c r="E23" s="4">
        <f t="shared" si="0"/>
        <v>9.157378362924673</v>
      </c>
      <c r="F23" s="4">
        <f t="shared" si="0"/>
        <v>9.5542130851154212</v>
      </c>
      <c r="G23" s="4">
        <f t="shared" si="0"/>
        <v>12.25198939567294</v>
      </c>
      <c r="H23" s="4">
        <f t="shared" si="0"/>
        <v>11.806919902081498</v>
      </c>
      <c r="I23" s="4">
        <f t="shared" si="0"/>
        <v>12.915186733813638</v>
      </c>
      <c r="J23" s="4">
        <f t="shared" si="0"/>
        <v>12.596051295706888</v>
      </c>
      <c r="K23" s="4">
        <f t="shared" si="0"/>
        <v>12.919569371567306</v>
      </c>
      <c r="L23" s="4">
        <f t="shared" si="0"/>
        <v>15.157385896771128</v>
      </c>
      <c r="M23" s="4">
        <f t="shared" si="0"/>
        <v>14.462858337606464</v>
      </c>
      <c r="N23" s="4">
        <f t="shared" si="0"/>
        <v>15.522130003930432</v>
      </c>
      <c r="O23" s="4">
        <f t="shared" si="0"/>
        <v>15.002704289849639</v>
      </c>
      <c r="P23" s="4">
        <f t="shared" si="0"/>
        <v>13.282534957727337</v>
      </c>
    </row>
    <row r="24" spans="1:17" x14ac:dyDescent="0.15">
      <c r="A24" s="12"/>
      <c r="B24" s="12">
        <v>1</v>
      </c>
      <c r="C24" s="4"/>
      <c r="D24" s="4">
        <f t="shared" si="0"/>
        <v>7.9806737296257388</v>
      </c>
      <c r="E24" s="4">
        <f t="shared" si="0"/>
        <v>9.0662609257918003</v>
      </c>
      <c r="F24" s="4">
        <f t="shared" si="0"/>
        <v>9.4591470765226493</v>
      </c>
      <c r="G24" s="4">
        <f t="shared" si="0"/>
        <v>12.130080064282563</v>
      </c>
      <c r="H24" s="4">
        <f t="shared" si="0"/>
        <v>11.68943908614553</v>
      </c>
      <c r="I24" s="4">
        <f t="shared" si="0"/>
        <v>12.786678478651652</v>
      </c>
      <c r="J24" s="4">
        <f t="shared" si="0"/>
        <v>12.470718491210596</v>
      </c>
      <c r="K24" s="4">
        <f t="shared" si="0"/>
        <v>12.791017508431054</v>
      </c>
      <c r="L24" s="4">
        <f t="shared" si="0"/>
        <v>15.006567387170239</v>
      </c>
      <c r="M24" s="4">
        <f t="shared" si="0"/>
        <v>14.318950492685047</v>
      </c>
      <c r="N24" s="4">
        <f t="shared" si="0"/>
        <v>15.367682229824295</v>
      </c>
      <c r="O24" s="4">
        <f t="shared" si="0"/>
        <v>14.853424887953564</v>
      </c>
      <c r="P24" s="4">
        <f t="shared" si="0"/>
        <v>13.150371526665463</v>
      </c>
    </row>
    <row r="25" spans="1:17" x14ac:dyDescent="0.15">
      <c r="A25" s="12"/>
      <c r="B25" s="12">
        <v>0</v>
      </c>
      <c r="C25" s="4">
        <f>IF( $B25 &lt;=C$11,(C$5+$B$6*$B25),"")</f>
        <v>7.2999975272283564</v>
      </c>
      <c r="D25" s="2">
        <f t="shared" si="0"/>
        <v>7.9012646992223168</v>
      </c>
      <c r="E25" s="4">
        <f t="shared" si="0"/>
        <v>8.9760501223067521</v>
      </c>
      <c r="F25" s="4">
        <f t="shared" si="0"/>
        <v>9.3650269905201782</v>
      </c>
      <c r="G25" s="4">
        <f t="shared" si="0"/>
        <v>12.00938375100705</v>
      </c>
      <c r="H25" s="4">
        <f t="shared" si="0"/>
        <v>11.573127223859411</v>
      </c>
      <c r="I25" s="4">
        <f t="shared" si="0"/>
        <v>12.659448901993134</v>
      </c>
      <c r="J25" s="4">
        <f t="shared" si="0"/>
        <v>12.346632768955727</v>
      </c>
      <c r="K25" s="4">
        <f t="shared" si="0"/>
        <v>12.663744757704864</v>
      </c>
      <c r="L25" s="4">
        <f t="shared" si="0"/>
        <v>14.857249546813584</v>
      </c>
      <c r="M25" s="4">
        <f t="shared" si="0"/>
        <v>14.176474554745401</v>
      </c>
      <c r="N25" s="4">
        <f t="shared" si="0"/>
        <v>15.214771236747589</v>
      </c>
      <c r="O25" s="4">
        <f t="shared" si="0"/>
        <v>14.705630840924183</v>
      </c>
      <c r="P25" s="4">
        <f t="shared" si="0"/>
        <v>13.019523143714936</v>
      </c>
    </row>
    <row r="27" spans="1:17" ht="14" thickBot="1" x14ac:dyDescent="0.2"/>
    <row r="28" spans="1:17" ht="14" thickBot="1" x14ac:dyDescent="0.2">
      <c r="A28" s="126" t="s">
        <v>13</v>
      </c>
      <c r="B28" s="127"/>
    </row>
    <row r="29" spans="1:17" x14ac:dyDescent="0.1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  <c r="J29">
        <v>7</v>
      </c>
      <c r="K29">
        <v>8</v>
      </c>
      <c r="L29">
        <v>9</v>
      </c>
      <c r="M29">
        <v>10</v>
      </c>
      <c r="N29">
        <v>11</v>
      </c>
      <c r="O29">
        <v>12</v>
      </c>
      <c r="P29">
        <v>13</v>
      </c>
      <c r="Q29">
        <v>14</v>
      </c>
    </row>
    <row r="30" spans="1:17" x14ac:dyDescent="0.15">
      <c r="B30">
        <v>14</v>
      </c>
      <c r="C30" s="8"/>
      <c r="D30" s="8" t="str">
        <f t="shared" ref="D30:Q44" si="1">IF($B30=0,$B$8*C30/(1+C11/100), IF($B30=D$29, $B$7*C31/(1 +C12/100 ), IF(AND(0 &lt; $B30, $B30 &lt; D$29), $B$7*C31/(1+C12/100) + $B$8*C30/(1+C11/100 ),"")))</f>
        <v/>
      </c>
      <c r="E30" s="8" t="str">
        <f t="shared" si="1"/>
        <v/>
      </c>
      <c r="F30" s="8" t="str">
        <f t="shared" si="1"/>
        <v/>
      </c>
      <c r="G30" s="8" t="str">
        <f t="shared" si="1"/>
        <v/>
      </c>
      <c r="H30" s="8" t="str">
        <f t="shared" si="1"/>
        <v/>
      </c>
      <c r="I30" s="8" t="str">
        <f t="shared" si="1"/>
        <v/>
      </c>
      <c r="J30" s="8" t="str">
        <f t="shared" si="1"/>
        <v/>
      </c>
      <c r="K30" s="8" t="str">
        <f t="shared" si="1"/>
        <v/>
      </c>
      <c r="L30" s="8" t="str">
        <f t="shared" si="1"/>
        <v/>
      </c>
      <c r="M30" s="8" t="str">
        <f t="shared" si="1"/>
        <v/>
      </c>
      <c r="N30" s="8" t="str">
        <f t="shared" si="1"/>
        <v/>
      </c>
      <c r="O30" s="8" t="str">
        <f t="shared" si="1"/>
        <v/>
      </c>
      <c r="P30" s="8" t="str">
        <f t="shared" si="1"/>
        <v/>
      </c>
      <c r="Q30" s="8">
        <f t="shared" si="1"/>
        <v>1.1337588864100057E-5</v>
      </c>
    </row>
    <row r="31" spans="1:17" x14ac:dyDescent="0.15">
      <c r="B31">
        <v>13</v>
      </c>
      <c r="C31" s="8"/>
      <c r="D31" s="8" t="str">
        <f t="shared" si="1"/>
        <v/>
      </c>
      <c r="E31" s="8" t="str">
        <f t="shared" si="1"/>
        <v/>
      </c>
      <c r="F31" s="8" t="str">
        <f t="shared" si="1"/>
        <v/>
      </c>
      <c r="G31" s="8" t="str">
        <f t="shared" si="1"/>
        <v/>
      </c>
      <c r="H31" s="8" t="str">
        <f t="shared" si="1"/>
        <v/>
      </c>
      <c r="I31" s="8" t="str">
        <f t="shared" si="1"/>
        <v/>
      </c>
      <c r="J31" s="8" t="str">
        <f t="shared" si="1"/>
        <v/>
      </c>
      <c r="K31" s="8" t="str">
        <f t="shared" si="1"/>
        <v/>
      </c>
      <c r="L31" s="8" t="str">
        <f t="shared" si="1"/>
        <v/>
      </c>
      <c r="M31" s="8" t="str">
        <f t="shared" si="1"/>
        <v/>
      </c>
      <c r="N31" s="8" t="str">
        <f t="shared" si="1"/>
        <v/>
      </c>
      <c r="O31" s="8" t="str">
        <f t="shared" si="1"/>
        <v/>
      </c>
      <c r="P31" s="8">
        <f t="shared" si="1"/>
        <v>2.6037226895346483E-5</v>
      </c>
      <c r="Q31" s="8">
        <f t="shared" si="1"/>
        <v>1.6004093539070434E-4</v>
      </c>
    </row>
    <row r="32" spans="1:17" x14ac:dyDescent="0.15">
      <c r="B32">
        <v>12</v>
      </c>
      <c r="C32" s="8"/>
      <c r="D32" s="8" t="str">
        <f t="shared" si="1"/>
        <v/>
      </c>
      <c r="E32" s="8" t="str">
        <f t="shared" si="1"/>
        <v/>
      </c>
      <c r="F32" s="8" t="str">
        <f t="shared" si="1"/>
        <v/>
      </c>
      <c r="G32" s="8" t="str">
        <f t="shared" si="1"/>
        <v/>
      </c>
      <c r="H32" s="8" t="str">
        <f t="shared" si="1"/>
        <v/>
      </c>
      <c r="I32" s="8" t="str">
        <f t="shared" si="1"/>
        <v/>
      </c>
      <c r="J32" s="8" t="str">
        <f t="shared" si="1"/>
        <v/>
      </c>
      <c r="K32" s="8" t="str">
        <f t="shared" si="1"/>
        <v/>
      </c>
      <c r="L32" s="8" t="str">
        <f t="shared" si="1"/>
        <v/>
      </c>
      <c r="M32" s="8" t="str">
        <f t="shared" si="1"/>
        <v/>
      </c>
      <c r="N32" s="8" t="str">
        <f t="shared" si="1"/>
        <v/>
      </c>
      <c r="O32" s="8">
        <f t="shared" si="1"/>
        <v>6.0708685926815322E-5</v>
      </c>
      <c r="P32" s="8">
        <f t="shared" si="1"/>
        <v>3.4106442336365357E-4</v>
      </c>
      <c r="Q32" s="8">
        <f t="shared" si="1"/>
        <v>1.0488324384198831E-3</v>
      </c>
    </row>
    <row r="33" spans="1:17" x14ac:dyDescent="0.15">
      <c r="B33">
        <v>11</v>
      </c>
      <c r="C33" s="8"/>
      <c r="D33" s="8" t="str">
        <f t="shared" si="1"/>
        <v/>
      </c>
      <c r="E33" s="8" t="str">
        <f t="shared" si="1"/>
        <v/>
      </c>
      <c r="F33" s="8" t="str">
        <f t="shared" si="1"/>
        <v/>
      </c>
      <c r="G33" s="8" t="str">
        <f t="shared" si="1"/>
        <v/>
      </c>
      <c r="H33" s="8" t="str">
        <f t="shared" si="1"/>
        <v/>
      </c>
      <c r="I33" s="8" t="str">
        <f t="shared" si="1"/>
        <v/>
      </c>
      <c r="J33" s="8" t="str">
        <f t="shared" si="1"/>
        <v/>
      </c>
      <c r="K33" s="8" t="str">
        <f t="shared" si="1"/>
        <v/>
      </c>
      <c r="L33" s="8" t="str">
        <f t="shared" si="1"/>
        <v/>
      </c>
      <c r="M33" s="8" t="str">
        <f t="shared" si="1"/>
        <v/>
      </c>
      <c r="N33" s="8">
        <f t="shared" si="1"/>
        <v>1.4203879566562484E-4</v>
      </c>
      <c r="O33" s="8">
        <f t="shared" si="1"/>
        <v>7.3348143313487065E-4</v>
      </c>
      <c r="P33" s="8">
        <f t="shared" si="1"/>
        <v>2.061897053806988E-3</v>
      </c>
      <c r="Q33" s="8">
        <f t="shared" si="1"/>
        <v>4.229677264731801E-3</v>
      </c>
    </row>
    <row r="34" spans="1:17" x14ac:dyDescent="0.15">
      <c r="B34">
        <v>10</v>
      </c>
      <c r="C34" s="8"/>
      <c r="D34" s="8" t="str">
        <f t="shared" si="1"/>
        <v/>
      </c>
      <c r="E34" s="8" t="str">
        <f t="shared" si="1"/>
        <v/>
      </c>
      <c r="F34" s="8" t="str">
        <f t="shared" si="1"/>
        <v/>
      </c>
      <c r="G34" s="8" t="str">
        <f t="shared" si="1"/>
        <v/>
      </c>
      <c r="H34" s="8" t="str">
        <f t="shared" si="1"/>
        <v/>
      </c>
      <c r="I34" s="8" t="str">
        <f t="shared" si="1"/>
        <v/>
      </c>
      <c r="J34" s="8" t="str">
        <f t="shared" si="1"/>
        <v/>
      </c>
      <c r="K34" s="8" t="str">
        <f t="shared" si="1"/>
        <v/>
      </c>
      <c r="L34" s="8" t="str">
        <f t="shared" si="1"/>
        <v/>
      </c>
      <c r="M34" s="8">
        <f t="shared" si="1"/>
        <v>3.28585241709174E-4</v>
      </c>
      <c r="N34" s="8">
        <f t="shared" si="1"/>
        <v>1.5717979291420578E-3</v>
      </c>
      <c r="O34" s="8">
        <f t="shared" si="1"/>
        <v>4.0615505221685173E-3</v>
      </c>
      <c r="P34" s="8">
        <f t="shared" si="1"/>
        <v>7.6172602904988366E-3</v>
      </c>
      <c r="Q34" s="8">
        <f t="shared" si="1"/>
        <v>1.1726290042926994E-2</v>
      </c>
    </row>
    <row r="35" spans="1:17" x14ac:dyDescent="0.15">
      <c r="B35">
        <v>9</v>
      </c>
      <c r="C35" s="8"/>
      <c r="D35" s="8" t="str">
        <f t="shared" si="1"/>
        <v/>
      </c>
      <c r="E35" s="8" t="str">
        <f t="shared" si="1"/>
        <v/>
      </c>
      <c r="F35" s="8" t="str">
        <f t="shared" si="1"/>
        <v/>
      </c>
      <c r="G35" s="8" t="str">
        <f t="shared" si="1"/>
        <v/>
      </c>
      <c r="H35" s="8" t="str">
        <f t="shared" si="1"/>
        <v/>
      </c>
      <c r="I35" s="8" t="str">
        <f t="shared" si="1"/>
        <v/>
      </c>
      <c r="J35" s="8" t="str">
        <f t="shared" si="1"/>
        <v/>
      </c>
      <c r="K35" s="8" t="str">
        <f t="shared" si="1"/>
        <v/>
      </c>
      <c r="L35" s="8">
        <f t="shared" si="1"/>
        <v>7.6400287982080709E-4</v>
      </c>
      <c r="M35" s="8">
        <f t="shared" si="1"/>
        <v>3.3030734120621389E-3</v>
      </c>
      <c r="N35" s="8">
        <f t="shared" si="1"/>
        <v>7.9058566616265428E-3</v>
      </c>
      <c r="O35" s="8">
        <f t="shared" si="1"/>
        <v>1.3629933922773389E-2</v>
      </c>
      <c r="P35" s="8">
        <f t="shared" si="1"/>
        <v>1.9185820862954377E-2</v>
      </c>
      <c r="Q35" s="8">
        <f t="shared" si="1"/>
        <v>2.3642371424081002E-2</v>
      </c>
    </row>
    <row r="36" spans="1:17" x14ac:dyDescent="0.15">
      <c r="B36">
        <v>8</v>
      </c>
      <c r="C36" s="8"/>
      <c r="D36" s="8" t="str">
        <f t="shared" si="1"/>
        <v/>
      </c>
      <c r="E36" s="8" t="str">
        <f t="shared" si="1"/>
        <v/>
      </c>
      <c r="F36" s="8" t="str">
        <f t="shared" si="1"/>
        <v/>
      </c>
      <c r="G36" s="8" t="str">
        <f t="shared" si="1"/>
        <v/>
      </c>
      <c r="H36" s="8" t="str">
        <f t="shared" si="1"/>
        <v/>
      </c>
      <c r="I36" s="8" t="str">
        <f t="shared" si="1"/>
        <v/>
      </c>
      <c r="J36" s="8" t="str">
        <f t="shared" si="1"/>
        <v/>
      </c>
      <c r="K36" s="8">
        <f t="shared" si="1"/>
        <v>1.7376247855005681E-3</v>
      </c>
      <c r="L36" s="8">
        <f t="shared" si="1"/>
        <v>6.9064442307278746E-3</v>
      </c>
      <c r="M36" s="8">
        <f t="shared" si="1"/>
        <v>1.4941288461074939E-2</v>
      </c>
      <c r="N36" s="8">
        <f t="shared" si="1"/>
        <v>2.3858199822668361E-2</v>
      </c>
      <c r="O36" s="8">
        <f t="shared" si="1"/>
        <v>3.0873268767433008E-2</v>
      </c>
      <c r="P36" s="8">
        <f t="shared" si="1"/>
        <v>3.4791710022881436E-2</v>
      </c>
      <c r="Q36" s="8">
        <f t="shared" si="1"/>
        <v>3.5748887036846991E-2</v>
      </c>
    </row>
    <row r="37" spans="1:17" x14ac:dyDescent="0.15">
      <c r="B37">
        <v>7</v>
      </c>
      <c r="C37" s="8"/>
      <c r="D37" s="8" t="str">
        <f t="shared" si="1"/>
        <v/>
      </c>
      <c r="E37" s="8" t="str">
        <f t="shared" si="1"/>
        <v/>
      </c>
      <c r="F37" s="8" t="str">
        <f t="shared" si="1"/>
        <v/>
      </c>
      <c r="G37" s="8" t="str">
        <f t="shared" si="1"/>
        <v/>
      </c>
      <c r="H37" s="8" t="str">
        <f t="shared" si="1"/>
        <v/>
      </c>
      <c r="I37" s="8" t="str">
        <f t="shared" si="1"/>
        <v/>
      </c>
      <c r="J37" s="8">
        <f t="shared" si="1"/>
        <v>3.9354374156390396E-3</v>
      </c>
      <c r="K37" s="8">
        <f t="shared" si="1"/>
        <v>1.3953411767459494E-2</v>
      </c>
      <c r="L37" s="8">
        <f t="shared" si="1"/>
        <v>2.7747305357266508E-2</v>
      </c>
      <c r="M37" s="8">
        <f t="shared" si="1"/>
        <v>4.0049888076537005E-2</v>
      </c>
      <c r="N37" s="8">
        <f t="shared" si="1"/>
        <v>4.799770774280282E-2</v>
      </c>
      <c r="O37" s="8">
        <f t="shared" si="1"/>
        <v>4.9726997900585275E-2</v>
      </c>
      <c r="P37" s="8">
        <f t="shared" si="1"/>
        <v>4.6732478171824916E-2</v>
      </c>
      <c r="Q37" s="8">
        <f t="shared" si="1"/>
        <v>4.11826838972945E-2</v>
      </c>
    </row>
    <row r="38" spans="1:17" x14ac:dyDescent="0.15">
      <c r="B38">
        <v>6</v>
      </c>
      <c r="C38" s="8"/>
      <c r="D38" s="8" t="str">
        <f t="shared" si="1"/>
        <v/>
      </c>
      <c r="E38" s="8" t="str">
        <f t="shared" si="1"/>
        <v/>
      </c>
      <c r="F38" s="8" t="str">
        <f t="shared" si="1"/>
        <v/>
      </c>
      <c r="G38" s="8" t="str">
        <f t="shared" si="1"/>
        <v/>
      </c>
      <c r="H38" s="8" t="str">
        <f t="shared" si="1"/>
        <v/>
      </c>
      <c r="I38" s="8">
        <f t="shared" si="1"/>
        <v>8.9288987235277336E-3</v>
      </c>
      <c r="J38" s="8">
        <f t="shared" si="1"/>
        <v>2.7634579183832404E-2</v>
      </c>
      <c r="K38" s="8">
        <f t="shared" si="1"/>
        <v>4.902006538569631E-2</v>
      </c>
      <c r="L38" s="8">
        <f t="shared" si="1"/>
        <v>6.5026934888844271E-2</v>
      </c>
      <c r="M38" s="8">
        <f t="shared" si="1"/>
        <v>7.0448405559101077E-2</v>
      </c>
      <c r="N38" s="8">
        <f t="shared" si="1"/>
        <v>6.7590677220084952E-2</v>
      </c>
      <c r="O38" s="8">
        <f t="shared" si="1"/>
        <v>5.839989598545639E-2</v>
      </c>
      <c r="P38" s="8">
        <f t="shared" si="1"/>
        <v>4.7076551068733513E-2</v>
      </c>
      <c r="Q38" s="8">
        <f t="shared" si="1"/>
        <v>3.6321429835157751E-2</v>
      </c>
    </row>
    <row r="39" spans="1:17" x14ac:dyDescent="0.15">
      <c r="B39">
        <v>5</v>
      </c>
      <c r="C39" s="8"/>
      <c r="D39" s="8" t="str">
        <f t="shared" si="1"/>
        <v/>
      </c>
      <c r="E39" s="8" t="str">
        <f t="shared" si="1"/>
        <v/>
      </c>
      <c r="F39" s="8" t="str">
        <f t="shared" si="1"/>
        <v/>
      </c>
      <c r="G39" s="8" t="str">
        <f t="shared" si="1"/>
        <v/>
      </c>
      <c r="H39" s="8">
        <f t="shared" si="1"/>
        <v>2.0030465327899913E-2</v>
      </c>
      <c r="I39" s="8">
        <f t="shared" si="1"/>
        <v>5.3706290133071016E-2</v>
      </c>
      <c r="J39" s="8">
        <f t="shared" si="1"/>
        <v>8.3162695863168212E-2</v>
      </c>
      <c r="K39" s="8">
        <f t="shared" si="1"/>
        <v>9.8405727400220244E-2</v>
      </c>
      <c r="L39" s="8">
        <f t="shared" si="1"/>
        <v>9.7964710987796938E-2</v>
      </c>
      <c r="M39" s="8">
        <f t="shared" si="1"/>
        <v>8.4971168558842403E-2</v>
      </c>
      <c r="N39" s="8">
        <f t="shared" si="1"/>
        <v>6.7984605972392073E-2</v>
      </c>
      <c r="O39" s="8">
        <f t="shared" si="1"/>
        <v>5.0387385439443239E-2</v>
      </c>
      <c r="P39" s="8">
        <f t="shared" si="1"/>
        <v>3.5565863989767348E-2</v>
      </c>
      <c r="Q39" s="8">
        <f t="shared" si="1"/>
        <v>2.4405746595136592E-2</v>
      </c>
    </row>
    <row r="40" spans="1:17" x14ac:dyDescent="0.15">
      <c r="B40">
        <v>4</v>
      </c>
      <c r="C40" s="8"/>
      <c r="D40" s="8" t="str">
        <f t="shared" si="1"/>
        <v/>
      </c>
      <c r="E40" s="8" t="str">
        <f t="shared" si="1"/>
        <v/>
      </c>
      <c r="F40" s="8" t="str">
        <f t="shared" si="1"/>
        <v/>
      </c>
      <c r="G40" s="8">
        <f t="shared" si="1"/>
        <v>4.5068345080467628E-2</v>
      </c>
      <c r="H40" s="8">
        <f t="shared" si="1"/>
        <v>0.10034204642582228</v>
      </c>
      <c r="I40" s="8">
        <f t="shared" si="1"/>
        <v>0.13459705196577618</v>
      </c>
      <c r="J40" s="8">
        <f t="shared" si="1"/>
        <v>0.13903509676205628</v>
      </c>
      <c r="K40" s="8">
        <f t="shared" si="1"/>
        <v>0.12346333318577818</v>
      </c>
      <c r="L40" s="8">
        <f t="shared" si="1"/>
        <v>9.838848581707188E-2</v>
      </c>
      <c r="M40" s="8">
        <f t="shared" si="1"/>
        <v>7.1169998972132331E-2</v>
      </c>
      <c r="N40" s="8">
        <f t="shared" si="1"/>
        <v>4.8841831786768063E-2</v>
      </c>
      <c r="O40" s="8">
        <f t="shared" si="1"/>
        <v>3.1698738230336157E-2</v>
      </c>
      <c r="P40" s="8">
        <f t="shared" si="1"/>
        <v>1.9902611478972154E-2</v>
      </c>
      <c r="Q40" s="8">
        <f t="shared" si="1"/>
        <v>1.2298802388914249E-2</v>
      </c>
    </row>
    <row r="41" spans="1:17" x14ac:dyDescent="0.15">
      <c r="B41">
        <v>3</v>
      </c>
      <c r="C41" s="8"/>
      <c r="D41" s="8" t="str">
        <f t="shared" si="1"/>
        <v/>
      </c>
      <c r="E41" s="8" t="str">
        <f t="shared" si="1"/>
        <v/>
      </c>
      <c r="F41" s="8">
        <f t="shared" si="1"/>
        <v>9.8835092152716061E-2</v>
      </c>
      <c r="G41" s="8">
        <f t="shared" si="1"/>
        <v>0.18050047758784482</v>
      </c>
      <c r="H41" s="8">
        <f t="shared" si="1"/>
        <v>0.20106235461379296</v>
      </c>
      <c r="I41" s="8">
        <f t="shared" si="1"/>
        <v>0.17990327936098879</v>
      </c>
      <c r="J41" s="8">
        <f t="shared" si="1"/>
        <v>0.13946470262119681</v>
      </c>
      <c r="K41" s="8">
        <f t="shared" si="1"/>
        <v>9.9134942581554378E-2</v>
      </c>
      <c r="L41" s="8">
        <f t="shared" si="1"/>
        <v>6.5874478678681819E-2</v>
      </c>
      <c r="M41" s="8">
        <f t="shared" si="1"/>
        <v>4.0874555015409542E-2</v>
      </c>
      <c r="N41" s="8">
        <f t="shared" si="1"/>
        <v>2.4561621531769367E-2</v>
      </c>
      <c r="O41" s="8">
        <f t="shared" si="1"/>
        <v>1.4180230275707244E-2</v>
      </c>
      <c r="P41" s="8">
        <f t="shared" si="1"/>
        <v>8.018647401847807E-3</v>
      </c>
      <c r="Q41" s="8">
        <f t="shared" si="1"/>
        <v>4.5072460904231285E-3</v>
      </c>
    </row>
    <row r="42" spans="1:17" x14ac:dyDescent="0.15">
      <c r="B42">
        <v>2</v>
      </c>
      <c r="C42" s="8"/>
      <c r="D42" s="8" t="str">
        <f t="shared" si="1"/>
        <v/>
      </c>
      <c r="E42" s="8">
        <f t="shared" si="1"/>
        <v>0.21577159099297108</v>
      </c>
      <c r="F42" s="8">
        <f t="shared" si="1"/>
        <v>0.29674321406569576</v>
      </c>
      <c r="G42" s="8">
        <f t="shared" si="1"/>
        <v>0.27109029096445619</v>
      </c>
      <c r="H42" s="8">
        <f t="shared" si="1"/>
        <v>0.20143943904385969</v>
      </c>
      <c r="I42" s="8">
        <f t="shared" si="1"/>
        <v>0.13525694680594219</v>
      </c>
      <c r="J42" s="8">
        <f t="shared" si="1"/>
        <v>8.3935983893653601E-2</v>
      </c>
      <c r="K42" s="8">
        <f t="shared" si="1"/>
        <v>4.9749274969382959E-2</v>
      </c>
      <c r="L42" s="8">
        <f t="shared" si="1"/>
        <v>2.8352685394684662E-2</v>
      </c>
      <c r="M42" s="8">
        <f t="shared" si="1"/>
        <v>1.5405153069845464E-2</v>
      </c>
      <c r="N42" s="8">
        <f t="shared" si="1"/>
        <v>8.2341096302635322E-3</v>
      </c>
      <c r="O42" s="8">
        <f t="shared" si="1"/>
        <v>4.281659755364535E-3</v>
      </c>
      <c r="P42" s="8">
        <f t="shared" si="1"/>
        <v>2.2026358751546099E-3</v>
      </c>
      <c r="Q42" s="8">
        <f t="shared" si="1"/>
        <v>1.1355675068323227E-3</v>
      </c>
    </row>
    <row r="43" spans="1:17" x14ac:dyDescent="0.15">
      <c r="B43">
        <v>1</v>
      </c>
      <c r="C43" s="8"/>
      <c r="D43" s="8">
        <f t="shared" si="1"/>
        <v>0.46598323534268526</v>
      </c>
      <c r="E43" s="8">
        <f t="shared" si="1"/>
        <v>0.43170197727788906</v>
      </c>
      <c r="F43" s="8">
        <f t="shared" si="1"/>
        <v>0.29698052637367245</v>
      </c>
      <c r="G43" s="8">
        <f t="shared" si="1"/>
        <v>0.18095253051867066</v>
      </c>
      <c r="H43" s="8">
        <f t="shared" si="1"/>
        <v>0.1009076733221394</v>
      </c>
      <c r="I43" s="8">
        <f t="shared" si="1"/>
        <v>5.4234205067750486E-2</v>
      </c>
      <c r="J43" s="8">
        <f t="shared" si="1"/>
        <v>2.8064180849621527E-2</v>
      </c>
      <c r="K43" s="8">
        <f t="shared" si="1"/>
        <v>1.4265926162080196E-2</v>
      </c>
      <c r="L43" s="8">
        <f t="shared" si="1"/>
        <v>7.1183228422625399E-3</v>
      </c>
      <c r="M43" s="8">
        <f t="shared" si="1"/>
        <v>3.4405104037590639E-3</v>
      </c>
      <c r="N43" s="8">
        <f t="shared" si="1"/>
        <v>1.6562022370275608E-3</v>
      </c>
      <c r="O43" s="8">
        <f t="shared" si="1"/>
        <v>7.8350353920418072E-4</v>
      </c>
      <c r="P43" s="8">
        <f t="shared" si="1"/>
        <v>3.697315817422396E-4</v>
      </c>
      <c r="Q43" s="8">
        <f t="shared" si="1"/>
        <v>1.7605239257816022E-4</v>
      </c>
    </row>
    <row r="44" spans="1:17" x14ac:dyDescent="0.15">
      <c r="B44">
        <v>0</v>
      </c>
      <c r="C44" s="8">
        <v>1</v>
      </c>
      <c r="D44" s="9">
        <f t="shared" si="1"/>
        <v>0.46598323534268526</v>
      </c>
      <c r="E44" s="8">
        <f t="shared" si="1"/>
        <v>0.21593038628491801</v>
      </c>
      <c r="F44" s="8">
        <f t="shared" si="1"/>
        <v>9.9072404460692751E-2</v>
      </c>
      <c r="G44" s="8">
        <f t="shared" si="1"/>
        <v>4.5294372061591683E-2</v>
      </c>
      <c r="H44" s="8">
        <f t="shared" si="1"/>
        <v>2.0219007794150309E-2</v>
      </c>
      <c r="I44" s="8">
        <f t="shared" si="1"/>
        <v>9.0608770665641814E-3</v>
      </c>
      <c r="J44" s="8">
        <f t="shared" si="1"/>
        <v>4.0213569100833223E-3</v>
      </c>
      <c r="K44" s="8">
        <f t="shared" si="1"/>
        <v>1.7897095849563043E-3</v>
      </c>
      <c r="L44" s="8">
        <f t="shared" si="1"/>
        <v>7.9427041449991814E-4</v>
      </c>
      <c r="M44" s="8">
        <f t="shared" si="1"/>
        <v>3.4576416274716251E-4</v>
      </c>
      <c r="N44" s="8">
        <f t="shared" si="1"/>
        <v>1.5141655235701611E-4</v>
      </c>
      <c r="O44" s="8">
        <f t="shared" si="1"/>
        <v>6.5710564162766829E-5</v>
      </c>
      <c r="P44" s="8">
        <f t="shared" si="1"/>
        <v>2.8643129234821703E-5</v>
      </c>
      <c r="Q44" s="8">
        <f t="shared" si="1"/>
        <v>1.267176167360009E-5</v>
      </c>
    </row>
    <row r="46" spans="1:17" ht="14" thickBot="1" x14ac:dyDescent="0.2"/>
    <row r="47" spans="1:17" ht="14" thickBot="1" x14ac:dyDescent="0.2">
      <c r="A47" s="126" t="s">
        <v>41</v>
      </c>
      <c r="B47" s="128"/>
      <c r="C47" s="127"/>
      <c r="D47" s="91">
        <f>SUM(D30:D44)</f>
        <v>0.93196647068537053</v>
      </c>
      <c r="E47" s="92">
        <f>SUM(E30:E44)</f>
        <v>0.86340395455577812</v>
      </c>
      <c r="F47" s="92">
        <f t="shared" ref="F47:Q47" si="2">SUM(F30:F44)</f>
        <v>0.79163123705277705</v>
      </c>
      <c r="G47" s="92">
        <f t="shared" si="2"/>
        <v>0.72290601621303097</v>
      </c>
      <c r="H47" s="92">
        <f t="shared" si="2"/>
        <v>0.64400098652766469</v>
      </c>
      <c r="I47" s="92">
        <f t="shared" si="2"/>
        <v>0.57568754912362052</v>
      </c>
      <c r="J47" s="92">
        <f t="shared" si="2"/>
        <v>0.50925403349925114</v>
      </c>
      <c r="K47" s="92">
        <f t="shared" si="2"/>
        <v>0.45152001582262863</v>
      </c>
      <c r="L47" s="92">
        <f t="shared" si="2"/>
        <v>0.39893764149165722</v>
      </c>
      <c r="M47" s="92">
        <f t="shared" si="2"/>
        <v>0.34527839093322032</v>
      </c>
      <c r="N47" s="92">
        <f t="shared" si="2"/>
        <v>0.300496065882568</v>
      </c>
      <c r="O47" s="92">
        <f t="shared" si="2"/>
        <v>0.25888306502169645</v>
      </c>
      <c r="P47" s="92">
        <f t="shared" si="2"/>
        <v>0.22392095257767805</v>
      </c>
      <c r="Q47" s="93">
        <f t="shared" si="2"/>
        <v>0.1966076371992718</v>
      </c>
    </row>
    <row r="48" spans="1:17" ht="14" thickBot="1" x14ac:dyDescent="0.2">
      <c r="A48" s="126" t="s">
        <v>42</v>
      </c>
      <c r="B48" s="128"/>
      <c r="C48" s="127"/>
      <c r="D48" s="88">
        <f>100*((1/D47)^(1/D29)-1)</f>
        <v>7.2999975272283635</v>
      </c>
      <c r="E48" s="89">
        <f t="shared" ref="E48:Q48" si="3">100*((1/E47)^(1/E29)-1)</f>
        <v>7.6199988975423683</v>
      </c>
      <c r="F48" s="89">
        <f t="shared" si="3"/>
        <v>8.0999996183435119</v>
      </c>
      <c r="G48" s="89">
        <f t="shared" si="3"/>
        <v>8.4499959748896014</v>
      </c>
      <c r="H48" s="89">
        <f t="shared" si="3"/>
        <v>9.2000138550814228</v>
      </c>
      <c r="I48" s="89">
        <f t="shared" si="3"/>
        <v>9.6399580119879591</v>
      </c>
      <c r="J48" s="89">
        <f t="shared" si="3"/>
        <v>10.120076194139905</v>
      </c>
      <c r="K48" s="89">
        <f t="shared" si="3"/>
        <v>10.449911974841886</v>
      </c>
      <c r="L48" s="89">
        <f t="shared" si="3"/>
        <v>10.750038822315533</v>
      </c>
      <c r="M48" s="89">
        <f t="shared" si="3"/>
        <v>11.220043369018097</v>
      </c>
      <c r="N48" s="89">
        <f t="shared" si="3"/>
        <v>11.549903998109045</v>
      </c>
      <c r="O48" s="89">
        <f t="shared" si="3"/>
        <v>11.920084622803472</v>
      </c>
      <c r="P48" s="89">
        <f t="shared" si="3"/>
        <v>12.199962778771155</v>
      </c>
      <c r="Q48" s="90">
        <f t="shared" si="3"/>
        <v>12.320005339909024</v>
      </c>
    </row>
    <row r="49" spans="1:17" ht="14" thickBot="1" x14ac:dyDescent="0.2"/>
    <row r="50" spans="1:17" ht="14" thickBot="1" x14ac:dyDescent="0.2">
      <c r="A50" s="126" t="s">
        <v>20</v>
      </c>
      <c r="B50" s="128"/>
      <c r="C50" s="127"/>
      <c r="D50" s="85">
        <f t="shared" ref="D50:Q50" si="4">(D48-C4)^2</f>
        <v>6.1145995654951176E-12</v>
      </c>
      <c r="E50" s="86">
        <f t="shared" si="4"/>
        <v>1.2154128300285111E-12</v>
      </c>
      <c r="F50" s="86">
        <f t="shared" si="4"/>
        <v>1.4566167463921977E-13</v>
      </c>
      <c r="G50" s="86">
        <f t="shared" si="4"/>
        <v>1.6201513715090451E-11</v>
      </c>
      <c r="H50" s="86">
        <f t="shared" si="4"/>
        <v>1.9196328125143034E-10</v>
      </c>
      <c r="I50" s="86">
        <f t="shared" si="4"/>
        <v>1.7629931551947754E-9</v>
      </c>
      <c r="J50" s="86">
        <f t="shared" si="4"/>
        <v>5.8055469559989598E-9</v>
      </c>
      <c r="K50" s="86">
        <f t="shared" si="4"/>
        <v>7.7484284609384323E-9</v>
      </c>
      <c r="L50" s="86">
        <f t="shared" si="4"/>
        <v>1.5071721833424576E-9</v>
      </c>
      <c r="M50" s="86">
        <f t="shared" si="4"/>
        <v>1.8808717306001993E-9</v>
      </c>
      <c r="N50" s="86">
        <f t="shared" si="4"/>
        <v>9.2163630671147295E-9</v>
      </c>
      <c r="O50" s="86">
        <f t="shared" si="4"/>
        <v>7.1610188674778E-9</v>
      </c>
      <c r="P50" s="86">
        <f t="shared" si="4"/>
        <v>1.3854198766555934E-9</v>
      </c>
      <c r="Q50" s="87">
        <f t="shared" si="4"/>
        <v>2.8514628378244258E-11</v>
      </c>
    </row>
    <row r="51" spans="1:17" ht="14" thickBot="1" x14ac:dyDescent="0.2">
      <c r="A51" s="126" t="s">
        <v>19</v>
      </c>
      <c r="B51" s="128"/>
      <c r="C51" s="127"/>
      <c r="D51" s="84">
        <f>SUM(D50:Q50)</f>
        <v>3.6711969394737879E-8</v>
      </c>
    </row>
    <row r="55" spans="1:17" ht="14" thickBot="1" x14ac:dyDescent="0.2"/>
    <row r="56" spans="1:17" ht="14" thickBot="1" x14ac:dyDescent="0.2">
      <c r="A56" s="135" t="s">
        <v>28</v>
      </c>
      <c r="B56" s="136"/>
      <c r="C56" s="137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1:17" x14ac:dyDescent="0.15">
      <c r="A57" s="12"/>
      <c r="B57" s="12"/>
      <c r="C57" s="12">
        <v>0</v>
      </c>
      <c r="D57" s="12">
        <v>1</v>
      </c>
      <c r="E57" s="12">
        <v>2</v>
      </c>
      <c r="F57" s="12">
        <v>3</v>
      </c>
      <c r="G57" s="12">
        <v>4</v>
      </c>
      <c r="H57" s="12">
        <v>5</v>
      </c>
      <c r="I57" s="12">
        <v>6</v>
      </c>
      <c r="J57" s="12">
        <v>7</v>
      </c>
      <c r="K57" s="12">
        <v>8</v>
      </c>
      <c r="L57" s="12">
        <v>9</v>
      </c>
      <c r="M57" s="12"/>
      <c r="N57" s="12"/>
      <c r="O57" s="12"/>
      <c r="P57" s="12"/>
    </row>
    <row r="58" spans="1:17" x14ac:dyDescent="0.15">
      <c r="A58" s="12"/>
      <c r="B58" s="12">
        <v>9</v>
      </c>
      <c r="C58" s="3" t="str">
        <f t="shared" ref="C58:D67" si="5">IF($B58&lt;= C$57, ($B$7*D57+$B$8*D58)/(1+C16/100),"")</f>
        <v/>
      </c>
      <c r="D58" s="3" t="str">
        <f t="shared" si="5"/>
        <v/>
      </c>
      <c r="E58" s="3" t="str">
        <f t="shared" ref="E58:E67" si="6">IF($B58&lt;= E$57, MAX((E16/100-$C$70)/(1+E16/100) +($B$7*F57+$B$8*F58)/(1+E16/100) - $C$73,0),"")</f>
        <v/>
      </c>
      <c r="F58" s="107" t="str">
        <f t="shared" ref="F58:K67" si="7">IF($B58&lt;= F$57, (F16/100-$C$70)/(1+F16/100) +($B$7*G57+$B$8*G58)/(1+F16/100),"")</f>
        <v/>
      </c>
      <c r="G58" s="107" t="str">
        <f t="shared" si="7"/>
        <v/>
      </c>
      <c r="H58" s="107" t="str">
        <f t="shared" si="7"/>
        <v/>
      </c>
      <c r="I58" s="107" t="str">
        <f t="shared" si="7"/>
        <v/>
      </c>
      <c r="J58" s="107" t="str">
        <f t="shared" si="7"/>
        <v/>
      </c>
      <c r="K58" s="107" t="str">
        <f t="shared" si="7"/>
        <v/>
      </c>
      <c r="L58" s="107">
        <f t="shared" ref="L58:L67" si="8">IF($B58&lt;= L$57, (L16/100-$C$70)/(1+L16/100),"")</f>
        <v>3.9622933216327295E-2</v>
      </c>
      <c r="M58" s="4"/>
      <c r="N58" s="4"/>
      <c r="O58" s="4"/>
      <c r="P58" s="4"/>
    </row>
    <row r="59" spans="1:17" x14ac:dyDescent="0.15">
      <c r="A59" s="12"/>
      <c r="B59" s="12">
        <v>8</v>
      </c>
      <c r="C59" s="3" t="str">
        <f t="shared" si="5"/>
        <v/>
      </c>
      <c r="D59" s="3" t="str">
        <f t="shared" si="5"/>
        <v/>
      </c>
      <c r="E59" s="3" t="str">
        <f t="shared" si="6"/>
        <v/>
      </c>
      <c r="F59" s="107" t="str">
        <f t="shared" si="7"/>
        <v/>
      </c>
      <c r="G59" s="107" t="str">
        <f t="shared" si="7"/>
        <v/>
      </c>
      <c r="H59" s="107" t="str">
        <f t="shared" si="7"/>
        <v/>
      </c>
      <c r="I59" s="107" t="str">
        <f t="shared" si="7"/>
        <v/>
      </c>
      <c r="J59" s="107" t="str">
        <f t="shared" si="7"/>
        <v/>
      </c>
      <c r="K59" s="107">
        <f t="shared" si="7"/>
        <v>5.2444073357238545E-2</v>
      </c>
      <c r="L59" s="107">
        <f t="shared" si="8"/>
        <v>3.8284844921108931E-2</v>
      </c>
      <c r="M59" s="4"/>
      <c r="N59" s="4"/>
      <c r="O59" s="4"/>
      <c r="P59" s="4"/>
    </row>
    <row r="60" spans="1:17" x14ac:dyDescent="0.15">
      <c r="A60" s="12"/>
      <c r="B60" s="12">
        <v>7</v>
      </c>
      <c r="C60" s="3" t="str">
        <f t="shared" si="5"/>
        <v/>
      </c>
      <c r="D60" s="3" t="str">
        <f t="shared" si="5"/>
        <v/>
      </c>
      <c r="E60" s="3" t="str">
        <f t="shared" si="6"/>
        <v/>
      </c>
      <c r="F60" s="107" t="str">
        <f t="shared" si="7"/>
        <v/>
      </c>
      <c r="G60" s="107" t="str">
        <f t="shared" si="7"/>
        <v/>
      </c>
      <c r="H60" s="107" t="str">
        <f t="shared" si="7"/>
        <v/>
      </c>
      <c r="I60" s="107" t="str">
        <f t="shared" si="7"/>
        <v/>
      </c>
      <c r="J60" s="107">
        <f t="shared" si="7"/>
        <v>5.9347681308968905E-2</v>
      </c>
      <c r="K60" s="107">
        <f t="shared" si="7"/>
        <v>5.0131475418166996E-2</v>
      </c>
      <c r="L60" s="107">
        <f t="shared" si="8"/>
        <v>3.6956392517437597E-2</v>
      </c>
      <c r="M60" s="4"/>
      <c r="N60" s="4"/>
      <c r="O60" s="4"/>
      <c r="P60" s="4"/>
    </row>
    <row r="61" spans="1:17" x14ac:dyDescent="0.15">
      <c r="A61" s="12"/>
      <c r="B61" s="12">
        <v>6</v>
      </c>
      <c r="C61" s="3" t="str">
        <f t="shared" si="5"/>
        <v/>
      </c>
      <c r="D61" s="3" t="str">
        <f t="shared" si="5"/>
        <v/>
      </c>
      <c r="E61" s="3" t="str">
        <f t="shared" si="6"/>
        <v/>
      </c>
      <c r="F61" s="107" t="str">
        <f t="shared" si="7"/>
        <v/>
      </c>
      <c r="G61" s="107" t="str">
        <f t="shared" si="7"/>
        <v/>
      </c>
      <c r="H61" s="107" t="str">
        <f t="shared" si="7"/>
        <v/>
      </c>
      <c r="I61" s="107">
        <f t="shared" si="7"/>
        <v>6.673293438821068E-2</v>
      </c>
      <c r="J61" s="107">
        <f t="shared" si="7"/>
        <v>5.6213713839414703E-2</v>
      </c>
      <c r="K61" s="107">
        <f t="shared" si="7"/>
        <v>4.7833189073926044E-2</v>
      </c>
      <c r="L61" s="107">
        <f t="shared" si="8"/>
        <v>3.563753799991691E-2</v>
      </c>
      <c r="M61" s="4"/>
      <c r="N61" s="4"/>
      <c r="O61" s="4"/>
      <c r="P61" s="4"/>
    </row>
    <row r="62" spans="1:17" x14ac:dyDescent="0.15">
      <c r="A62" s="12"/>
      <c r="B62" s="12">
        <v>5</v>
      </c>
      <c r="C62" s="3" t="str">
        <f t="shared" si="5"/>
        <v/>
      </c>
      <c r="D62" s="3" t="str">
        <f t="shared" si="5"/>
        <v/>
      </c>
      <c r="E62" s="3" t="str">
        <f t="shared" si="6"/>
        <v/>
      </c>
      <c r="F62" s="107" t="str">
        <f t="shared" si="7"/>
        <v/>
      </c>
      <c r="G62" s="107" t="str">
        <f t="shared" si="7"/>
        <v/>
      </c>
      <c r="H62" s="107">
        <f t="shared" si="7"/>
        <v>6.2378447030170064E-2</v>
      </c>
      <c r="I62" s="107">
        <f t="shared" si="7"/>
        <v>6.2872616981103746E-2</v>
      </c>
      <c r="J62" s="107">
        <f t="shared" si="7"/>
        <v>5.3096086053598661E-2</v>
      </c>
      <c r="K62" s="107">
        <f t="shared" si="7"/>
        <v>4.5549200622060824E-2</v>
      </c>
      <c r="L62" s="107">
        <f t="shared" si="8"/>
        <v>3.4328242957488188E-2</v>
      </c>
      <c r="M62" s="4"/>
      <c r="N62" s="4"/>
      <c r="O62" s="4"/>
      <c r="P62" s="4"/>
    </row>
    <row r="63" spans="1:17" x14ac:dyDescent="0.15">
      <c r="A63" s="12"/>
      <c r="B63" s="12">
        <v>4</v>
      </c>
      <c r="C63" s="3" t="str">
        <f t="shared" si="5"/>
        <v/>
      </c>
      <c r="D63" s="3" t="str">
        <f t="shared" si="5"/>
        <v/>
      </c>
      <c r="E63" s="3" t="str">
        <f t="shared" si="6"/>
        <v/>
      </c>
      <c r="F63" s="107" t="str">
        <f t="shared" si="7"/>
        <v/>
      </c>
      <c r="G63" s="107">
        <f t="shared" si="7"/>
        <v>6.1020615992404964E-2</v>
      </c>
      <c r="H63" s="107">
        <f t="shared" si="7"/>
        <v>5.7927403875089128E-2</v>
      </c>
      <c r="I63" s="107">
        <f t="shared" si="7"/>
        <v>5.9028696803023507E-2</v>
      </c>
      <c r="J63" s="107">
        <f t="shared" si="7"/>
        <v>4.9994840694240983E-2</v>
      </c>
      <c r="K63" s="107">
        <f t="shared" si="7"/>
        <v>4.327949496478764E-2</v>
      </c>
      <c r="L63" s="107">
        <f t="shared" si="8"/>
        <v>3.3028468584894992E-2</v>
      </c>
      <c r="M63" s="4"/>
      <c r="N63" s="4"/>
      <c r="O63" s="4"/>
      <c r="P63" s="4"/>
    </row>
    <row r="64" spans="1:17" x14ac:dyDescent="0.15">
      <c r="A64" s="12"/>
      <c r="B64" s="12">
        <v>3</v>
      </c>
      <c r="C64" s="3" t="str">
        <f t="shared" si="5"/>
        <v/>
      </c>
      <c r="D64" s="3" t="str">
        <f t="shared" si="5"/>
        <v/>
      </c>
      <c r="E64" s="3" t="str">
        <f t="shared" si="6"/>
        <v/>
      </c>
      <c r="F64" s="107">
        <f t="shared" si="7"/>
        <v>3.5135634181923295E-2</v>
      </c>
      <c r="G64" s="107">
        <f t="shared" si="7"/>
        <v>5.6027304111252917E-2</v>
      </c>
      <c r="H64" s="107">
        <f t="shared" si="7"/>
        <v>5.3491622266931466E-2</v>
      </c>
      <c r="I64" s="107">
        <f t="shared" si="7"/>
        <v>5.5201293266382928E-2</v>
      </c>
      <c r="J64" s="107">
        <f t="shared" si="7"/>
        <v>4.6910017999468083E-2</v>
      </c>
      <c r="K64" s="107">
        <f t="shared" si="7"/>
        <v>4.1024055631766247E-2</v>
      </c>
      <c r="L64" s="107">
        <f t="shared" si="8"/>
        <v>3.1738175694045412E-2</v>
      </c>
      <c r="M64" s="4"/>
      <c r="N64" s="4"/>
      <c r="O64" s="4"/>
      <c r="P64" s="4"/>
    </row>
    <row r="65" spans="1:16" x14ac:dyDescent="0.15">
      <c r="A65" s="12"/>
      <c r="B65" s="12">
        <v>2</v>
      </c>
      <c r="C65" s="3" t="str">
        <f t="shared" si="5"/>
        <v/>
      </c>
      <c r="D65" s="3" t="str">
        <f t="shared" si="5"/>
        <v/>
      </c>
      <c r="E65" s="107">
        <f t="shared" si="6"/>
        <v>6.880561435719211E-3</v>
      </c>
      <c r="F65" s="107">
        <f t="shared" si="7"/>
        <v>2.9738079519346261E-2</v>
      </c>
      <c r="G65" s="107">
        <f t="shared" si="7"/>
        <v>5.1047072194530023E-2</v>
      </c>
      <c r="H65" s="107">
        <f t="shared" si="7"/>
        <v>4.9071297952820461E-2</v>
      </c>
      <c r="I65" s="107">
        <f t="shared" si="7"/>
        <v>5.1390522286030582E-2</v>
      </c>
      <c r="J65" s="107">
        <f t="shared" si="7"/>
        <v>4.3841655729766248E-2</v>
      </c>
      <c r="K65" s="107">
        <f t="shared" si="7"/>
        <v>3.8782864802845686E-2</v>
      </c>
      <c r="L65" s="107">
        <f t="shared" si="8"/>
        <v>3.0457324725269488E-2</v>
      </c>
      <c r="M65" s="4"/>
      <c r="N65" s="4"/>
      <c r="O65" s="4"/>
      <c r="P65" s="4"/>
    </row>
    <row r="66" spans="1:16" x14ac:dyDescent="0.15">
      <c r="A66" s="12"/>
      <c r="B66" s="12">
        <v>1</v>
      </c>
      <c r="C66" s="3" t="str">
        <f t="shared" si="5"/>
        <v/>
      </c>
      <c r="D66" s="107">
        <f t="shared" si="5"/>
        <v>3.6986532151432961E-3</v>
      </c>
      <c r="E66" s="107">
        <f t="shared" si="6"/>
        <v>1.1070998855491794E-3</v>
      </c>
      <c r="F66" s="107">
        <f t="shared" si="7"/>
        <v>2.4351646864582171E-2</v>
      </c>
      <c r="G66" s="107">
        <f t="shared" si="7"/>
        <v>4.6080196189133844E-2</v>
      </c>
      <c r="H66" s="107">
        <f t="shared" si="7"/>
        <v>4.4666622522836805E-2</v>
      </c>
      <c r="I66" s="107">
        <f t="shared" si="7"/>
        <v>4.7596496300023571E-2</v>
      </c>
      <c r="J66" s="107">
        <f t="shared" si="7"/>
        <v>4.0789789195222519E-2</v>
      </c>
      <c r="K66" s="107">
        <f t="shared" si="7"/>
        <v>3.6555903330776331E-2</v>
      </c>
      <c r="L66" s="107">
        <f t="shared" si="8"/>
        <v>2.9185875758471563E-2</v>
      </c>
      <c r="M66" s="4"/>
      <c r="N66" s="4"/>
      <c r="O66" s="4"/>
      <c r="P66" s="4"/>
    </row>
    <row r="67" spans="1:16" x14ac:dyDescent="0.15">
      <c r="A67" s="12"/>
      <c r="B67" s="12">
        <v>0</v>
      </c>
      <c r="C67" s="108">
        <f t="shared" si="5"/>
        <v>1.9625668975457207E-3</v>
      </c>
      <c r="D67" s="3">
        <f t="shared" si="5"/>
        <v>5.1301524993022562E-4</v>
      </c>
      <c r="E67" s="3">
        <f t="shared" si="6"/>
        <v>0</v>
      </c>
      <c r="F67" s="107">
        <f t="shared" si="7"/>
        <v>1.8976671367420556E-2</v>
      </c>
      <c r="G67" s="107">
        <f t="shared" si="7"/>
        <v>4.1126947526226226E-2</v>
      </c>
      <c r="H67" s="107">
        <f t="shared" si="7"/>
        <v>4.0277783416474269E-2</v>
      </c>
      <c r="I67" s="107">
        <f t="shared" si="7"/>
        <v>4.3819324291215024E-2</v>
      </c>
      <c r="J67" s="107">
        <f t="shared" si="7"/>
        <v>3.7754451283034923E-2</v>
      </c>
      <c r="K67" s="3">
        <f t="shared" si="7"/>
        <v>3.4343150763880212E-2</v>
      </c>
      <c r="L67" s="3">
        <f t="shared" si="8"/>
        <v>2.7923788524174702E-2</v>
      </c>
      <c r="M67" s="4"/>
      <c r="N67" s="4"/>
      <c r="O67" s="4"/>
      <c r="P67" s="4"/>
    </row>
    <row r="70" spans="1:16" x14ac:dyDescent="0.15">
      <c r="A70" s="1" t="s">
        <v>22</v>
      </c>
      <c r="B70" s="11"/>
      <c r="C70" s="18">
        <v>0.11650000000000001</v>
      </c>
      <c r="D70" s="1" t="s">
        <v>30</v>
      </c>
    </row>
    <row r="71" spans="1:16" x14ac:dyDescent="0.15">
      <c r="A71" s="1" t="s">
        <v>23</v>
      </c>
      <c r="C71" s="19">
        <v>2</v>
      </c>
      <c r="D71" s="1" t="s">
        <v>26</v>
      </c>
    </row>
    <row r="72" spans="1:16" x14ac:dyDescent="0.15">
      <c r="A72" s="1" t="s">
        <v>24</v>
      </c>
      <c r="C72" s="14">
        <v>10</v>
      </c>
      <c r="D72" s="1" t="s">
        <v>27</v>
      </c>
    </row>
    <row r="73" spans="1:16" x14ac:dyDescent="0.15">
      <c r="A73" s="1" t="s">
        <v>25</v>
      </c>
      <c r="C73" s="15">
        <v>0</v>
      </c>
      <c r="D73" s="1" t="s">
        <v>31</v>
      </c>
    </row>
    <row r="74" spans="1:16" x14ac:dyDescent="0.15">
      <c r="A74" s="1" t="s">
        <v>29</v>
      </c>
      <c r="C74" s="14">
        <v>1</v>
      </c>
    </row>
    <row r="85" spans="15:19" x14ac:dyDescent="0.15">
      <c r="O85" t="s">
        <v>7</v>
      </c>
    </row>
    <row r="87" spans="15:19" x14ac:dyDescent="0.15">
      <c r="S87" t="s">
        <v>7</v>
      </c>
    </row>
    <row r="115" spans="9:9" x14ac:dyDescent="0.15">
      <c r="I115" t="s">
        <v>7</v>
      </c>
    </row>
  </sheetData>
  <mergeCells count="11">
    <mergeCell ref="A47:C47"/>
    <mergeCell ref="A48:C48"/>
    <mergeCell ref="A50:C50"/>
    <mergeCell ref="A51:C51"/>
    <mergeCell ref="A56:C56"/>
    <mergeCell ref="A28:B28"/>
    <mergeCell ref="A1:H1"/>
    <mergeCell ref="A3:B3"/>
    <mergeCell ref="A4:B4"/>
    <mergeCell ref="A5:B5"/>
    <mergeCell ref="A10:B10"/>
  </mergeCells>
  <pageMargins left="0.53" right="0.38" top="0.63" bottom="5.3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ZCB+Options</vt:lpstr>
      <vt:lpstr>BondForward+Futures</vt:lpstr>
      <vt:lpstr>Caplets</vt:lpstr>
      <vt:lpstr>Swaps+Swaptions</vt:lpstr>
      <vt:lpstr>Elementary Prices</vt:lpstr>
      <vt:lpstr>BDT</vt:lpstr>
      <vt:lpstr>BDT_b=.005</vt:lpstr>
      <vt:lpstr>BDT_b=.01</vt:lpstr>
      <vt:lpstr>BDT!Print_Area</vt:lpstr>
      <vt:lpstr>'BDT_b=.005'!Print_Area</vt:lpstr>
      <vt:lpstr>'BDT_b=.01'!Print_Area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Models for AMF chapter 16</dc:title>
  <dc:creator>Mary Jackson and  Mike Staunton</dc:creator>
  <cp:lastModifiedBy>Irwan Widarto</cp:lastModifiedBy>
  <cp:lastPrinted>2004-05-18T03:27:22Z</cp:lastPrinted>
  <dcterms:created xsi:type="dcterms:W3CDTF">2000-07-13T16:13:54Z</dcterms:created>
  <dcterms:modified xsi:type="dcterms:W3CDTF">2020-11-02T18:16:39Z</dcterms:modified>
</cp:coreProperties>
</file>