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wan\Downloads\"/>
    </mc:Choice>
  </mc:AlternateContent>
  <xr:revisionPtr revIDLastSave="0" documentId="13_ncr:1_{0BAA0C26-EC3A-4E8F-9F40-F5F034C32AA3}" xr6:coauthVersionLast="45" xr6:coauthVersionMax="45" xr10:uidLastSave="{00000000-0000-0000-0000-000000000000}"/>
  <bookViews>
    <workbookView xWindow="21480" yWindow="-120" windowWidth="21840" windowHeight="13740" activeTab="2" xr2:uid="{00000000-000D-0000-FFFF-FFFF00000000}"/>
  </bookViews>
  <sheets>
    <sheet name="Pricing" sheetId="2" r:id="rId1"/>
    <sheet name="Calibration" sheetId="5" r:id="rId2"/>
    <sheet name="CDS pricing" sheetId="6" r:id="rId3"/>
  </sheets>
  <externalReferences>
    <externalReference r:id="rId4"/>
  </externalReferences>
  <definedNames>
    <definedName name="h" localSheetId="1">Calibration!$C$2</definedName>
    <definedName name="h">Pricing!$C$2</definedName>
    <definedName name="N" localSheetId="2">'CDS pricing'!$B$2</definedName>
    <definedName name="N">'CDS pricing'!$B$2</definedName>
    <definedName name="qd">'[1]Zero coupon bond with recovery'!$B$6</definedName>
    <definedName name="qu">'[1]Zero coupon bond with recovery'!$B$5</definedName>
    <definedName name="rf" localSheetId="1">Calibration!$F$2</definedName>
    <definedName name="rf" localSheetId="2">Pricing!$F$2</definedName>
    <definedName name="rf">Pricing!$F$2</definedName>
    <definedName name="S">'CDS pricing'!$B$1</definedName>
    <definedName name="solver_adj" localSheetId="1" hidden="1">Calibration!$A$6,Calibration!$A$8,Calibration!$A$10,Calibration!$A$12,Calibration!$A$14</definedName>
    <definedName name="solver_adj" localSheetId="2" hidden="1">'CDS pricing'!$B$1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Calibration!$A$6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Calibration!$J$21</definedName>
    <definedName name="solver_opt" localSheetId="2" hidden="1">'CDS pricing'!$H$30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6" i="6" l="1"/>
  <c r="K26" i="6"/>
  <c r="B26" i="6"/>
  <c r="L26" i="6"/>
  <c r="E26" i="6"/>
  <c r="I26" i="6"/>
  <c r="J26" i="6"/>
  <c r="D26" i="6"/>
  <c r="F26" i="6"/>
  <c r="G2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H24" i="6"/>
  <c r="K24" i="6"/>
  <c r="B24" i="6"/>
  <c r="L24" i="6"/>
  <c r="E24" i="6"/>
  <c r="I24" i="6"/>
  <c r="J24" i="6"/>
  <c r="D24" i="6"/>
  <c r="F24" i="6"/>
  <c r="G24" i="6"/>
  <c r="H23" i="6"/>
  <c r="K23" i="6"/>
  <c r="B23" i="6"/>
  <c r="L23" i="6"/>
  <c r="E23" i="6"/>
  <c r="I23" i="6"/>
  <c r="J23" i="6"/>
  <c r="F23" i="6"/>
  <c r="G23" i="6"/>
  <c r="H22" i="6"/>
  <c r="K22" i="6"/>
  <c r="B22" i="6"/>
  <c r="L22" i="6"/>
  <c r="E22" i="6"/>
  <c r="I22" i="6"/>
  <c r="J22" i="6"/>
  <c r="F22" i="6"/>
  <c r="G22" i="6"/>
  <c r="H21" i="6"/>
  <c r="K21" i="6"/>
  <c r="B21" i="6"/>
  <c r="L21" i="6"/>
  <c r="E21" i="6"/>
  <c r="I21" i="6"/>
  <c r="J21" i="6"/>
  <c r="F21" i="6"/>
  <c r="G21" i="6"/>
  <c r="H20" i="6"/>
  <c r="K20" i="6"/>
  <c r="B20" i="6"/>
  <c r="L20" i="6"/>
  <c r="E20" i="6"/>
  <c r="I20" i="6"/>
  <c r="J20" i="6"/>
  <c r="F20" i="6"/>
  <c r="G20" i="6"/>
  <c r="H19" i="6"/>
  <c r="K19" i="6"/>
  <c r="B19" i="6"/>
  <c r="L19" i="6"/>
  <c r="E19" i="6"/>
  <c r="I19" i="6"/>
  <c r="J19" i="6"/>
  <c r="F19" i="6"/>
  <c r="G19" i="6"/>
  <c r="H18" i="6"/>
  <c r="K18" i="6"/>
  <c r="B18" i="6"/>
  <c r="L18" i="6"/>
  <c r="E18" i="6"/>
  <c r="I18" i="6"/>
  <c r="J18" i="6"/>
  <c r="F18" i="6"/>
  <c r="G18" i="6"/>
  <c r="H17" i="6"/>
  <c r="K17" i="6"/>
  <c r="B17" i="6"/>
  <c r="L17" i="6"/>
  <c r="E17" i="6"/>
  <c r="I17" i="6"/>
  <c r="J17" i="6"/>
  <c r="F17" i="6"/>
  <c r="G17" i="6"/>
  <c r="H16" i="6"/>
  <c r="K16" i="6"/>
  <c r="B16" i="6"/>
  <c r="L16" i="6"/>
  <c r="E16" i="6"/>
  <c r="I16" i="6"/>
  <c r="J16" i="6"/>
  <c r="F16" i="6"/>
  <c r="G16" i="6"/>
  <c r="H15" i="6"/>
  <c r="K15" i="6"/>
  <c r="B15" i="6"/>
  <c r="L15" i="6"/>
  <c r="E15" i="6"/>
  <c r="I15" i="6"/>
  <c r="J15" i="6"/>
  <c r="F15" i="6"/>
  <c r="G15" i="6"/>
  <c r="XFD1048550" i="5"/>
  <c r="XFD1048551" i="5"/>
  <c r="XFD1048552" i="5"/>
  <c r="XFD1048553" i="5"/>
  <c r="XFD1048554" i="5"/>
  <c r="XFD1048555" i="5"/>
  <c r="XFD1048556" i="5"/>
  <c r="XFD1048557" i="5"/>
  <c r="XFD1048558" i="5"/>
  <c r="XFD1048559" i="5"/>
  <c r="XFD1048560" i="5"/>
  <c r="XFD1048561" i="5"/>
  <c r="XFD1048562" i="5" a="1"/>
  <c r="XFD1048562" i="5"/>
  <c r="XFD1048563" i="5" a="1"/>
  <c r="XFD1048563" i="5"/>
  <c r="XFD1048564" i="5" a="1"/>
  <c r="XFD1048564" i="5"/>
  <c r="XFD1048565" i="5" a="1"/>
  <c r="XFD1048565" i="5"/>
  <c r="XFD1048566" i="5" a="1"/>
  <c r="XFD1048566" i="5"/>
  <c r="XFD1048567" i="5" a="1"/>
  <c r="XFD1048567" i="5"/>
  <c r="XFD1048568" i="5" a="1"/>
  <c r="XFD1048568" i="5"/>
  <c r="XFD1048569" i="5" a="1"/>
  <c r="XFD1048569" i="5"/>
  <c r="XFD1048570" i="5" a="1"/>
  <c r="XFD1048570" i="5"/>
  <c r="XFD1048571" i="5" a="1"/>
  <c r="XFD1048571" i="5"/>
  <c r="XFD1048572" i="5" a="1"/>
  <c r="XFD1048572" i="5"/>
  <c r="XFD1048573" i="5" a="1"/>
  <c r="XFD1048573" i="5"/>
  <c r="XFD1048574" i="5" a="1"/>
  <c r="XFD1048574" i="5"/>
  <c r="XFD1048575" i="5" a="1"/>
  <c r="XFD1048575" i="5"/>
  <c r="A15" i="5"/>
  <c r="A13" i="5"/>
  <c r="A11" i="5"/>
  <c r="A9" i="5"/>
  <c r="A7" i="5"/>
  <c r="E16" i="5"/>
  <c r="E15" i="5"/>
  <c r="E14" i="5"/>
  <c r="E13" i="5"/>
  <c r="E12" i="5"/>
  <c r="E11" i="5"/>
  <c r="C7" i="5"/>
  <c r="C8" i="5"/>
  <c r="C9" i="5"/>
  <c r="C10" i="5"/>
  <c r="C11" i="5"/>
  <c r="D11" i="5"/>
  <c r="V11" i="5"/>
  <c r="E10" i="5"/>
  <c r="E9" i="5"/>
  <c r="D9" i="5"/>
  <c r="V9" i="5"/>
  <c r="E8" i="5"/>
  <c r="E7" i="5"/>
  <c r="D7" i="5"/>
  <c r="P7" i="5"/>
  <c r="D8" i="5"/>
  <c r="AH9" i="5"/>
  <c r="D10" i="5"/>
  <c r="AB10" i="5"/>
  <c r="AH10" i="5"/>
  <c r="AB9" i="5"/>
  <c r="C12" i="5"/>
  <c r="P10" i="5"/>
  <c r="AH11" i="5"/>
  <c r="P9" i="5"/>
  <c r="C13" i="5"/>
  <c r="D13" i="5"/>
  <c r="AB8" i="5"/>
  <c r="J8" i="5"/>
  <c r="P8" i="5"/>
  <c r="AH8" i="5"/>
  <c r="V8" i="5"/>
  <c r="V7" i="5"/>
  <c r="AB7" i="5"/>
  <c r="D12" i="5"/>
  <c r="AB12" i="5"/>
  <c r="J7" i="5"/>
  <c r="AH7" i="5"/>
  <c r="AB11" i="5"/>
  <c r="V10" i="5"/>
  <c r="J18" i="5"/>
  <c r="P18" i="5"/>
  <c r="C14" i="5"/>
  <c r="AB13" i="5"/>
  <c r="AH13" i="5"/>
  <c r="D14" i="5"/>
  <c r="AH12" i="5"/>
  <c r="V12" i="5"/>
  <c r="V18" i="5"/>
  <c r="E7" i="2"/>
  <c r="C7" i="2"/>
  <c r="D7" i="2"/>
  <c r="J7" i="2"/>
  <c r="E8" i="2"/>
  <c r="A7" i="2"/>
  <c r="C8" i="2"/>
  <c r="D8" i="2"/>
  <c r="J8" i="2"/>
  <c r="J18" i="2"/>
  <c r="J19" i="5"/>
  <c r="J20" i="5"/>
  <c r="D15" i="5"/>
  <c r="AH14" i="5"/>
  <c r="AB14" i="5"/>
  <c r="AB18" i="5"/>
  <c r="C15" i="5"/>
  <c r="P7" i="2"/>
  <c r="P8" i="2"/>
  <c r="E9" i="2"/>
  <c r="A8" i="2"/>
  <c r="C9" i="2"/>
  <c r="D9" i="2"/>
  <c r="P9" i="2"/>
  <c r="E10" i="2"/>
  <c r="A9" i="2"/>
  <c r="C10" i="2"/>
  <c r="D10" i="2"/>
  <c r="P10" i="2"/>
  <c r="P18" i="2"/>
  <c r="P19" i="5"/>
  <c r="P20" i="5"/>
  <c r="C16" i="5"/>
  <c r="D16" i="5"/>
  <c r="AH16" i="5"/>
  <c r="AH15" i="5"/>
  <c r="AH18" i="5"/>
  <c r="V7" i="2"/>
  <c r="V8" i="2"/>
  <c r="V9" i="2"/>
  <c r="V10" i="2"/>
  <c r="E11" i="2"/>
  <c r="A10" i="2"/>
  <c r="C11" i="2"/>
  <c r="D11" i="2"/>
  <c r="V11" i="2"/>
  <c r="E12" i="2"/>
  <c r="A11" i="2"/>
  <c r="C12" i="2"/>
  <c r="D12" i="2"/>
  <c r="V12" i="2"/>
  <c r="V18" i="2"/>
  <c r="V19" i="5"/>
  <c r="V20" i="5"/>
  <c r="AB7" i="2"/>
  <c r="AB8" i="2"/>
  <c r="AB9" i="2"/>
  <c r="AB10" i="2"/>
  <c r="AB11" i="2"/>
  <c r="AB12" i="2"/>
  <c r="E13" i="2"/>
  <c r="A12" i="2"/>
  <c r="C13" i="2"/>
  <c r="D13" i="2"/>
  <c r="AB13" i="2"/>
  <c r="E14" i="2"/>
  <c r="A13" i="2"/>
  <c r="C14" i="2"/>
  <c r="D14" i="2"/>
  <c r="AB14" i="2"/>
  <c r="AB18" i="2"/>
  <c r="AB19" i="5"/>
  <c r="AB20" i="5"/>
  <c r="AH7" i="2"/>
  <c r="AH8" i="2"/>
  <c r="AH9" i="2"/>
  <c r="AH10" i="2"/>
  <c r="AH11" i="2"/>
  <c r="AH12" i="2"/>
  <c r="AH13" i="2"/>
  <c r="AH14" i="2"/>
  <c r="E15" i="2"/>
  <c r="A14" i="2"/>
  <c r="C15" i="2"/>
  <c r="D15" i="2"/>
  <c r="AH15" i="2"/>
  <c r="E16" i="2"/>
  <c r="A15" i="2"/>
  <c r="C16" i="2"/>
  <c r="D16" i="2"/>
  <c r="AH16" i="2"/>
  <c r="AH18" i="2"/>
  <c r="AH19" i="5"/>
  <c r="AH20" i="5"/>
  <c r="J21" i="5"/>
  <c r="B7" i="6"/>
  <c r="E7" i="6"/>
  <c r="F7" i="6"/>
  <c r="G7" i="6"/>
  <c r="H7" i="6"/>
  <c r="I7" i="6"/>
  <c r="J7" i="6"/>
  <c r="B8" i="6"/>
  <c r="E8" i="6"/>
  <c r="B9" i="6"/>
  <c r="E9" i="6"/>
  <c r="B10" i="6"/>
  <c r="E10" i="6"/>
  <c r="B11" i="6"/>
  <c r="E11" i="6"/>
  <c r="B12" i="6"/>
  <c r="E12" i="6"/>
  <c r="B13" i="6"/>
  <c r="E13" i="6"/>
  <c r="B14" i="6"/>
  <c r="E14" i="6"/>
  <c r="F8" i="6"/>
  <c r="G8" i="6"/>
  <c r="H8" i="6"/>
  <c r="K7" i="6"/>
  <c r="L7" i="6"/>
  <c r="K8" i="6"/>
  <c r="L8" i="6"/>
  <c r="I8" i="6"/>
  <c r="J8" i="6"/>
  <c r="H9" i="6"/>
  <c r="K9" i="6"/>
  <c r="L9" i="6"/>
  <c r="I9" i="6"/>
  <c r="J9" i="6"/>
  <c r="H10" i="6"/>
  <c r="F9" i="6"/>
  <c r="G9" i="6"/>
  <c r="I10" i="6"/>
  <c r="J10" i="6"/>
  <c r="K10" i="6"/>
  <c r="L10" i="6"/>
  <c r="F10" i="6"/>
  <c r="G10" i="6"/>
  <c r="H11" i="6"/>
  <c r="F11" i="6"/>
  <c r="G11" i="6"/>
  <c r="H12" i="6"/>
  <c r="I11" i="6"/>
  <c r="J11" i="6"/>
  <c r="K11" i="6"/>
  <c r="L11" i="6"/>
  <c r="K12" i="6"/>
  <c r="L12" i="6"/>
  <c r="I12" i="6"/>
  <c r="J12" i="6"/>
  <c r="H13" i="6"/>
  <c r="F12" i="6"/>
  <c r="G12" i="6"/>
  <c r="K13" i="6"/>
  <c r="L13" i="6"/>
  <c r="I13" i="6"/>
  <c r="J13" i="6"/>
  <c r="F14" i="6"/>
  <c r="G14" i="6"/>
  <c r="H14" i="6"/>
  <c r="F13" i="6"/>
  <c r="G13" i="6"/>
  <c r="I14" i="6"/>
  <c r="J14" i="6"/>
  <c r="H28" i="6"/>
  <c r="K14" i="6"/>
  <c r="L14" i="6"/>
  <c r="H29" i="6"/>
  <c r="H30" i="6"/>
  <c r="A16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<sst xmlns="http://schemas.openxmlformats.org/spreadsheetml/2006/main" count="102" uniqueCount="42">
  <si>
    <t>Interest rate</t>
  </si>
  <si>
    <t>Price</t>
  </si>
  <si>
    <t>Hazard rate</t>
  </si>
  <si>
    <t>Survival probability</t>
  </si>
  <si>
    <t>Discount rate</t>
  </si>
  <si>
    <t>Error</t>
  </si>
  <si>
    <t>Month</t>
  </si>
  <si>
    <t>Discount</t>
  </si>
  <si>
    <t xml:space="preserve">Spread </t>
  </si>
  <si>
    <t>Principal</t>
  </si>
  <si>
    <t>Recovery</t>
  </si>
  <si>
    <t>Fixed payment</t>
  </si>
  <si>
    <t>Survival probability (%)</t>
  </si>
  <si>
    <t>Default Prob. (%)</t>
  </si>
  <si>
    <t>Premium Leg</t>
  </si>
  <si>
    <t>Protection Leg</t>
  </si>
  <si>
    <t>Value</t>
  </si>
  <si>
    <t>Discounted Expected value</t>
  </si>
  <si>
    <t xml:space="preserve">Coupon+Face </t>
  </si>
  <si>
    <t>d(0,t)*(p(t)*c + (1-p(t))*R)</t>
  </si>
  <si>
    <t>Time</t>
  </si>
  <si>
    <t>Default probabilty</t>
  </si>
  <si>
    <t>5yr bond: c=10%, R=20%</t>
  </si>
  <si>
    <t xml:space="preserve">3yr bond: c = 5%, R= 50% </t>
  </si>
  <si>
    <t xml:space="preserve">1yr bond: c = 5%, R= 10% </t>
  </si>
  <si>
    <t xml:space="preserve">2yr bond: c = 8%, R= 25% </t>
  </si>
  <si>
    <t xml:space="preserve">4yr bond: c = 5%, R=10% </t>
  </si>
  <si>
    <t>Model Price</t>
  </si>
  <si>
    <t>True Price</t>
  </si>
  <si>
    <t>Sum Error</t>
  </si>
  <si>
    <t xml:space="preserve">Interest </t>
  </si>
  <si>
    <t xml:space="preserve">2yr bond: c = 2%, R= 25% </t>
  </si>
  <si>
    <t>Expected value of premium (ExD)</t>
  </si>
  <si>
    <t>PV of premium (NxFxB)</t>
  </si>
  <si>
    <t>Accrued interest (E/2xG)</t>
  </si>
  <si>
    <t>PV of accrued interest (NxIxB)</t>
  </si>
  <si>
    <t>Expected Protection payment (1-R)H</t>
  </si>
  <si>
    <t>PV of expected protection payment (NxKxB)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</si>
  <si>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</si>
  <si>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</si>
  <si>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q(</t>
    </r>
    <r>
      <rPr>
        <b/>
        <sz val="11"/>
        <color theme="3"/>
        <rFont val="Calibri"/>
        <family val="2"/>
        <scheme val="minor"/>
      </rPr>
      <t>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</si>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</sst>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"/>
    <numFmt numFmtId="169" formatCode="0.000"/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8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0" xfId="0" applyFont="1" applyBorder="1"/>
    <xf numFmtId="2" fontId="0" fillId="2" borderId="1" xfId="0" applyNumberForma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3" fontId="0" fillId="2" borderId="1" xfId="0" applyNumberFormat="1" applyFill="1" applyBorder="1"/>
    <xf numFmtId="2" fontId="1" fillId="0" borderId="0" xfId="0" applyNumberFormat="1" applyFon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Border="1" applyAlignment="1">
      <alignment wrapText="1"/>
    </xf>
    <xf numFmtId="2" fontId="0" fillId="4" borderId="0" xfId="0" applyNumberFormat="1" applyFill="1"/>
    <xf numFmtId="169" fontId="0" fillId="0" borderId="0" xfId="0" applyNumberFormat="1"/>
    <xf numFmtId="169" fontId="1" fillId="0" borderId="0" xfId="0" applyNumberFormat="1" applyFont="1" applyBorder="1" applyAlignment="1">
      <alignment wrapText="1"/>
    </xf>
    <xf numFmtId="2" fontId="0" fillId="3" borderId="0" xfId="0" applyNumberForma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ExcelSpreadsheets/Assignment6_c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ro coupon bond with recovery"/>
      <sheetName val="Pricing"/>
      <sheetName val="Calibration"/>
      <sheetName val="CDS pricing"/>
      <sheetName val="Sheet2"/>
      <sheetName val="Sheet3"/>
    </sheetNames>
    <sheetDataSet>
      <sheetData sheetId="0">
        <row r="5">
          <cell r="B5">
            <v>0.5</v>
          </cell>
        </row>
        <row r="6">
          <cell r="B6">
            <v>0.5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6F0D874-C0D9-4833-9D26-B24E0606141E}">
  <we:reference id="wa104100404" version="2.0.0.0" store="en-US" storeType="OMEX"/>
  <we:alternateReferences>
    <we:reference id="WA104100404" version="2.0.0.0" store="WA104100404" storeType="OMEX"/>
  </we:alternateReferences>
  <we:properties>
    <we:property name="UniqueID" value="&quot;20201071604755258617&quot;"/>
    <we:property name="ISBbHDg9LwELLFhZFwUm" value="&quot;RgsTR2s=&quot;"/>
    <we:property name="ISBbHDg9LwELLFhZKwggDAczaBA0KA==" value="&quot;JRNw&quot;"/>
    <we:property name="ISBbHDg9LwELLFhZFQY0Nwsv" value="&quot;UA==&quot;"/>
    <we:property name="ISBbHDg9LwELLFhZDgY+EwMjWxAp" value="&quot;RgATQ3ZrD1FabxI5fFZ8VkYAE0RoY2o0RnIC&quot;"/>
    <we:property name="ISBbHDg9LwELLFhZKwggDAczaBs/KA==" value="&quot;Uw==&quot;"/>
    <we:property name="ISBbHDg9LwELLFhZKwggDAczaAUoKg==" value="&quot;Um8HRWp/fkQ=&quot;"/>
    <we:property name="ISBbHDg9LwELLFhZKwggDAczaAY5Iw==" value="&quot;Uw==&quot;"/>
    <we:property name="ISBbHDg9LwELLFhZKwggDAczaAc2Nw==" value="&quot;Uw==&quot;"/>
    <we:property name="ISBbHDg9LwELLFhZKwggDAczaAE1Iw==" value="&quot;Um8HRWp+&quot;"/>
    <we:property name="ISBbHDg9LwELLFhZKwggDAczaBYsKA==" value="&quot;Um8HRWp+&quot;"/>
    <we:property name="ISBbHDg9LwELLFhZKwggDAczaBgpIw==" value="&quot;Ug==&quot;"/>
    <we:property name="ISBbHDg9LwELLFhZKwggDAczaAYpNQ==" value="&quot;U3EH&quot;"/>
    <we:property name="ISBbHDg9LwELLFhZKwggDAczaAcpKw==" value="&quot;Ug==&quot;"/>
    <we:property name="ISBbHDg9LwELLFhZKwggDAczaBgoOw==" value="&quot;Um8HQm8=&quot;"/>
    <we:property name="ISBbHDg9LwELLFhZKwggDAczaBg0Jg==" value="&quot;UXE=&quot;"/>
    <we:property name="ISBbHDg9LwELLFhZKwggDAczaAc4OQ==" value="&quot;Uw==&quot;"/>
    <we:property name="ISBbHDg9LwELLFhZKwggDAczaBsuPQ==" value="&quot;UA==&quot;"/>
    <we:property name="ISBbHDg9LwELLFhZKwggDAczaBQ5LA==" value="&quot;Um8HRWs=&quot;"/>
    <we:property name="ISBbHDg9LwELLFhZKwggDAczaAc/PA==" value="&quot;Vw==&quot;"/>
    <we:property name="ISBbHDg9LwELLFhZKwggDAczaBQoPA==" value="&quot;Uw==&quot;"/>
    <we:property name="ISBbHDg9LwELLFhZKwggDAczaAYuLg==" value="&quot;Ug==&quot;"/>
    <we:property name="ISBbHDg9LwELLFhZKwggDAczaBg/Ow==" value="&quot;UA==&quot;"/>
    <we:property name="ISBbHDg9LwELLFhZKwggDAczaAY1LA==" value="&quot;Ug==&quot;"/>
    <we:property name="ISBbHDg9LwELLFhZKwggDAczaBkqOw==" value="&quot;Ug==&quot;"/>
    <we:property name="ISBbHDg9LwELLFhZKwggDAczaBkqPw==" value="&quot;Ug==&quot;"/>
    <we:property name="ISBbHDg9LwELLFhZKwggDAczaBI7Pw==" value="&quot;Um8HRWp/fkQ=&quot;"/>
    <we:property name="ISBbHDg9LwELLFhZKwggDAczaBwqPA==" value="&quot;Um8OTA==&quot;"/>
    <we:property name="ISBbHDg9LwELLFhZKwggDAczaBM/Lg==" value="&quot;Um8HRWp/fkQ=&quot;"/>
    <we:property name="ISBbHDg9LwELLFhZKwggDAczaBwqJg==" value="&quot;Uw==&quot;"/>
    <we:property name="ISBbHDg9LwELLFhZKwggDAczaBwqKw==" value="&quot;UQ==&quot;"/>
  </we:properties>
  <we:bindings>
    <we:binding id="refEdit" type="matrix" appref="{6C20E819-09F2-4773-B1DF-2E13C0D69CFA}"/>
    <we:binding id="Worker" type="matrix" appref="{7924B520-DE9A-41BB-8B1C-B5EE6F3B77F6}"/>
    <we:binding id="Obj" type="matrix" appref="{3E105472-D02B-4D70-98AB-048E31DCE4BF}"/>
    <we:binding id="Var0" type="matrix" appref="{9754088D-2F58-4FAE-AF6B-5A61E06D498C}"/>
    <we:binding id="Var1" type="matrix" appref="{43CB8C93-43FA-4C6A-8311-653D0B7860D5}"/>
    <we:binding id="Var2" type="matrix" appref="{F2EE6144-D817-4DBD-9440-4DE2A15D5714}"/>
    <we:binding id="Var3" type="matrix" appref="{99B548CE-2EF7-4CB0-ABE6-5298E6245BBF}"/>
    <we:binding id="Var4" type="matrix" appref="{1AAB4E26-2CDC-4E1F-8199-5DF1CC4FE5C3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8"/>
  <sheetViews>
    <sheetView zoomScaleNormal="227" zoomScalePageLayoutView="227" workbookViewId="0">
      <selection activeCell="N7" sqref="N7"/>
    </sheetView>
  </sheetViews>
  <sheetFormatPr defaultColWidth="8.85546875" defaultRowHeight="15" x14ac:dyDescent="0.25"/>
  <cols>
    <col min="1" max="1" width="17.42578125" customWidth="1"/>
    <col min="2" max="2" width="8.42578125" customWidth="1"/>
    <col min="3" max="3" width="10.7109375" style="1" customWidth="1"/>
    <col min="4" max="4" width="12.42578125" style="1" customWidth="1"/>
    <col min="5" max="5" width="8.42578125" style="1" customWidth="1"/>
    <col min="6" max="6" width="8.85546875" style="1"/>
    <col min="8" max="8" width="15.28515625" customWidth="1"/>
    <col min="9" max="9" width="11" customWidth="1"/>
    <col min="10" max="10" width="8.85546875" style="1"/>
    <col min="14" max="14" width="15.28515625" customWidth="1"/>
    <col min="15" max="15" width="11" customWidth="1"/>
    <col min="16" max="16" width="8.85546875" style="1"/>
  </cols>
  <sheetData>
    <row r="2" spans="1:36" s="13" customFormat="1" ht="30" x14ac:dyDescent="0.25">
      <c r="B2" s="9"/>
      <c r="C2" s="14"/>
      <c r="D2" s="14"/>
      <c r="E2" s="17" t="s">
        <v>0</v>
      </c>
      <c r="F2" s="14">
        <v>0.05</v>
      </c>
      <c r="J2" s="14"/>
      <c r="P2" s="14"/>
    </row>
    <row r="3" spans="1:36" s="15" customFormat="1" ht="60" x14ac:dyDescent="0.25">
      <c r="C3" s="16"/>
      <c r="D3" s="16"/>
      <c r="E3" s="16"/>
      <c r="F3" s="16"/>
      <c r="H3" s="15" t="s">
        <v>24</v>
      </c>
      <c r="J3" s="16"/>
      <c r="N3" s="15" t="s">
        <v>31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s="13" customFormat="1" ht="60" x14ac:dyDescent="0.25">
      <c r="A4" s="9" t="s">
        <v>2</v>
      </c>
      <c r="B4" s="9" t="s">
        <v>20</v>
      </c>
      <c r="C4" s="9" t="s">
        <v>3</v>
      </c>
      <c r="D4" s="9" t="s">
        <v>21</v>
      </c>
      <c r="E4" s="17" t="s">
        <v>4</v>
      </c>
      <c r="F4" s="14"/>
      <c r="H4" s="9" t="s">
        <v>18</v>
      </c>
      <c r="I4" s="9" t="s">
        <v>10</v>
      </c>
      <c r="J4" s="9" t="s">
        <v>17</v>
      </c>
      <c r="K4" s="9"/>
      <c r="L4" s="9"/>
      <c r="M4" s="9"/>
      <c r="N4" s="9" t="s">
        <v>18</v>
      </c>
      <c r="O4" s="9" t="s">
        <v>10</v>
      </c>
      <c r="P4" s="9" t="s">
        <v>17</v>
      </c>
      <c r="Q4" s="9"/>
      <c r="R4" s="9"/>
      <c r="S4" s="9"/>
      <c r="T4" s="9" t="s">
        <v>18</v>
      </c>
      <c r="U4" s="9" t="s">
        <v>10</v>
      </c>
      <c r="V4" s="9" t="s">
        <v>17</v>
      </c>
      <c r="W4" s="9"/>
      <c r="X4" s="9"/>
      <c r="Y4" s="9"/>
      <c r="Z4" s="9" t="s">
        <v>18</v>
      </c>
      <c r="AA4" s="9" t="s">
        <v>10</v>
      </c>
      <c r="AB4" s="9" t="s">
        <v>17</v>
      </c>
      <c r="AC4" s="9"/>
      <c r="AD4" s="9"/>
      <c r="AE4" s="9"/>
      <c r="AF4" s="9" t="s">
        <v>18</v>
      </c>
      <c r="AG4" s="9" t="s">
        <v>10</v>
      </c>
      <c r="AH4" s="9" t="s">
        <v>17</v>
      </c>
      <c r="AI4" s="9"/>
      <c r="AJ4" s="9"/>
    </row>
    <row r="5" spans="1:36" x14ac:dyDescent="0.25">
      <c r="J5" s="7" t="s">
        <v>41</v>
      </c>
      <c r="K5" s="7"/>
      <c r="L5" s="7"/>
      <c r="M5" s="7"/>
      <c r="P5" s="7" t="s">
        <v>41</v>
      </c>
      <c r="Q5" s="7"/>
      <c r="R5" s="7"/>
      <c r="S5" s="7"/>
      <c r="V5" s="7" t="s">
        <v>41</v>
      </c>
      <c r="W5" s="7"/>
      <c r="X5" s="7"/>
      <c r="Y5" s="7"/>
      <c r="AB5" s="7" t="s">
        <v>41</v>
      </c>
      <c r="AC5" s="7"/>
      <c r="AD5" s="7"/>
      <c r="AE5" s="7"/>
      <c r="AH5" s="7" t="s">
        <v>41</v>
      </c>
      <c r="AI5" s="7"/>
      <c r="AJ5" s="7"/>
    </row>
    <row r="6" spans="1:36" x14ac:dyDescent="0.25">
      <c r="A6">
        <v>0.02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>
        <f>A6</f>
        <v>0.02</v>
      </c>
      <c r="B7">
        <v>6</v>
      </c>
      <c r="C7" s="1">
        <f>C6*(1-A6)</f>
        <v>0.98</v>
      </c>
      <c r="D7" s="1">
        <f>C6*A6</f>
        <v>0.02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>$E7*(T7*$C7+U7*$D7)</f>
        <v>5.7560975609756104</v>
      </c>
      <c r="Z7">
        <v>5</v>
      </c>
      <c r="AA7">
        <v>10</v>
      </c>
      <c r="AB7" s="1">
        <f>$E7*(Z7*$C7+AA7*$D7)</f>
        <v>4.9756097560975618</v>
      </c>
      <c r="AF7">
        <v>10</v>
      </c>
      <c r="AG7">
        <v>20</v>
      </c>
      <c r="AH7" s="1">
        <f>$E7*(AF7*$C7+AG7*$D7)</f>
        <v>9.9512195121951237</v>
      </c>
    </row>
    <row r="8" spans="1:36" x14ac:dyDescent="0.25">
      <c r="A8">
        <f t="shared" ref="A8:A16" si="1">A7</f>
        <v>0.02</v>
      </c>
      <c r="B8">
        <v>12</v>
      </c>
      <c r="C8" s="1">
        <f t="shared" ref="C8:C16" si="2">C7*(1-A7)</f>
        <v>0.96039999999999992</v>
      </c>
      <c r="D8" s="1">
        <f t="shared" ref="D8:D16" si="3">C7*A7</f>
        <v>1.9599999999999999E-2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ref="V8:V12" si="4">$E8*(T8*$C8+U8*$D8)</f>
        <v>5.5033908387864372</v>
      </c>
      <c r="Z8">
        <v>5</v>
      </c>
      <c r="AA8">
        <v>10</v>
      </c>
      <c r="AB8" s="1">
        <f t="shared" ref="AB8:AB14" si="5">$E8*(Z8*$C8+AA8*$D8)</f>
        <v>4.7571683521713259</v>
      </c>
      <c r="AF8">
        <v>10</v>
      </c>
      <c r="AG8">
        <v>20</v>
      </c>
      <c r="AH8" s="1">
        <f t="shared" ref="AH8:AH16" si="6">$E8*(AF8*$C8+AG8*$D8)</f>
        <v>9.5143367043426519</v>
      </c>
    </row>
    <row r="9" spans="1:36" x14ac:dyDescent="0.25">
      <c r="A9">
        <f t="shared" si="1"/>
        <v>0.02</v>
      </c>
      <c r="B9">
        <v>18</v>
      </c>
      <c r="C9" s="1">
        <f t="shared" si="2"/>
        <v>0.94119199999999992</v>
      </c>
      <c r="D9" s="1">
        <f t="shared" si="3"/>
        <v>1.9207999999999999E-2</v>
      </c>
      <c r="E9" s="1">
        <f t="shared" si="0"/>
        <v>0.92859941091974885</v>
      </c>
      <c r="N9">
        <v>2</v>
      </c>
      <c r="O9">
        <v>25</v>
      </c>
      <c r="P9" s="1">
        <f t="shared" ref="P9:P10" si="7">$E9*(N9*$C9+O9*$D9)</f>
        <v>2.193894110648424</v>
      </c>
      <c r="T9">
        <v>5</v>
      </c>
      <c r="U9">
        <v>50</v>
      </c>
      <c r="V9" s="1">
        <f t="shared" si="4"/>
        <v>5.2617785580592269</v>
      </c>
      <c r="Z9">
        <v>5</v>
      </c>
      <c r="AA9">
        <v>10</v>
      </c>
      <c r="AB9" s="1">
        <f t="shared" si="5"/>
        <v>4.5483170586613655</v>
      </c>
      <c r="AF9">
        <v>10</v>
      </c>
      <c r="AG9">
        <v>20</v>
      </c>
      <c r="AH9" s="1">
        <f t="shared" si="6"/>
        <v>9.096634117322731</v>
      </c>
    </row>
    <row r="10" spans="1:36" x14ac:dyDescent="0.25">
      <c r="A10">
        <f t="shared" si="1"/>
        <v>0.02</v>
      </c>
      <c r="B10">
        <v>24</v>
      </c>
      <c r="C10" s="1">
        <f t="shared" si="2"/>
        <v>0.92236815999999988</v>
      </c>
      <c r="D10" s="1">
        <f t="shared" si="3"/>
        <v>1.8823839999999998E-2</v>
      </c>
      <c r="E10" s="1">
        <f t="shared" si="0"/>
        <v>0.90595064479975507</v>
      </c>
      <c r="N10">
        <v>102</v>
      </c>
      <c r="O10">
        <v>25</v>
      </c>
      <c r="P10" s="1">
        <f t="shared" si="7"/>
        <v>85.659579737706068</v>
      </c>
      <c r="T10">
        <v>5</v>
      </c>
      <c r="U10">
        <v>50</v>
      </c>
      <c r="V10" s="1">
        <f t="shared" si="4"/>
        <v>5.0307736457541887</v>
      </c>
      <c r="Z10">
        <v>5</v>
      </c>
      <c r="AA10">
        <v>10</v>
      </c>
      <c r="AB10" s="1">
        <f t="shared" si="5"/>
        <v>4.3486348463298921</v>
      </c>
      <c r="AF10">
        <v>10</v>
      </c>
      <c r="AG10">
        <v>20</v>
      </c>
      <c r="AH10" s="1">
        <f t="shared" si="6"/>
        <v>8.6972696926597841</v>
      </c>
    </row>
    <row r="11" spans="1:36" x14ac:dyDescent="0.25">
      <c r="A11">
        <f t="shared" si="1"/>
        <v>0.02</v>
      </c>
      <c r="B11">
        <v>30</v>
      </c>
      <c r="C11" s="1">
        <f t="shared" si="2"/>
        <v>0.90392079679999982</v>
      </c>
      <c r="D11" s="1">
        <f t="shared" si="3"/>
        <v>1.8447363199999997E-2</v>
      </c>
      <c r="E11" s="1">
        <f t="shared" si="0"/>
        <v>0.88385428760951712</v>
      </c>
      <c r="T11">
        <v>5</v>
      </c>
      <c r="U11">
        <v>50</v>
      </c>
      <c r="V11" s="1">
        <f t="shared" si="4"/>
        <v>4.8099104125259551</v>
      </c>
      <c r="Z11">
        <v>5</v>
      </c>
      <c r="AA11">
        <v>10</v>
      </c>
      <c r="AB11" s="1">
        <f t="shared" si="5"/>
        <v>4.1577191701495542</v>
      </c>
      <c r="AF11">
        <v>10</v>
      </c>
      <c r="AG11">
        <v>20</v>
      </c>
      <c r="AH11" s="1">
        <f t="shared" si="6"/>
        <v>8.3154383402991083</v>
      </c>
    </row>
    <row r="12" spans="1:36" x14ac:dyDescent="0.25">
      <c r="A12">
        <f t="shared" si="1"/>
        <v>0.02</v>
      </c>
      <c r="B12">
        <v>36</v>
      </c>
      <c r="C12" s="1">
        <f t="shared" si="2"/>
        <v>0.8858423808639998</v>
      </c>
      <c r="D12" s="1">
        <f t="shared" si="3"/>
        <v>1.8078415935999997E-2</v>
      </c>
      <c r="E12" s="1">
        <f t="shared" si="0"/>
        <v>0.86229686596050459</v>
      </c>
      <c r="T12">
        <v>105</v>
      </c>
      <c r="U12">
        <v>50</v>
      </c>
      <c r="V12" s="1">
        <f t="shared" si="4"/>
        <v>80.984654489329117</v>
      </c>
      <c r="Z12">
        <v>5</v>
      </c>
      <c r="AA12">
        <v>10</v>
      </c>
      <c r="AB12" s="1">
        <f t="shared" si="5"/>
        <v>3.9751851578015258</v>
      </c>
      <c r="AF12">
        <v>10</v>
      </c>
      <c r="AG12">
        <v>20</v>
      </c>
      <c r="AH12" s="1">
        <f t="shared" si="6"/>
        <v>7.9503703156030516</v>
      </c>
    </row>
    <row r="13" spans="1:36" x14ac:dyDescent="0.25">
      <c r="A13">
        <f t="shared" si="1"/>
        <v>0.02</v>
      </c>
      <c r="B13">
        <v>42</v>
      </c>
      <c r="C13" s="1">
        <f t="shared" si="2"/>
        <v>0.86812553324671982</v>
      </c>
      <c r="D13" s="1">
        <f t="shared" si="3"/>
        <v>1.7716847617279995E-2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5"/>
        <v>3.8006648338004836</v>
      </c>
      <c r="AF13">
        <v>10</v>
      </c>
      <c r="AG13">
        <v>20</v>
      </c>
      <c r="AH13" s="1">
        <f t="shared" si="6"/>
        <v>7.6013296676009672</v>
      </c>
    </row>
    <row r="14" spans="1:36" x14ac:dyDescent="0.25">
      <c r="A14">
        <f t="shared" si="1"/>
        <v>0.02</v>
      </c>
      <c r="B14">
        <v>48</v>
      </c>
      <c r="C14" s="1">
        <f t="shared" si="2"/>
        <v>0.85076302258178538</v>
      </c>
      <c r="D14" s="1">
        <f t="shared" si="3"/>
        <v>1.7362510664934397E-2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5"/>
        <v>73.459889713540548</v>
      </c>
      <c r="AF14">
        <v>10</v>
      </c>
      <c r="AG14">
        <v>20</v>
      </c>
      <c r="AH14" s="1">
        <f t="shared" si="6"/>
        <v>7.2676127553648273</v>
      </c>
    </row>
    <row r="15" spans="1:36" x14ac:dyDescent="0.25">
      <c r="A15">
        <f t="shared" si="1"/>
        <v>0.02</v>
      </c>
      <c r="B15">
        <v>54</v>
      </c>
      <c r="C15" s="1">
        <f t="shared" si="2"/>
        <v>0.83374776213014967</v>
      </c>
      <c r="D15" s="1">
        <f t="shared" si="3"/>
        <v>1.7015260451635709E-2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6"/>
        <v>6.9485468295195432</v>
      </c>
    </row>
    <row r="16" spans="1:36" x14ac:dyDescent="0.25">
      <c r="A16">
        <f t="shared" si="1"/>
        <v>0.02</v>
      </c>
      <c r="B16">
        <v>60</v>
      </c>
      <c r="C16" s="1">
        <f t="shared" si="2"/>
        <v>0.81707280688754669</v>
      </c>
      <c r="D16" s="1">
        <f t="shared" si="3"/>
        <v>1.6674955242602995E-2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6"/>
        <v>70.473085759438959</v>
      </c>
    </row>
    <row r="17" spans="9:34" x14ac:dyDescent="0.25">
      <c r="V17" s="1"/>
      <c r="AB17" s="1"/>
    </row>
    <row r="18" spans="9:34" x14ac:dyDescent="0.25">
      <c r="I18" s="6" t="s">
        <v>1</v>
      </c>
      <c r="J18" s="1">
        <f>SUM(J7:J16)</f>
        <v>101.14503271861986</v>
      </c>
      <c r="O18" s="6" t="s">
        <v>1</v>
      </c>
      <c r="P18" s="1">
        <f>SUM(P7:P16)</f>
        <v>92.548107994695954</v>
      </c>
      <c r="U18" s="6" t="s">
        <v>1</v>
      </c>
      <c r="V18" s="1">
        <f>SUM(V7:V16)</f>
        <v>107.34660550543053</v>
      </c>
      <c r="AA18" s="6" t="s">
        <v>1</v>
      </c>
      <c r="AB18" s="1">
        <f>SUM(AB7:AB16)</f>
        <v>104.02318888855226</v>
      </c>
      <c r="AG18" s="6" t="s">
        <v>1</v>
      </c>
      <c r="AH18" s="1">
        <f>SUM(AH7:AH16)</f>
        <v>145.81584369434674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D1048575"/>
  <sheetViews>
    <sheetView zoomScaleNormal="217" zoomScalePageLayoutView="217" workbookViewId="0">
      <selection activeCell="A6" sqref="A6"/>
    </sheetView>
  </sheetViews>
  <sheetFormatPr defaultColWidth="8.85546875" defaultRowHeight="15" x14ac:dyDescent="0.25"/>
  <cols>
    <col min="1" max="1" width="12" style="1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8.85546875" style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7"/>
      <c r="E2" s="12" t="s">
        <v>0</v>
      </c>
      <c r="F2" s="1">
        <v>0.05</v>
      </c>
    </row>
    <row r="3" spans="1:36" s="15" customFormat="1" ht="60" x14ac:dyDescent="0.25">
      <c r="A3" s="16"/>
      <c r="C3" s="16"/>
      <c r="D3" s="16"/>
      <c r="E3" s="16"/>
      <c r="F3" s="16"/>
      <c r="H3" s="15" t="s">
        <v>24</v>
      </c>
      <c r="J3" s="16"/>
      <c r="N3" s="15" t="s">
        <v>25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x14ac:dyDescent="0.25">
      <c r="A4" s="12" t="s">
        <v>2</v>
      </c>
      <c r="B4" s="7" t="s">
        <v>20</v>
      </c>
      <c r="C4" s="7" t="s">
        <v>3</v>
      </c>
      <c r="D4" s="7" t="s">
        <v>21</v>
      </c>
      <c r="E4" s="12" t="s">
        <v>4</v>
      </c>
      <c r="H4" s="7" t="s">
        <v>18</v>
      </c>
      <c r="I4" s="7" t="s">
        <v>10</v>
      </c>
      <c r="J4" s="7" t="s">
        <v>17</v>
      </c>
      <c r="K4" s="7"/>
      <c r="L4" s="7"/>
      <c r="M4" s="7"/>
      <c r="N4" s="7" t="s">
        <v>18</v>
      </c>
      <c r="O4" s="7" t="s">
        <v>10</v>
      </c>
      <c r="P4" s="7" t="s">
        <v>17</v>
      </c>
      <c r="Q4" s="7"/>
      <c r="R4" s="7"/>
      <c r="S4" s="7"/>
      <c r="T4" s="7" t="s">
        <v>18</v>
      </c>
      <c r="U4" s="7" t="s">
        <v>10</v>
      </c>
      <c r="V4" s="7" t="s">
        <v>17</v>
      </c>
      <c r="W4" s="7"/>
      <c r="X4" s="7"/>
      <c r="Y4" s="7"/>
      <c r="Z4" s="7" t="s">
        <v>18</v>
      </c>
      <c r="AA4" s="7" t="s">
        <v>10</v>
      </c>
      <c r="AB4" s="7" t="s">
        <v>17</v>
      </c>
      <c r="AC4" s="7"/>
      <c r="AD4" s="7"/>
      <c r="AE4" s="7"/>
      <c r="AF4" s="7" t="s">
        <v>18</v>
      </c>
      <c r="AG4" s="7" t="s">
        <v>10</v>
      </c>
      <c r="AH4" s="7" t="s">
        <v>17</v>
      </c>
      <c r="AI4" s="7"/>
      <c r="AJ4" s="7"/>
    </row>
    <row r="5" spans="1:36" x14ac:dyDescent="0.25">
      <c r="J5" s="7" t="s">
        <v>38</v>
      </c>
      <c r="K5" s="7"/>
      <c r="L5" s="7"/>
      <c r="M5" s="7"/>
      <c r="P5" s="7" t="s">
        <v>39</v>
      </c>
      <c r="Q5" s="7"/>
      <c r="R5" s="7"/>
      <c r="S5" s="7"/>
      <c r="V5" s="7" t="s">
        <v>19</v>
      </c>
      <c r="W5" s="7"/>
      <c r="X5" s="7"/>
      <c r="Y5" s="7"/>
      <c r="AB5" s="7" t="s">
        <v>40</v>
      </c>
      <c r="AC5" s="7"/>
      <c r="AD5" s="7"/>
      <c r="AE5" s="7"/>
      <c r="AH5" s="7" t="s">
        <v>41</v>
      </c>
      <c r="AI5" s="7"/>
      <c r="AJ5" s="7"/>
    </row>
    <row r="6" spans="1:36" x14ac:dyDescent="0.25">
      <c r="A6" s="21">
        <v>2.014057304019802E-2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1">
        <f>A6</f>
        <v>2.014057304019802E-2</v>
      </c>
      <c r="B7">
        <v>6</v>
      </c>
      <c r="C7" s="1">
        <f>C6*(1-A6)</f>
        <v>0.97985942695980199</v>
      </c>
      <c r="D7" s="1">
        <f>C6*A6</f>
        <v>2.014057304019802E-2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4.976295478244869</v>
      </c>
      <c r="N7">
        <v>2</v>
      </c>
      <c r="O7">
        <v>25</v>
      </c>
      <c r="P7" s="1">
        <f>$E7*(N7*$C7+O7*$D7)</f>
        <v>2.4031543218776146</v>
      </c>
      <c r="T7">
        <v>5</v>
      </c>
      <c r="U7">
        <v>50</v>
      </c>
      <c r="V7" s="1">
        <f>$E7*(T7*$C7+U7*$D7)</f>
        <v>5.7622690603013771</v>
      </c>
      <c r="Z7">
        <v>5</v>
      </c>
      <c r="AA7">
        <v>10</v>
      </c>
      <c r="AB7" s="1">
        <f>$E7*(Z7*$C7+AA7*$D7)</f>
        <v>4.976295478244869</v>
      </c>
      <c r="AF7">
        <v>10</v>
      </c>
      <c r="AG7">
        <v>20</v>
      </c>
      <c r="AH7" s="1">
        <f>$E7*(AF7*$C7+AG7*$D7)</f>
        <v>9.9525909564897379</v>
      </c>
    </row>
    <row r="8" spans="1:36" x14ac:dyDescent="0.25">
      <c r="A8" s="21">
        <v>1.9443103338662979E-2</v>
      </c>
      <c r="B8">
        <v>12</v>
      </c>
      <c r="C8" s="1">
        <f t="shared" ref="C8:C16" si="1">C7*(1-A7)</f>
        <v>0.96012449660199151</v>
      </c>
      <c r="D8" s="1">
        <f t="shared" ref="D8:D16" si="2">C7*A7</f>
        <v>1.973493035781047E-2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96.14317329854822</v>
      </c>
      <c r="N8">
        <v>2</v>
      </c>
      <c r="O8">
        <v>25</v>
      </c>
      <c r="P8" s="1">
        <f>$E8*(N8*$C8+O8*$D8)</f>
        <v>2.2973204065668007</v>
      </c>
      <c r="T8">
        <v>5</v>
      </c>
      <c r="U8">
        <v>50</v>
      </c>
      <c r="V8" s="1">
        <f t="shared" ref="V8:V12" si="3">$E8*(T8*$C8+U8*$D8)</f>
        <v>5.5085011311366872</v>
      </c>
      <c r="Z8">
        <v>5</v>
      </c>
      <c r="AA8">
        <v>10</v>
      </c>
      <c r="AB8" s="1">
        <f t="shared" ref="AB8:AB14" si="4">$E8*(Z8*$C8+AA8*$D8)</f>
        <v>4.7571414982396796</v>
      </c>
      <c r="AF8">
        <v>10</v>
      </c>
      <c r="AG8">
        <v>20</v>
      </c>
      <c r="AH8" s="1">
        <f t="shared" ref="AH8:AH16" si="5">$E8*(AF8*$C8+AG8*$D8)</f>
        <v>9.5142829964793592</v>
      </c>
    </row>
    <row r="9" spans="1:36" x14ac:dyDescent="0.25">
      <c r="A9" s="1">
        <f>A8</f>
        <v>1.9443103338662979E-2</v>
      </c>
      <c r="B9">
        <v>18</v>
      </c>
      <c r="C9" s="1">
        <f t="shared" si="1"/>
        <v>0.94145669679657729</v>
      </c>
      <c r="D9" s="1">
        <f t="shared" si="2"/>
        <v>1.8667799805414293E-2</v>
      </c>
      <c r="E9" s="1">
        <f t="shared" si="0"/>
        <v>0.92859941091974885</v>
      </c>
      <c r="N9">
        <v>2</v>
      </c>
      <c r="O9">
        <v>25</v>
      </c>
      <c r="P9" s="1">
        <f t="shared" ref="P9:P10" si="6">$E9*(N9*$C9+O9*$D9)</f>
        <v>2.1818449656653964</v>
      </c>
      <c r="T9">
        <v>5</v>
      </c>
      <c r="U9">
        <v>50</v>
      </c>
      <c r="V9" s="1">
        <f t="shared" si="3"/>
        <v>5.2379260653825463</v>
      </c>
      <c r="Z9">
        <v>5</v>
      </c>
      <c r="AA9">
        <v>10</v>
      </c>
      <c r="AB9" s="1">
        <f t="shared" si="4"/>
        <v>4.5445297492835257</v>
      </c>
      <c r="AF9">
        <v>10</v>
      </c>
      <c r="AG9">
        <v>20</v>
      </c>
      <c r="AH9" s="1">
        <f t="shared" si="5"/>
        <v>9.0890594985670514</v>
      </c>
    </row>
    <row r="10" spans="1:36" x14ac:dyDescent="0.25">
      <c r="A10" s="21">
        <v>1.9976518871469267E-2</v>
      </c>
      <c r="B10">
        <v>24</v>
      </c>
      <c r="C10" s="1">
        <f t="shared" si="1"/>
        <v>0.92315185695188517</v>
      </c>
      <c r="D10" s="1">
        <f t="shared" si="2"/>
        <v>1.8304839844692153E-2</v>
      </c>
      <c r="E10" s="1">
        <f t="shared" si="0"/>
        <v>0.90595064479975507</v>
      </c>
      <c r="N10">
        <v>102</v>
      </c>
      <c r="O10">
        <v>25</v>
      </c>
      <c r="P10" s="1">
        <f t="shared" si="6"/>
        <v>85.720244081978834</v>
      </c>
      <c r="T10">
        <v>5</v>
      </c>
      <c r="U10">
        <v>50</v>
      </c>
      <c r="V10" s="1">
        <f t="shared" si="3"/>
        <v>5.0108141732810125</v>
      </c>
      <c r="Z10">
        <v>5</v>
      </c>
      <c r="AA10">
        <v>10</v>
      </c>
      <c r="AB10" s="1">
        <f t="shared" si="4"/>
        <v>4.3474829148708087</v>
      </c>
      <c r="AF10">
        <v>10</v>
      </c>
      <c r="AG10">
        <v>20</v>
      </c>
      <c r="AH10" s="1">
        <f t="shared" si="5"/>
        <v>8.6949658297416175</v>
      </c>
    </row>
    <row r="11" spans="1:36" x14ac:dyDescent="0.25">
      <c r="A11" s="1">
        <f>A10</f>
        <v>1.9976518871469267E-2</v>
      </c>
      <c r="B11">
        <v>30</v>
      </c>
      <c r="C11" s="1">
        <f t="shared" si="1"/>
        <v>0.90471049646025403</v>
      </c>
      <c r="D11" s="1">
        <f t="shared" si="2"/>
        <v>1.8441360491631233E-2</v>
      </c>
      <c r="E11" s="1">
        <f t="shared" si="0"/>
        <v>0.88385428760951712</v>
      </c>
      <c r="T11">
        <v>5</v>
      </c>
      <c r="U11">
        <v>50</v>
      </c>
      <c r="V11" s="1">
        <f t="shared" si="3"/>
        <v>4.8131350337027037</v>
      </c>
      <c r="Z11">
        <v>5</v>
      </c>
      <c r="AA11">
        <v>10</v>
      </c>
      <c r="AB11" s="1">
        <f t="shared" si="4"/>
        <v>4.1611560121074627</v>
      </c>
      <c r="AF11">
        <v>10</v>
      </c>
      <c r="AG11">
        <v>20</v>
      </c>
      <c r="AH11" s="1">
        <f t="shared" si="5"/>
        <v>8.3223120242149253</v>
      </c>
    </row>
    <row r="12" spans="1:36" x14ac:dyDescent="0.25">
      <c r="A12" s="21">
        <v>2.0123673396117106E-2</v>
      </c>
      <c r="B12">
        <v>36</v>
      </c>
      <c r="C12" s="1">
        <f t="shared" si="1"/>
        <v>0.88663753015449942</v>
      </c>
      <c r="D12" s="1">
        <f t="shared" si="2"/>
        <v>1.8072966305754595E-2</v>
      </c>
      <c r="E12" s="1">
        <f t="shared" si="0"/>
        <v>0.86229686596050459</v>
      </c>
      <c r="T12">
        <v>105</v>
      </c>
      <c r="U12">
        <v>50</v>
      </c>
      <c r="V12" s="1">
        <f t="shared" si="3"/>
        <v>81.056413277197748</v>
      </c>
      <c r="Z12">
        <v>5</v>
      </c>
      <c r="AA12">
        <v>10</v>
      </c>
      <c r="AB12" s="1">
        <f t="shared" si="4"/>
        <v>3.9785664395165563</v>
      </c>
      <c r="AF12">
        <v>10</v>
      </c>
      <c r="AG12">
        <v>20</v>
      </c>
      <c r="AH12" s="1">
        <f t="shared" si="5"/>
        <v>7.9571328790331126</v>
      </c>
    </row>
    <row r="13" spans="1:36" x14ac:dyDescent="0.25">
      <c r="A13" s="1">
        <f>A12</f>
        <v>2.0123673396117106E-2</v>
      </c>
      <c r="B13">
        <v>42</v>
      </c>
      <c r="C13" s="1">
        <f t="shared" si="1"/>
        <v>0.86879512607693032</v>
      </c>
      <c r="D13" s="1">
        <f t="shared" si="2"/>
        <v>1.7842404077569079E-2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4"/>
        <v>3.8045376224998826</v>
      </c>
      <c r="AF13">
        <v>10</v>
      </c>
      <c r="AG13">
        <v>20</v>
      </c>
      <c r="AH13" s="1">
        <f t="shared" si="5"/>
        <v>7.6090752449997652</v>
      </c>
    </row>
    <row r="14" spans="1:36" x14ac:dyDescent="0.25">
      <c r="A14" s="21">
        <v>1.9475644903174275E-2</v>
      </c>
      <c r="B14">
        <v>48</v>
      </c>
      <c r="C14" s="1">
        <f t="shared" si="1"/>
        <v>0.85131177671161984</v>
      </c>
      <c r="D14" s="1">
        <f t="shared" si="2"/>
        <v>1.7483349365310531E-2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4"/>
        <v>73.508172240409621</v>
      </c>
      <c r="AF14">
        <v>10</v>
      </c>
      <c r="AG14">
        <v>20</v>
      </c>
      <c r="AH14" s="1">
        <f t="shared" si="5"/>
        <v>7.2741001950467439</v>
      </c>
    </row>
    <row r="15" spans="1:36" x14ac:dyDescent="0.25">
      <c r="A15" s="1">
        <f>A14</f>
        <v>1.9475644903174275E-2</v>
      </c>
      <c r="B15">
        <v>54</v>
      </c>
      <c r="C15" s="1">
        <f t="shared" si="1"/>
        <v>0.83473193084649389</v>
      </c>
      <c r="D15" s="1">
        <f t="shared" si="2"/>
        <v>1.6579845865125897E-2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5"/>
        <v>6.9494543713880432</v>
      </c>
    </row>
    <row r="16" spans="1:36" x14ac:dyDescent="0.25">
      <c r="A16" s="21">
        <v>1.7479162988672775E-2</v>
      </c>
      <c r="B16">
        <v>60</v>
      </c>
      <c r="C16" s="1">
        <f t="shared" si="1"/>
        <v>0.8184749881719865</v>
      </c>
      <c r="D16" s="1">
        <f t="shared" si="2"/>
        <v>1.6256942674507339E-2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5"/>
        <v>70.587046740053751</v>
      </c>
    </row>
    <row r="17" spans="9:34" x14ac:dyDescent="0.25">
      <c r="V17" s="1"/>
      <c r="AB17" s="1"/>
    </row>
    <row r="18" spans="9:34" x14ac:dyDescent="0.25">
      <c r="I18" s="6" t="s">
        <v>27</v>
      </c>
      <c r="J18" s="1">
        <f>SUM(J7:J16)</f>
        <v>101.11946877679308</v>
      </c>
      <c r="O18" s="6" t="s">
        <v>27</v>
      </c>
      <c r="P18" s="1">
        <f>SUM(P7:P16)</f>
        <v>92.602563776088644</v>
      </c>
      <c r="U18" s="6" t="s">
        <v>27</v>
      </c>
      <c r="V18" s="1">
        <f>SUM(V7:V16)</f>
        <v>107.38905874100207</v>
      </c>
      <c r="AA18" s="6" t="s">
        <v>27</v>
      </c>
      <c r="AB18" s="1">
        <f>SUM(AB7:AB16)</f>
        <v>104.0778819551724</v>
      </c>
      <c r="AG18" s="6" t="s">
        <v>27</v>
      </c>
      <c r="AH18" s="1">
        <f>SUM(AH7:AH16)</f>
        <v>145.9500207360141</v>
      </c>
    </row>
    <row r="19" spans="9:34" x14ac:dyDescent="0.25">
      <c r="I19" s="6" t="s">
        <v>28</v>
      </c>
      <c r="J19" s="1">
        <f ca="1">Pricing!J18+0.1*RAND()</f>
        <v>101.20824667218032</v>
      </c>
      <c r="O19" s="6" t="s">
        <v>28</v>
      </c>
      <c r="P19" s="1">
        <f ca="1">Pricing!P18+0.1*RAND()</f>
        <v>92.645716774870181</v>
      </c>
      <c r="U19" s="6" t="s">
        <v>28</v>
      </c>
      <c r="V19" s="1">
        <f ca="1">Pricing!V18+0.1*RAND()</f>
        <v>107.42854152605865</v>
      </c>
      <c r="AA19" s="6" t="s">
        <v>28</v>
      </c>
      <c r="AB19" s="1">
        <f ca="1">Pricing!AB18+0.1*RAND()</f>
        <v>104.04015890217768</v>
      </c>
      <c r="AG19" s="6" t="s">
        <v>28</v>
      </c>
      <c r="AH19" s="1">
        <f ca="1">Pricing!AH18+0.1*RAND()</f>
        <v>145.86326300316964</v>
      </c>
    </row>
    <row r="20" spans="9:34" x14ac:dyDescent="0.25">
      <c r="I20" s="6" t="s">
        <v>5</v>
      </c>
      <c r="J20" s="1">
        <f ca="1">(J18-J19)^2</f>
        <v>7.8815147093874559E-3</v>
      </c>
      <c r="O20" s="6" t="s">
        <v>5</v>
      </c>
      <c r="P20" s="1">
        <f ca="1">(P18-P19)^2</f>
        <v>1.8621813038393051E-3</v>
      </c>
      <c r="U20" s="6" t="s">
        <v>5</v>
      </c>
      <c r="V20" s="1">
        <f ca="1">(V18-V19)^2</f>
        <v>1.5588903158239027E-3</v>
      </c>
      <c r="AA20" s="6" t="s">
        <v>5</v>
      </c>
      <c r="AB20" s="1">
        <f ca="1">(AB18-AB19)^2</f>
        <v>1.4230287272425464E-3</v>
      </c>
      <c r="AG20" s="6" t="s">
        <v>5</v>
      </c>
      <c r="AH20" s="1">
        <f ca="1">(AH18-AH19)^2</f>
        <v>7.5269042083108825E-3</v>
      </c>
    </row>
    <row r="21" spans="9:34" x14ac:dyDescent="0.25">
      <c r="I21" s="6" t="s">
        <v>29</v>
      </c>
      <c r="J21" s="18">
        <f ca="1">J20+P20+V20+AB20+AH20</f>
        <v>2.0252519264604092E-2</v>
      </c>
    </row>
    <row r="1048550" spans="16384:16384" x14ac:dyDescent="0.25">
      <c r="XFD1048550">
        <f>solver_pre</f>
        <v>9.9999999999999995E-7</v>
      </c>
    </row>
    <row r="1048551" spans="16384:16384" x14ac:dyDescent="0.25">
      <c r="XFD1048551">
        <f>solver_scl</f>
        <v>1</v>
      </c>
    </row>
    <row r="1048552" spans="16384:16384" x14ac:dyDescent="0.25">
      <c r="XFD1048552">
        <f>solver_rlx</f>
        <v>2</v>
      </c>
    </row>
    <row r="1048553" spans="16384:16384" x14ac:dyDescent="0.25">
      <c r="XFD1048553">
        <f>solver_tol</f>
        <v>0.01</v>
      </c>
    </row>
    <row r="1048554" spans="16384:16384" x14ac:dyDescent="0.25">
      <c r="XFD1048554">
        <f>solver_cvg</f>
        <v>1E-4</v>
      </c>
    </row>
    <row r="1048555" spans="16384:16384" x14ac:dyDescent="0.25">
      <c r="XFD1048555">
        <f>solver_msl</f>
        <v>2</v>
      </c>
    </row>
    <row r="1048556" spans="16384:16384" x14ac:dyDescent="0.25">
      <c r="XFD1048556">
        <f>solver_ssz</f>
        <v>100</v>
      </c>
    </row>
    <row r="1048557" spans="16384:16384" x14ac:dyDescent="0.25">
      <c r="XFD1048557">
        <f>solver_rsd</f>
        <v>0</v>
      </c>
    </row>
    <row r="1048558" spans="16384:16384" x14ac:dyDescent="0.25">
      <c r="XFD1048558">
        <f>solver_mrt</f>
        <v>7.4999999999999997E-2</v>
      </c>
    </row>
    <row r="1048559" spans="16384:16384" x14ac:dyDescent="0.25">
      <c r="XFD1048559">
        <f>solver_mni</f>
        <v>30</v>
      </c>
    </row>
    <row r="1048560" spans="16384:16384" x14ac:dyDescent="0.25">
      <c r="XFD1048560">
        <f>solver_rbv</f>
        <v>1</v>
      </c>
    </row>
    <row r="1048561" spans="16384:16384" x14ac:dyDescent="0.25">
      <c r="XFD1048561">
        <f>solver_neg</f>
        <v>1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honeticPr fontId="2" type="noConversion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C20E819-09F2-4773-B1DF-2E13C0D69CFA}">
          <xm:f>Calibration!1:1048576</xm:f>
        </x15:webExtension>
        <x15:webExtension appRef="{7924B520-DE9A-41BB-8B1C-B5EE6F3B77F6}">
          <xm:f>Calibration!XFD1048550:XFD1048575</xm:f>
        </x15:webExtension>
        <x15:webExtension appRef="{3E105472-D02B-4D70-98AB-048E31DCE4BF}">
          <xm:f>Calibration!$J$21</xm:f>
        </x15:webExtension>
        <x15:webExtension appRef="{9754088D-2F58-4FAE-AF6B-5A61E06D498C}">
          <xm:f>Calibration!$A$6</xm:f>
        </x15:webExtension>
        <x15:webExtension appRef="{43CB8C93-43FA-4C6A-8311-653D0B7860D5}">
          <xm:f>Calibration!$A$8</xm:f>
        </x15:webExtension>
        <x15:webExtension appRef="{F2EE6144-D817-4DBD-9440-4DE2A15D5714}">
          <xm:f>Calibration!$A$10</xm:f>
        </x15:webExtension>
        <x15:webExtension appRef="{99B548CE-2EF7-4CB0-ABE6-5298E6245BBF}">
          <xm:f>Calibration!$A$12</xm:f>
        </x15:webExtension>
        <x15:webExtension appRef="{1AAB4E26-2CDC-4E1F-8199-5DF1CC4FE5C3}">
          <xm:f>Calibration!$A$14</xm:f>
        </x15:webExtension>
      </x15:webExtensions>
    </ex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tabSelected="1" zoomScale="98" zoomScaleNormal="98" zoomScalePageLayoutView="210" workbookViewId="0">
      <selection activeCell="B1" sqref="B1"/>
    </sheetView>
  </sheetViews>
  <sheetFormatPr defaultColWidth="8.85546875" defaultRowHeight="15" x14ac:dyDescent="0.25"/>
  <cols>
    <col min="1" max="1" width="12.28515625" customWidth="1"/>
    <col min="2" max="2" width="11.85546875" style="1" customWidth="1"/>
    <col min="3" max="3" width="9.42578125" style="19" customWidth="1"/>
    <col min="4" max="5" width="10.42578125" customWidth="1"/>
    <col min="7" max="7" width="8.85546875" style="4"/>
    <col min="8" max="8" width="11.42578125" customWidth="1"/>
    <col min="10" max="10" width="9.7109375" customWidth="1"/>
    <col min="11" max="11" width="10.28515625" customWidth="1"/>
    <col min="12" max="12" width="10" customWidth="1"/>
  </cols>
  <sheetData>
    <row r="1" spans="1:12" x14ac:dyDescent="0.25">
      <c r="A1" s="7" t="s">
        <v>8</v>
      </c>
      <c r="B1" s="8">
        <v>301.5075406054367</v>
      </c>
      <c r="C1"/>
    </row>
    <row r="2" spans="1:12" x14ac:dyDescent="0.25">
      <c r="A2" s="7" t="s">
        <v>9</v>
      </c>
      <c r="B2" s="11">
        <v>10000000</v>
      </c>
      <c r="C2"/>
    </row>
    <row r="3" spans="1:12" ht="30" customHeight="1" x14ac:dyDescent="0.25">
      <c r="A3" s="7" t="s">
        <v>10</v>
      </c>
      <c r="B3" s="8">
        <v>0.25</v>
      </c>
      <c r="C3"/>
    </row>
    <row r="4" spans="1:12" ht="30" customHeight="1" x14ac:dyDescent="0.25">
      <c r="A4" s="7" t="s">
        <v>30</v>
      </c>
      <c r="B4" s="8">
        <v>0.05</v>
      </c>
      <c r="C4"/>
    </row>
    <row r="5" spans="1:12" s="2" customFormat="1" ht="81" customHeight="1" x14ac:dyDescent="0.25">
      <c r="A5" s="9" t="s">
        <v>6</v>
      </c>
      <c r="B5" s="9" t="s">
        <v>7</v>
      </c>
      <c r="C5" s="20" t="s">
        <v>2</v>
      </c>
      <c r="D5" s="9" t="s">
        <v>12</v>
      </c>
      <c r="E5" s="9" t="s">
        <v>11</v>
      </c>
      <c r="F5" s="9" t="s">
        <v>32</v>
      </c>
      <c r="G5" s="9" t="s">
        <v>33</v>
      </c>
      <c r="H5" s="9" t="s">
        <v>13</v>
      </c>
      <c r="I5" s="9" t="s">
        <v>34</v>
      </c>
      <c r="J5" s="9" t="s">
        <v>35</v>
      </c>
      <c r="K5" s="9" t="s">
        <v>36</v>
      </c>
      <c r="L5" s="9" t="s">
        <v>37</v>
      </c>
    </row>
    <row r="6" spans="1:12" x14ac:dyDescent="0.25">
      <c r="A6">
        <v>0</v>
      </c>
      <c r="B6" s="1">
        <v>1</v>
      </c>
      <c r="C6" s="19">
        <v>0.01</v>
      </c>
      <c r="D6" s="3">
        <v>100</v>
      </c>
      <c r="E6" s="3"/>
      <c r="F6" s="1"/>
      <c r="H6" s="3"/>
    </row>
    <row r="7" spans="1:12" x14ac:dyDescent="0.25">
      <c r="A7">
        <v>3</v>
      </c>
      <c r="B7" s="1">
        <f t="shared" ref="B7:B15" si="0">1/(1+$B$4/4)^(A7/3)</f>
        <v>0.98765432098765438</v>
      </c>
      <c r="C7" s="19">
        <v>0.01</v>
      </c>
      <c r="D7" s="3">
        <f t="shared" ref="D7:D15" si="1">D6*(1-C6)</f>
        <v>99</v>
      </c>
      <c r="E7" s="3">
        <f t="shared" ref="E7:E26" si="2">$B$1/4</f>
        <v>75.376885151359176</v>
      </c>
      <c r="F7" s="1">
        <f t="shared" ref="F7:F15" si="3">E7*D7/100</f>
        <v>74.623116299845591</v>
      </c>
      <c r="G7" s="4">
        <f t="shared" ref="G7:G15" si="4">F7*B7*N*0.0001</f>
        <v>73701.843259106769</v>
      </c>
      <c r="H7" s="3">
        <f t="shared" ref="H7:H15" si="5">D6*C6</f>
        <v>1</v>
      </c>
      <c r="I7" s="1">
        <f t="shared" ref="I7:I15" si="6">E7/2*H7/100</f>
        <v>0.37688442575679587</v>
      </c>
      <c r="J7" s="5">
        <f t="shared" ref="J7:J15" si="7">I7*B7*N*0.0001</f>
        <v>372.23153161165033</v>
      </c>
      <c r="K7" s="22">
        <f t="shared" ref="K7:K15" si="8">(1-$B$3)*H7/100</f>
        <v>7.4999999999999997E-3</v>
      </c>
      <c r="L7" s="5">
        <f t="shared" ref="L7:L15" si="9">K7*B7*N</f>
        <v>74074.074074074073</v>
      </c>
    </row>
    <row r="8" spans="1:12" x14ac:dyDescent="0.25">
      <c r="A8">
        <v>6</v>
      </c>
      <c r="B8" s="1">
        <f t="shared" si="0"/>
        <v>0.97546105776558456</v>
      </c>
      <c r="C8" s="19">
        <v>0.01</v>
      </c>
      <c r="D8" s="3">
        <f t="shared" si="1"/>
        <v>98.01</v>
      </c>
      <c r="E8" s="3">
        <f t="shared" si="2"/>
        <v>75.376885151359176</v>
      </c>
      <c r="F8" s="1">
        <f t="shared" si="3"/>
        <v>73.876885136847136</v>
      </c>
      <c r="G8" s="4">
        <f t="shared" si="4"/>
        <v>72064.02452001549</v>
      </c>
      <c r="H8" s="3">
        <f t="shared" si="5"/>
        <v>0.99</v>
      </c>
      <c r="I8" s="1">
        <f t="shared" si="6"/>
        <v>0.37311558149922791</v>
      </c>
      <c r="J8" s="5">
        <f t="shared" si="7"/>
        <v>363.95971979805807</v>
      </c>
      <c r="K8" s="22">
        <f t="shared" si="8"/>
        <v>7.4249999999999993E-3</v>
      </c>
      <c r="L8" s="5">
        <f t="shared" si="9"/>
        <v>72427.983539094654</v>
      </c>
    </row>
    <row r="9" spans="1:12" x14ac:dyDescent="0.25">
      <c r="A9">
        <v>9</v>
      </c>
      <c r="B9" s="1">
        <f t="shared" si="0"/>
        <v>0.96341832865736754</v>
      </c>
      <c r="C9" s="19">
        <v>0.01</v>
      </c>
      <c r="D9" s="3">
        <f t="shared" si="1"/>
        <v>97.029899999999998</v>
      </c>
      <c r="E9" s="3">
        <f t="shared" si="2"/>
        <v>75.376885151359176</v>
      </c>
      <c r="F9" s="1">
        <f t="shared" si="3"/>
        <v>73.13811628547866</v>
      </c>
      <c r="G9" s="4">
        <f t="shared" si="4"/>
        <v>70462.601752904055</v>
      </c>
      <c r="H9" s="3">
        <f t="shared" si="5"/>
        <v>0.98010000000000008</v>
      </c>
      <c r="I9" s="1">
        <f t="shared" si="6"/>
        <v>0.36938442568423568</v>
      </c>
      <c r="J9" s="5">
        <f t="shared" si="7"/>
        <v>355.8717260247679</v>
      </c>
      <c r="K9" s="22">
        <f t="shared" si="8"/>
        <v>7.3507500000000005E-3</v>
      </c>
      <c r="L9" s="5">
        <f t="shared" si="9"/>
        <v>70818.472793781446</v>
      </c>
    </row>
    <row r="10" spans="1:12" x14ac:dyDescent="0.25">
      <c r="A10">
        <v>12</v>
      </c>
      <c r="B10" s="1">
        <f t="shared" si="0"/>
        <v>0.9515242752171531</v>
      </c>
      <c r="C10" s="19">
        <v>0.01</v>
      </c>
      <c r="D10" s="3">
        <f t="shared" si="1"/>
        <v>96.059601000000001</v>
      </c>
      <c r="E10" s="3">
        <f t="shared" si="2"/>
        <v>75.376885151359176</v>
      </c>
      <c r="F10" s="1">
        <f t="shared" si="3"/>
        <v>72.406735122623871</v>
      </c>
      <c r="G10" s="4">
        <f t="shared" si="4"/>
        <v>68896.766158395068</v>
      </c>
      <c r="H10" s="3">
        <f t="shared" si="5"/>
        <v>0.97029900000000002</v>
      </c>
      <c r="I10" s="1">
        <f t="shared" si="6"/>
        <v>0.3656905814273933</v>
      </c>
      <c r="J10" s="5">
        <f t="shared" si="7"/>
        <v>347.96346544643978</v>
      </c>
      <c r="K10" s="22">
        <f t="shared" si="8"/>
        <v>7.2772425000000003E-3</v>
      </c>
      <c r="L10" s="5">
        <f t="shared" si="9"/>
        <v>69244.728953919635</v>
      </c>
    </row>
    <row r="11" spans="1:12" x14ac:dyDescent="0.25">
      <c r="A11">
        <v>15</v>
      </c>
      <c r="B11" s="1">
        <f t="shared" si="0"/>
        <v>0.93977706194286736</v>
      </c>
      <c r="C11" s="19">
        <v>0.01</v>
      </c>
      <c r="D11" s="3">
        <f t="shared" si="1"/>
        <v>95.099004989999997</v>
      </c>
      <c r="E11" s="3">
        <f t="shared" si="2"/>
        <v>75.376885151359176</v>
      </c>
      <c r="F11" s="1">
        <f t="shared" si="3"/>
        <v>71.682667771397632</v>
      </c>
      <c r="G11" s="4">
        <f t="shared" si="4"/>
        <v>67365.726910430749</v>
      </c>
      <c r="H11" s="3">
        <f t="shared" si="5"/>
        <v>0.96059601000000006</v>
      </c>
      <c r="I11" s="1">
        <f t="shared" si="6"/>
        <v>0.36203367561311933</v>
      </c>
      <c r="J11" s="5">
        <f t="shared" si="7"/>
        <v>340.2309439920744</v>
      </c>
      <c r="K11" s="22">
        <f t="shared" si="8"/>
        <v>7.2044700750000003E-3</v>
      </c>
      <c r="L11" s="5">
        <f t="shared" si="9"/>
        <v>67705.957199388096</v>
      </c>
    </row>
    <row r="12" spans="1:12" x14ac:dyDescent="0.25">
      <c r="A12">
        <v>18</v>
      </c>
      <c r="B12" s="1">
        <f t="shared" si="0"/>
        <v>0.92817487599295534</v>
      </c>
      <c r="C12" s="19">
        <v>0.01</v>
      </c>
      <c r="D12" s="3">
        <f t="shared" si="1"/>
        <v>94.148014940099998</v>
      </c>
      <c r="E12" s="3">
        <f t="shared" si="2"/>
        <v>75.376885151359176</v>
      </c>
      <c r="F12" s="1">
        <f t="shared" si="3"/>
        <v>70.96584109368365</v>
      </c>
      <c r="G12" s="4">
        <f t="shared" si="4"/>
        <v>65868.710756865607</v>
      </c>
      <c r="H12" s="3">
        <f t="shared" si="5"/>
        <v>0.95099004990000002</v>
      </c>
      <c r="I12" s="1">
        <f t="shared" si="6"/>
        <v>0.35841333885698817</v>
      </c>
      <c r="J12" s="5">
        <f t="shared" si="7"/>
        <v>332.67025634780606</v>
      </c>
      <c r="K12" s="22">
        <f t="shared" si="8"/>
        <v>7.1324253742500003E-3</v>
      </c>
      <c r="L12" s="5">
        <f t="shared" si="9"/>
        <v>66201.380372735017</v>
      </c>
    </row>
    <row r="13" spans="1:12" x14ac:dyDescent="0.25">
      <c r="A13">
        <v>21</v>
      </c>
      <c r="B13" s="1">
        <f t="shared" si="0"/>
        <v>0.91671592690662274</v>
      </c>
      <c r="C13" s="19">
        <v>0.01</v>
      </c>
      <c r="D13" s="3">
        <f t="shared" si="1"/>
        <v>93.206534790698996</v>
      </c>
      <c r="E13" s="3">
        <f t="shared" si="2"/>
        <v>75.376885151359176</v>
      </c>
      <c r="F13" s="1">
        <f t="shared" si="3"/>
        <v>70.256182682746811</v>
      </c>
      <c r="G13" s="4">
        <f t="shared" si="4"/>
        <v>64404.961628935256</v>
      </c>
      <c r="H13" s="3">
        <f t="shared" si="5"/>
        <v>0.941480149401</v>
      </c>
      <c r="I13" s="1">
        <f t="shared" si="6"/>
        <v>0.35482920546841823</v>
      </c>
      <c r="J13" s="5">
        <f t="shared" si="7"/>
        <v>325.27758398452153</v>
      </c>
      <c r="K13" s="22">
        <f t="shared" si="8"/>
        <v>7.0611011205075E-3</v>
      </c>
      <c r="L13" s="5">
        <f t="shared" si="9"/>
        <v>64730.238586674248</v>
      </c>
    </row>
    <row r="14" spans="1:12" x14ac:dyDescent="0.25">
      <c r="A14">
        <v>24</v>
      </c>
      <c r="B14" s="1">
        <f t="shared" si="0"/>
        <v>0.90539844632752842</v>
      </c>
      <c r="C14" s="19">
        <v>0.01</v>
      </c>
      <c r="D14" s="3">
        <f t="shared" si="1"/>
        <v>92.274469442792011</v>
      </c>
      <c r="E14" s="3">
        <f t="shared" si="2"/>
        <v>75.376885151359176</v>
      </c>
      <c r="F14" s="1">
        <f t="shared" si="3"/>
        <v>69.553620855919348</v>
      </c>
      <c r="G14" s="4">
        <f t="shared" si="4"/>
        <v>62973.740259403363</v>
      </c>
      <c r="H14" s="3">
        <f t="shared" si="5"/>
        <v>0.93206534790699003</v>
      </c>
      <c r="I14" s="1">
        <f t="shared" si="6"/>
        <v>0.35128091341373413</v>
      </c>
      <c r="J14" s="5">
        <f t="shared" si="7"/>
        <v>318.04919322930994</v>
      </c>
      <c r="K14" s="22">
        <f t="shared" si="8"/>
        <v>6.990490109302425E-3</v>
      </c>
      <c r="L14" s="5">
        <f t="shared" si="9"/>
        <v>63291.7888403037</v>
      </c>
    </row>
    <row r="15" spans="1:12" x14ac:dyDescent="0.25">
      <c r="A15">
        <v>27</v>
      </c>
      <c r="B15" s="1">
        <f t="shared" si="0"/>
        <v>0.89422068773089236</v>
      </c>
      <c r="C15" s="19">
        <v>0.01</v>
      </c>
      <c r="D15" s="3">
        <f t="shared" si="1"/>
        <v>91.351724748364092</v>
      </c>
      <c r="E15" s="3">
        <f t="shared" si="2"/>
        <v>75.376885151359176</v>
      </c>
      <c r="F15" s="1">
        <f t="shared" si="3"/>
        <v>68.858084647360158</v>
      </c>
      <c r="G15" s="4">
        <f t="shared" si="4"/>
        <v>61574.3238091944</v>
      </c>
      <c r="H15" s="3">
        <f t="shared" si="5"/>
        <v>0.92274469442792018</v>
      </c>
      <c r="I15" s="1">
        <f t="shared" si="6"/>
        <v>0.34776810427959681</v>
      </c>
      <c r="J15" s="5">
        <f t="shared" si="7"/>
        <v>310.98143337976978</v>
      </c>
      <c r="K15" s="22">
        <f t="shared" si="8"/>
        <v>6.920585208209401E-3</v>
      </c>
      <c r="L15" s="5">
        <f t="shared" si="9"/>
        <v>61885.30464385252</v>
      </c>
    </row>
    <row r="16" spans="1:12" x14ac:dyDescent="0.25">
      <c r="A16">
        <v>30</v>
      </c>
      <c r="B16" s="1">
        <f t="shared" ref="B16" si="10">1/(1+$B$4/4)^(A16/3)</f>
        <v>0.88318092615396759</v>
      </c>
      <c r="C16" s="19">
        <v>0.01</v>
      </c>
      <c r="D16" s="3">
        <f t="shared" ref="D16" si="11">D15*(1-C15)</f>
        <v>90.438207500880452</v>
      </c>
      <c r="E16" s="3">
        <f t="shared" si="2"/>
        <v>75.376885151359176</v>
      </c>
      <c r="F16" s="1">
        <f t="shared" ref="F16" si="12">E16*D16/100</f>
        <v>68.169503800886559</v>
      </c>
      <c r="G16" s="4">
        <f t="shared" ref="G16" si="13">F16*B16*N*0.0001</f>
        <v>60206.005502323416</v>
      </c>
      <c r="H16" s="3">
        <f t="shared" ref="H16" si="14">D15*C15</f>
        <v>0.91351724748364094</v>
      </c>
      <c r="I16" s="1">
        <f t="shared" ref="I16" si="15">E16/2*H16/100</f>
        <v>0.34429042323680081</v>
      </c>
      <c r="J16" s="5">
        <f t="shared" ref="J16" si="16">I16*B16*N*0.0001</f>
        <v>304.07073486021926</v>
      </c>
      <c r="K16" s="22">
        <f t="shared" ref="K16" si="17">(1-$B$3)*H16/100</f>
        <v>6.8513793561273077E-3</v>
      </c>
      <c r="L16" s="5">
        <f t="shared" ref="L16" si="18">K16*B16*N</f>
        <v>60510.0756517669</v>
      </c>
    </row>
    <row r="17" spans="1:12" x14ac:dyDescent="0.25">
      <c r="A17">
        <v>33</v>
      </c>
      <c r="B17" s="1">
        <f t="shared" ref="B17" si="19">1/(1+$B$4/4)^(A17/3)</f>
        <v>0.87227745792984479</v>
      </c>
      <c r="C17" s="19">
        <v>0.01</v>
      </c>
      <c r="D17" s="3">
        <f t="shared" ref="D17" si="20">D16*(1-C16)</f>
        <v>89.53382542587164</v>
      </c>
      <c r="E17" s="3">
        <f t="shared" si="2"/>
        <v>75.376885151359176</v>
      </c>
      <c r="F17" s="1">
        <f t="shared" ref="F17" si="21">E17*D17/100</f>
        <v>67.487808762877691</v>
      </c>
      <c r="G17" s="4">
        <f t="shared" ref="G17" si="22">F17*B17*N*0.0001</f>
        <v>58868.094268938461</v>
      </c>
      <c r="H17" s="3">
        <f t="shared" ref="H17" si="23">D16*C16</f>
        <v>0.90438207500880452</v>
      </c>
      <c r="I17" s="1">
        <f t="shared" ref="I17" si="24">E17/2*H17/100</f>
        <v>0.34084751900443278</v>
      </c>
      <c r="J17" s="5">
        <f t="shared" ref="J17" si="25">I17*B17*N*0.0001</f>
        <v>297.31360741888108</v>
      </c>
      <c r="K17" s="22">
        <f t="shared" ref="K17" si="26">(1-$B$3)*H17/100</f>
        <v>6.7828655625660336E-3</v>
      </c>
      <c r="L17" s="5">
        <f t="shared" ref="L17" si="27">K17*B17*N</f>
        <v>59165.407303949862</v>
      </c>
    </row>
    <row r="18" spans="1:12" x14ac:dyDescent="0.25">
      <c r="A18">
        <v>36</v>
      </c>
      <c r="B18" s="1">
        <f t="shared" ref="B18" si="28">1/(1+$B$4/4)^(A18/3)</f>
        <v>0.86150860042453792</v>
      </c>
      <c r="C18" s="19">
        <v>0.01</v>
      </c>
      <c r="D18" s="3">
        <f t="shared" ref="D18" si="29">D17*(1-C17)</f>
        <v>88.638487171612923</v>
      </c>
      <c r="E18" s="3">
        <f t="shared" si="2"/>
        <v>75.376885151359176</v>
      </c>
      <c r="F18" s="1">
        <f t="shared" ref="F18" si="30">E18*D18/100</f>
        <v>66.812930675248907</v>
      </c>
      <c r="G18" s="4">
        <f t="shared" ref="G18" si="31">F18*B18*N*0.0001</f>
        <v>57559.91439629536</v>
      </c>
      <c r="H18" s="3">
        <f t="shared" ref="H18" si="32">D17*C17</f>
        <v>0.89533825425871638</v>
      </c>
      <c r="I18" s="1">
        <f t="shared" ref="I18" si="33">E18/2*H18/100</f>
        <v>0.33743904381438844</v>
      </c>
      <c r="J18" s="5">
        <f t="shared" ref="J18" si="34">I18*B18*N*0.0001</f>
        <v>290.70663836512813</v>
      </c>
      <c r="K18" s="22">
        <f t="shared" ref="K18" si="35">(1-$B$3)*H18/100</f>
        <v>6.7150369069403724E-3</v>
      </c>
      <c r="L18" s="5">
        <f t="shared" ref="L18" si="36">K18*B18*N</f>
        <v>57850.620474973184</v>
      </c>
    </row>
    <row r="19" spans="1:12" x14ac:dyDescent="0.25">
      <c r="A19">
        <v>39</v>
      </c>
      <c r="B19" s="1">
        <f t="shared" ref="B19" si="37">1/(1+$B$4/4)^(A19/3)</f>
        <v>0.85087269177732161</v>
      </c>
      <c r="C19" s="19">
        <v>0.01</v>
      </c>
      <c r="D19" s="3">
        <f t="shared" ref="D19" si="38">D18*(1-C18)</f>
        <v>87.752102299896791</v>
      </c>
      <c r="E19" s="3">
        <f t="shared" si="2"/>
        <v>75.376885151359176</v>
      </c>
      <c r="F19" s="1">
        <f t="shared" ref="F19" si="39">E19*D19/100</f>
        <v>66.144801368496417</v>
      </c>
      <c r="G19" s="4">
        <f t="shared" ref="G19" si="40">F19*B19*N*0.0001</f>
        <v>56280.805187488811</v>
      </c>
      <c r="H19" s="3">
        <f t="shared" ref="H19" si="41">D18*C18</f>
        <v>0.88638487171612923</v>
      </c>
      <c r="I19" s="1">
        <f t="shared" ref="I19" si="42">E19/2*H19/100</f>
        <v>0.33406465337624452</v>
      </c>
      <c r="J19" s="5">
        <f t="shared" ref="J19" si="43">I19*B19*N*0.0001</f>
        <v>284.24649084590311</v>
      </c>
      <c r="K19" s="22">
        <f t="shared" ref="K19" si="44">(1-$B$3)*H19/100</f>
        <v>6.6478865378709695E-3</v>
      </c>
      <c r="L19" s="5">
        <f t="shared" ref="L19" si="45">K19*B19*N</f>
        <v>56565.051131084911</v>
      </c>
    </row>
    <row r="20" spans="1:12" x14ac:dyDescent="0.25">
      <c r="A20">
        <v>42</v>
      </c>
      <c r="B20" s="1">
        <f t="shared" ref="B20" si="46">1/(1+$B$4/4)^(A20/3)</f>
        <v>0.8403680906442681</v>
      </c>
      <c r="C20" s="19">
        <v>0.01</v>
      </c>
      <c r="D20" s="3">
        <f t="shared" ref="D20" si="47">D19*(1-C19)</f>
        <v>86.874581276897828</v>
      </c>
      <c r="E20" s="3">
        <f t="shared" si="2"/>
        <v>75.376885151359176</v>
      </c>
      <c r="F20" s="1">
        <f t="shared" ref="F20" si="48">E20*D20/100</f>
        <v>65.483353354811456</v>
      </c>
      <c r="G20" s="4">
        <f t="shared" ref="G20" si="49">F20*B20*N*0.0001</f>
        <v>55030.120627766839</v>
      </c>
      <c r="H20" s="3">
        <f t="shared" ref="H20" si="50">D19*C19</f>
        <v>0.87752102299896795</v>
      </c>
      <c r="I20" s="1">
        <f t="shared" ref="I20" si="51">E20/2*H20/100</f>
        <v>0.3307240068424821</v>
      </c>
      <c r="J20" s="5">
        <f t="shared" ref="J20" si="52">I20*B20*N*0.0001</f>
        <v>277.92990216043859</v>
      </c>
      <c r="K20" s="22">
        <f t="shared" ref="K20" si="53">(1-$B$3)*H20/100</f>
        <v>6.5814076724922599E-3</v>
      </c>
      <c r="L20" s="5">
        <f t="shared" ref="L20" si="54">K20*B20*N</f>
        <v>55308.04999483857</v>
      </c>
    </row>
    <row r="21" spans="1:12" x14ac:dyDescent="0.25">
      <c r="A21">
        <v>45</v>
      </c>
      <c r="B21" s="1">
        <f t="shared" ref="B21" si="55">1/(1+$B$4/4)^(A21/3)</f>
        <v>0.82999317594495636</v>
      </c>
      <c r="C21" s="19">
        <v>0.01</v>
      </c>
      <c r="D21" s="3">
        <f t="shared" ref="D21" si="56">D20*(1-C20)</f>
        <v>86.00583546412885</v>
      </c>
      <c r="E21" s="3">
        <f t="shared" si="2"/>
        <v>75.376885151359176</v>
      </c>
      <c r="F21" s="1">
        <f t="shared" ref="F21" si="57">E21*D21/100</f>
        <v>64.828519821263342</v>
      </c>
      <c r="G21" s="4">
        <f t="shared" ref="G21" si="58">F21*B21*N*0.0001</f>
        <v>53807.22905826092</v>
      </c>
      <c r="H21" s="3">
        <f t="shared" ref="H21" si="59">D20*C20</f>
        <v>0.86874581276897833</v>
      </c>
      <c r="I21" s="1">
        <f t="shared" ref="I21" si="60">E21/2*H21/100</f>
        <v>0.32741676677405729</v>
      </c>
      <c r="J21" s="5">
        <f t="shared" ref="J21" si="61">I21*B21*N*0.0001</f>
        <v>271.75368211242892</v>
      </c>
      <c r="K21" s="22">
        <f t="shared" ref="K21" si="62">(1-$B$3)*H21/100</f>
        <v>6.5155935957673375E-3</v>
      </c>
      <c r="L21" s="5">
        <f t="shared" ref="L21" si="63">K21*B21*N</f>
        <v>54078.982217175508</v>
      </c>
    </row>
    <row r="22" spans="1:12" x14ac:dyDescent="0.25">
      <c r="A22">
        <v>48</v>
      </c>
      <c r="B22" s="1">
        <f t="shared" ref="B22" si="64">1/(1+$B$4/4)^(A22/3)</f>
        <v>0.81974634661230239</v>
      </c>
      <c r="C22" s="19">
        <v>0.01</v>
      </c>
      <c r="D22" s="3">
        <f t="shared" ref="D22" si="65">D21*(1-C21)</f>
        <v>85.145777109487554</v>
      </c>
      <c r="E22" s="3">
        <f t="shared" si="2"/>
        <v>75.376885151359176</v>
      </c>
      <c r="F22" s="1">
        <f t="shared" ref="F22" si="66">E22*D22/100</f>
        <v>64.180234623050694</v>
      </c>
      <c r="G22" s="4">
        <f t="shared" ref="G22" si="67">F22*B22*N*0.0001</f>
        <v>52611.512856966212</v>
      </c>
      <c r="H22" s="3">
        <f t="shared" ref="H22" si="68">D21*C21</f>
        <v>0.86005835464128855</v>
      </c>
      <c r="I22" s="1">
        <f t="shared" ref="I22" si="69">E22/2*H22/100</f>
        <v>0.32414259910631671</v>
      </c>
      <c r="J22" s="5">
        <f t="shared" ref="J22" si="70">I22*B22*N*0.0001</f>
        <v>265.71471139881936</v>
      </c>
      <c r="K22" s="22">
        <f t="shared" ref="K22" si="71">(1-$B$3)*H22/100</f>
        <v>6.4504376598096651E-3</v>
      </c>
      <c r="L22" s="5">
        <f t="shared" ref="L22" si="72">K22*B22*N</f>
        <v>52877.227056793818</v>
      </c>
    </row>
    <row r="23" spans="1:12" x14ac:dyDescent="0.25">
      <c r="A23">
        <v>51</v>
      </c>
      <c r="B23" s="1">
        <f t="shared" ref="B23:B25" si="73">1/(1+$B$4/4)^(A23/3)</f>
        <v>0.80962602134548389</v>
      </c>
      <c r="C23" s="19">
        <v>0.01</v>
      </c>
      <c r="D23" s="3">
        <f t="shared" ref="D23:D25" si="74">D22*(1-C22)</f>
        <v>84.294319338392683</v>
      </c>
      <c r="E23" s="3">
        <f t="shared" si="2"/>
        <v>75.376885151359176</v>
      </c>
      <c r="F23" s="1">
        <f t="shared" ref="F23:F25" si="75">E23*D23/100</f>
        <v>63.538432276820203</v>
      </c>
      <c r="G23" s="4">
        <f t="shared" ref="G23:G25" si="76">F23*B23*N*0.0001</f>
        <v>51442.368126811416</v>
      </c>
      <c r="H23" s="3">
        <f t="shared" ref="H23:H25" si="77">D22*C22</f>
        <v>0.85145777109487553</v>
      </c>
      <c r="I23" s="1">
        <f t="shared" ref="I23:I25" si="78">E23/2*H23/100</f>
        <v>0.32090117311525357</v>
      </c>
      <c r="J23" s="5">
        <f t="shared" ref="J23:J25" si="79">I23*B23*N*0.0001</f>
        <v>259.80994003440111</v>
      </c>
      <c r="K23" s="22">
        <f t="shared" ref="K23:K25" si="80">(1-$B$3)*H23/100</f>
        <v>6.3859332832115669E-3</v>
      </c>
      <c r="L23" s="5">
        <f t="shared" ref="L23:L25" si="81">K23*B23*N</f>
        <v>51702.177566642837</v>
      </c>
    </row>
    <row r="24" spans="1:12" x14ac:dyDescent="0.25">
      <c r="A24">
        <v>54</v>
      </c>
      <c r="B24" s="1">
        <f t="shared" si="73"/>
        <v>0.79963063836590986</v>
      </c>
      <c r="C24" s="19">
        <v>0.01</v>
      </c>
      <c r="D24" s="3">
        <f t="shared" si="74"/>
        <v>83.451376145008751</v>
      </c>
      <c r="E24" s="3">
        <f t="shared" si="2"/>
        <v>75.376885151359176</v>
      </c>
      <c r="F24" s="1">
        <f t="shared" si="75"/>
        <v>62.903047954051999</v>
      </c>
      <c r="G24" s="4">
        <f t="shared" si="76"/>
        <v>50299.204390660037</v>
      </c>
      <c r="H24" s="3">
        <f t="shared" si="77"/>
        <v>0.84294319338392687</v>
      </c>
      <c r="I24" s="1">
        <f t="shared" si="78"/>
        <v>0.317692161384101</v>
      </c>
      <c r="J24" s="5">
        <f t="shared" si="79"/>
        <v>254.03638581141436</v>
      </c>
      <c r="K24" s="22">
        <f t="shared" si="80"/>
        <v>6.3220739503794523E-3</v>
      </c>
      <c r="L24" s="5">
        <f t="shared" si="81"/>
        <v>50553.240287384106</v>
      </c>
    </row>
    <row r="25" spans="1:12" x14ac:dyDescent="0.25">
      <c r="A25">
        <v>57</v>
      </c>
      <c r="B25" s="1">
        <v>0.81974634661230239</v>
      </c>
      <c r="C25" s="19">
        <v>0.01</v>
      </c>
      <c r="D25" s="3">
        <v>85.409340900085809</v>
      </c>
      <c r="E25" s="3">
        <v>54.527500000000003</v>
      </c>
      <c r="F25" s="1">
        <v>46.571578359294293</v>
      </c>
      <c r="G25" s="4">
        <v>38176.881216000067</v>
      </c>
      <c r="H25" s="3">
        <v>0.83846247689566844</v>
      </c>
      <c r="I25" s="1">
        <v>0.2285963135446428</v>
      </c>
      <c r="J25" s="5">
        <v>187.39099287726131</v>
      </c>
      <c r="K25" s="22">
        <v>6.2884685767175133E-3</v>
      </c>
      <c r="L25" s="5">
        <v>51549.491415504468</v>
      </c>
    </row>
    <row r="26" spans="1:12" x14ac:dyDescent="0.25">
      <c r="A26">
        <v>60</v>
      </c>
      <c r="B26" s="1">
        <f t="shared" ref="B26" si="82">1/(1+$B$4/4)^(A26/3)</f>
        <v>0.78000854832218014</v>
      </c>
      <c r="C26" s="19">
        <v>0.01</v>
      </c>
      <c r="D26" s="3">
        <f t="shared" ref="D26" si="83">D25*(1-C25)</f>
        <v>84.555247491084955</v>
      </c>
      <c r="E26" s="3">
        <f t="shared" si="2"/>
        <v>75.376885151359176</v>
      </c>
      <c r="F26" s="1">
        <f t="shared" ref="F26" si="84">E26*D26/100</f>
        <v>63.73511179080262</v>
      </c>
      <c r="G26" s="4">
        <f t="shared" ref="G26" si="85">F26*B26*N*0.0001</f>
        <v>49713.932025095819</v>
      </c>
      <c r="H26" s="3">
        <f t="shared" ref="H26" si="86">D25*C25</f>
        <v>0.85409340900085806</v>
      </c>
      <c r="I26" s="1">
        <f t="shared" ref="I26" si="87">E26/2*H26/100</f>
        <v>0.32189450399395253</v>
      </c>
      <c r="J26" s="5">
        <f t="shared" ref="J26" si="88">I26*B26*N*0.0001</f>
        <v>251.08046477321113</v>
      </c>
      <c r="K26" s="22">
        <f t="shared" ref="K26" si="89">(1-$B$3)*H26/100</f>
        <v>6.4057005675064362E-3</v>
      </c>
      <c r="L26" s="5">
        <f t="shared" ref="L26" si="90">K26*B26*N</f>
        <v>49965.012006472607</v>
      </c>
    </row>
    <row r="28" spans="1:12" x14ac:dyDescent="0.25">
      <c r="F28" s="10" t="s">
        <v>14</v>
      </c>
      <c r="H28" s="5">
        <f>SUM(G7:G14)+SUM(J7:J14)</f>
        <v>548494.62966649095</v>
      </c>
    </row>
    <row r="29" spans="1:12" x14ac:dyDescent="0.25">
      <c r="F29" s="10" t="s">
        <v>15</v>
      </c>
      <c r="H29" s="5">
        <f>SUM(L7:L14)</f>
        <v>548494.6243599708</v>
      </c>
    </row>
    <row r="30" spans="1:12" x14ac:dyDescent="0.25">
      <c r="F30" s="10" t="s">
        <v>16</v>
      </c>
      <c r="H30" s="5">
        <f>H29-H28</f>
        <v>-5.3065201500430703E-3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Pricing</vt:lpstr>
      <vt:lpstr>Calibration</vt:lpstr>
      <vt:lpstr>CDS pricing</vt:lpstr>
      <vt:lpstr>Calibration!h</vt:lpstr>
      <vt:lpstr>h</vt:lpstr>
      <vt:lpstr>'CDS pricing'!N</vt:lpstr>
      <vt:lpstr>N</vt:lpstr>
      <vt:lpstr>Calibration!rf</vt:lpstr>
      <vt:lpstr>'CDS pricing'!rf</vt:lpstr>
      <vt:lpstr>rf</vt:lpstr>
      <vt:lpstr>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Irwan Widarto</cp:lastModifiedBy>
  <dcterms:created xsi:type="dcterms:W3CDTF">2013-03-23T18:19:58Z</dcterms:created>
  <dcterms:modified xsi:type="dcterms:W3CDTF">2020-11-07T17:53:16Z</dcterms:modified>
</cp:coreProperties>
</file>