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2303\Downloads\"/>
    </mc:Choice>
  </mc:AlternateContent>
  <bookViews>
    <workbookView xWindow="0" yWindow="0" windowWidth="21600" windowHeight="9540"/>
  </bookViews>
  <sheets>
    <sheet name="Product Backlog - Sprint backlo" sheetId="1" r:id="rId1"/>
    <sheet name="Sprint_Backlog_Burdown_Chart" sheetId="3" r:id="rId2"/>
    <sheet name="Daily Scrum" sheetId="2" r:id="rId3"/>
    <sheet name="Release Plan" sheetId="4" state="hidden" r:id="rId4"/>
    <sheet name="Release Burndown Chart" sheetId="5" state="hidden" r:id="rId5"/>
    <sheet name="Sprint Backlog" sheetId="6" state="hidden" r:id="rId6"/>
  </sheets>
  <definedNames>
    <definedName name="DoneDays" localSheetId="1">Sprint_Backlog_Burdown_Chart!$E$21</definedName>
    <definedName name="DoneDays">'Sprint Backlog'!$D$15</definedName>
    <definedName name="ImplementationDays" localSheetId="1">Sprint_Backlog_Burdown_Chart!$C$19</definedName>
    <definedName name="ImplementationDays">'Sprint Backlog'!$B$13</definedName>
    <definedName name="ProductBacklog">'Product Backlog - Sprint backlo'!$A$5:$P$178</definedName>
    <definedName name="Sprint">'Product Backlog - Sprint backlo'!$M$7:$M$178</definedName>
    <definedName name="SprintCount" localSheetId="4">'Release Burndown Chart'!$G$3</definedName>
    <definedName name="SprintsInTrend" localSheetId="4">'Release Burndown Chart'!$G$6</definedName>
    <definedName name="SprintTasks" localSheetId="1">Sprint_Backlog_Burdown_Chart!$B$24:$U$61</definedName>
    <definedName name="Status">'Product Backlog - Sprint backlo'!$E$7:$E$176</definedName>
    <definedName name="StoryName">'Product Backlog - Sprint backlo'!$B$7:$B$176</definedName>
    <definedName name="TaskRows" localSheetId="1">Sprint_Backlog_Burdown_Chart!$C$21</definedName>
    <definedName name="TaskRows">'Sprint Backlog'!$B$15</definedName>
    <definedName name="TaskStatus" localSheetId="1">Sprint_Backlog_Burdown_Chart!$E$24:$E$56</definedName>
    <definedName name="TaskStoryID" localSheetId="1">Sprint_Backlog_Burdown_Chart!$C$24:$C$51</definedName>
    <definedName name="TotalEffort" localSheetId="1">Sprint_Backlog_Burdown_Chart!$F$20</definedName>
    <definedName name="TotalEffort">'Sprint Backlog'!$E$14</definedName>
    <definedName name="TrendDays" localSheetId="1">Sprint_Backlog_Burdown_Chart!$E$23</definedName>
    <definedName name="TrendDays">'Sprint Backlog'!$D$17</definedName>
    <definedName name="TrendOffset" localSheetId="4">'Release Burndown Chart'!$G$5</definedName>
    <definedName name="TrendSprintCount" localSheetId="4">'Release Burndown Chart'!$G$4</definedName>
  </definedNames>
  <calcPr calcId="162913"/>
</workbook>
</file>

<file path=xl/calcChain.xml><?xml version="1.0" encoding="utf-8"?>
<calcChain xmlns="http://schemas.openxmlformats.org/spreadsheetml/2006/main">
  <c r="P68" i="1" l="1"/>
  <c r="Q68" i="1"/>
  <c r="Q65" i="1"/>
  <c r="Q66" i="1"/>
  <c r="Q67" i="1"/>
  <c r="P65" i="1"/>
  <c r="P66" i="1"/>
  <c r="P67" i="1"/>
  <c r="N68" i="1"/>
  <c r="O67" i="1"/>
  <c r="O68" i="1" s="1"/>
  <c r="O66" i="1"/>
  <c r="O26" i="1"/>
  <c r="N26" i="1"/>
  <c r="O25" i="1"/>
  <c r="N25" i="1"/>
  <c r="O65" i="1" l="1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G18" i="6"/>
  <c r="G47" i="6" s="1"/>
  <c r="AB15" i="6"/>
  <c r="AA15" i="6"/>
  <c r="Z15" i="6"/>
  <c r="Y15" i="6"/>
  <c r="B15" i="6"/>
  <c r="X14" i="6" s="1"/>
  <c r="V14" i="6"/>
  <c r="U14" i="6"/>
  <c r="R14" i="6"/>
  <c r="Q14" i="6"/>
  <c r="N14" i="6"/>
  <c r="M14" i="6"/>
  <c r="J14" i="6"/>
  <c r="I14" i="6"/>
  <c r="F14" i="6"/>
  <c r="E14" i="6"/>
  <c r="G15" i="6" s="1"/>
  <c r="E34" i="5"/>
  <c r="B34" i="5"/>
  <c r="B35" i="5" s="1"/>
  <c r="E33" i="5"/>
  <c r="C29" i="5"/>
  <c r="H28" i="5"/>
  <c r="C28" i="5"/>
  <c r="B28" i="5"/>
  <c r="F28" i="5" s="1"/>
  <c r="G20" i="5"/>
  <c r="G19" i="5"/>
  <c r="A18" i="5"/>
  <c r="G17" i="5"/>
  <c r="D17" i="5"/>
  <c r="D16" i="5"/>
  <c r="D15" i="5"/>
  <c r="D10" i="5"/>
  <c r="P31" i="5" s="1"/>
  <c r="A8" i="5"/>
  <c r="G4" i="5"/>
  <c r="E8" i="4"/>
  <c r="B6" i="4"/>
  <c r="D6" i="4" s="1"/>
  <c r="D5" i="4"/>
  <c r="E62" i="3"/>
  <c r="H24" i="3"/>
  <c r="I24" i="3" s="1"/>
  <c r="J24" i="3" s="1"/>
  <c r="G23" i="3"/>
  <c r="H23" i="3" s="1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O64" i="1"/>
  <c r="P64" i="1" s="1"/>
  <c r="Q64" i="1" s="1"/>
  <c r="O63" i="1"/>
  <c r="P63" i="1" s="1"/>
  <c r="O62" i="1"/>
  <c r="N59" i="1"/>
  <c r="O56" i="1"/>
  <c r="P56" i="1" s="1"/>
  <c r="Q56" i="1" s="1"/>
  <c r="O55" i="1"/>
  <c r="P55" i="1" s="1"/>
  <c r="N52" i="1"/>
  <c r="O51" i="1"/>
  <c r="P51" i="1" s="1"/>
  <c r="Q51" i="1" s="1"/>
  <c r="O50" i="1"/>
  <c r="P50" i="1" s="1"/>
  <c r="Q50" i="1" s="1"/>
  <c r="O49" i="1"/>
  <c r="P49" i="1" s="1"/>
  <c r="Q49" i="1" s="1"/>
  <c r="O48" i="1"/>
  <c r="P48" i="1" s="1"/>
  <c r="Q48" i="1" s="1"/>
  <c r="O47" i="1"/>
  <c r="P47" i="1" s="1"/>
  <c r="Q47" i="1" s="1"/>
  <c r="O46" i="1"/>
  <c r="P46" i="1" s="1"/>
  <c r="Q46" i="1" s="1"/>
  <c r="N43" i="1"/>
  <c r="O40" i="1"/>
  <c r="P40" i="1" s="1"/>
  <c r="Q40" i="1" s="1"/>
  <c r="O39" i="1"/>
  <c r="P39" i="1" s="1"/>
  <c r="Q39" i="1" s="1"/>
  <c r="N36" i="1"/>
  <c r="O34" i="1"/>
  <c r="O33" i="1"/>
  <c r="P33" i="1" s="1"/>
  <c r="Q33" i="1" s="1"/>
  <c r="O32" i="1"/>
  <c r="P32" i="1" s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N14" i="1"/>
  <c r="N13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27" i="1" l="1"/>
  <c r="N27" i="1"/>
  <c r="P26" i="1"/>
  <c r="I34" i="5"/>
  <c r="H34" i="5" s="1"/>
  <c r="P62" i="1"/>
  <c r="Q62" i="1" s="1"/>
  <c r="H21" i="3"/>
  <c r="I21" i="3"/>
  <c r="Q63" i="1"/>
  <c r="Q52" i="1"/>
  <c r="Q32" i="1"/>
  <c r="P59" i="1"/>
  <c r="O36" i="1"/>
  <c r="O43" i="1" s="1"/>
  <c r="O52" i="1"/>
  <c r="P34" i="1"/>
  <c r="P52" i="1"/>
  <c r="Q55" i="1"/>
  <c r="Q59" i="1" s="1"/>
  <c r="I23" i="3"/>
  <c r="K28" i="5"/>
  <c r="G28" i="5"/>
  <c r="O59" i="1"/>
  <c r="G21" i="3"/>
  <c r="K24" i="3"/>
  <c r="J21" i="3"/>
  <c r="I35" i="5"/>
  <c r="H35" i="5" s="1"/>
  <c r="E35" i="5"/>
  <c r="B36" i="5"/>
  <c r="F35" i="5"/>
  <c r="D11" i="5"/>
  <c r="P28" i="5"/>
  <c r="P34" i="5"/>
  <c r="P36" i="5"/>
  <c r="G5" i="5"/>
  <c r="P30" i="5"/>
  <c r="P32" i="5"/>
  <c r="G46" i="6"/>
  <c r="G6" i="5"/>
  <c r="D20" i="5"/>
  <c r="E28" i="5"/>
  <c r="B29" i="5"/>
  <c r="P33" i="5"/>
  <c r="F34" i="5"/>
  <c r="P35" i="5"/>
  <c r="P37" i="5"/>
  <c r="G14" i="6"/>
  <c r="K14" i="6"/>
  <c r="O14" i="6"/>
  <c r="S14" i="6"/>
  <c r="W14" i="6"/>
  <c r="F15" i="6"/>
  <c r="H18" i="6"/>
  <c r="P29" i="5"/>
  <c r="H14" i="6"/>
  <c r="L14" i="6"/>
  <c r="P14" i="6"/>
  <c r="T14" i="6"/>
  <c r="D15" i="6" l="1"/>
  <c r="D17" i="6" s="1"/>
  <c r="G34" i="5"/>
  <c r="K34" i="5"/>
  <c r="D8" i="5"/>
  <c r="D18" i="5" s="1"/>
  <c r="Q37" i="5"/>
  <c r="Q35" i="5"/>
  <c r="Q33" i="5"/>
  <c r="Q32" i="5"/>
  <c r="Q30" i="5"/>
  <c r="Q36" i="5"/>
  <c r="Q34" i="5"/>
  <c r="Q28" i="5"/>
  <c r="Q31" i="5"/>
  <c r="Q29" i="5"/>
  <c r="D21" i="5"/>
  <c r="J23" i="3"/>
  <c r="Q34" i="1"/>
  <c r="Q36" i="1" s="1"/>
  <c r="G35" i="5"/>
  <c r="K35" i="5"/>
  <c r="P36" i="1"/>
  <c r="P43" i="1" s="1"/>
  <c r="I18" i="6"/>
  <c r="H46" i="6"/>
  <c r="H47" i="6"/>
  <c r="H15" i="6"/>
  <c r="B30" i="5"/>
  <c r="F29" i="5"/>
  <c r="I29" i="5"/>
  <c r="E29" i="5"/>
  <c r="B37" i="5"/>
  <c r="F36" i="5"/>
  <c r="I36" i="5"/>
  <c r="H36" i="5" s="1"/>
  <c r="E36" i="5"/>
  <c r="L24" i="3"/>
  <c r="K21" i="3"/>
  <c r="F17" i="6" l="1"/>
  <c r="Q16" i="6" s="1" a="1"/>
  <c r="Q16" i="6" s="1"/>
  <c r="H29" i="5"/>
  <c r="N33" i="5"/>
  <c r="N37" i="5"/>
  <c r="N32" i="5"/>
  <c r="N35" i="5"/>
  <c r="N31" i="5"/>
  <c r="N29" i="5"/>
  <c r="N28" i="5"/>
  <c r="N34" i="5"/>
  <c r="N30" i="5"/>
  <c r="N36" i="5"/>
  <c r="G36" i="5"/>
  <c r="K36" i="5"/>
  <c r="G29" i="5"/>
  <c r="K29" i="5"/>
  <c r="T16" i="6" a="1"/>
  <c r="T16" i="6" s="1"/>
  <c r="M24" i="3"/>
  <c r="L21" i="3"/>
  <c r="I37" i="5"/>
  <c r="H37" i="5" s="1"/>
  <c r="E37" i="5"/>
  <c r="F37" i="5"/>
  <c r="B31" i="5"/>
  <c r="F30" i="5"/>
  <c r="I30" i="5"/>
  <c r="H30" i="5" s="1"/>
  <c r="E30" i="5"/>
  <c r="I46" i="6"/>
  <c r="I47" i="6"/>
  <c r="I15" i="6"/>
  <c r="J18" i="6"/>
  <c r="Q43" i="1"/>
  <c r="K23" i="3"/>
  <c r="X16" i="6" a="1"/>
  <c r="X16" i="6" s="1"/>
  <c r="G16" i="6" l="1" a="1"/>
  <c r="G16" i="6" s="1"/>
  <c r="J16" i="6" a="1"/>
  <c r="J16" i="6" s="1"/>
  <c r="F16" i="6" a="1"/>
  <c r="F16" i="6" s="1"/>
  <c r="V16" i="6" a="1"/>
  <c r="V16" i="6" s="1"/>
  <c r="R16" i="6" a="1"/>
  <c r="R16" i="6" s="1"/>
  <c r="M16" i="6" a="1"/>
  <c r="M16" i="6" s="1"/>
  <c r="P16" i="6" a="1"/>
  <c r="P16" i="6" s="1"/>
  <c r="N16" i="6" a="1"/>
  <c r="N16" i="6" s="1"/>
  <c r="W16" i="6" a="1"/>
  <c r="W16" i="6" s="1"/>
  <c r="K16" i="6" a="1"/>
  <c r="K16" i="6" s="1"/>
  <c r="U16" i="6" a="1"/>
  <c r="U16" i="6" s="1"/>
  <c r="L16" i="6" a="1"/>
  <c r="L16" i="6" s="1"/>
  <c r="H16" i="6" a="1"/>
  <c r="H16" i="6" s="1"/>
  <c r="O16" i="6" a="1"/>
  <c r="O16" i="6" s="1"/>
  <c r="S16" i="6" a="1"/>
  <c r="S16" i="6" s="1"/>
  <c r="I16" i="6" a="1"/>
  <c r="I16" i="6" s="1"/>
  <c r="J47" i="6"/>
  <c r="J15" i="6"/>
  <c r="K18" i="6"/>
  <c r="J46" i="6"/>
  <c r="K30" i="5"/>
  <c r="G30" i="5"/>
  <c r="L29" i="5" a="1"/>
  <c r="L29" i="5" s="1"/>
  <c r="L32" i="5" a="1"/>
  <c r="L32" i="5" s="1"/>
  <c r="L28" i="5" a="1"/>
  <c r="L28" i="5" s="1"/>
  <c r="M28" i="5" s="1"/>
  <c r="L37" i="5" a="1"/>
  <c r="L37" i="5" s="1"/>
  <c r="L30" i="5" a="1"/>
  <c r="L30" i="5" s="1"/>
  <c r="L35" i="5" a="1"/>
  <c r="L35" i="5" s="1"/>
  <c r="L36" i="5" a="1"/>
  <c r="L36" i="5" s="1"/>
  <c r="L31" i="5" a="1"/>
  <c r="L31" i="5" s="1"/>
  <c r="L33" i="5" a="1"/>
  <c r="L33" i="5" s="1"/>
  <c r="L34" i="5" a="1"/>
  <c r="L34" i="5" s="1"/>
  <c r="B32" i="5"/>
  <c r="F31" i="5"/>
  <c r="I31" i="5"/>
  <c r="H31" i="5" s="1"/>
  <c r="E31" i="5"/>
  <c r="G3" i="5"/>
  <c r="D9" i="5" s="1"/>
  <c r="L23" i="3"/>
  <c r="G37" i="5"/>
  <c r="K37" i="5"/>
  <c r="N24" i="3"/>
  <c r="M21" i="3"/>
  <c r="M30" i="5" l="1"/>
  <c r="M34" i="5"/>
  <c r="M31" i="5"/>
  <c r="M33" i="5"/>
  <c r="O24" i="3"/>
  <c r="N21" i="3"/>
  <c r="M29" i="5"/>
  <c r="D12" i="5" s="1"/>
  <c r="K47" i="6"/>
  <c r="K15" i="6"/>
  <c r="L18" i="6"/>
  <c r="K46" i="6"/>
  <c r="M23" i="3"/>
  <c r="G31" i="5"/>
  <c r="K31" i="5"/>
  <c r="M37" i="5"/>
  <c r="O36" i="5"/>
  <c r="O34" i="5"/>
  <c r="O28" i="5"/>
  <c r="D24" i="5"/>
  <c r="O31" i="5"/>
  <c r="O29" i="5"/>
  <c r="D23" i="5"/>
  <c r="O37" i="5"/>
  <c r="O35" i="5"/>
  <c r="O33" i="5"/>
  <c r="O32" i="5"/>
  <c r="O30" i="5"/>
  <c r="D19" i="5"/>
  <c r="I33" i="5"/>
  <c r="H33" i="5" s="1"/>
  <c r="F32" i="5"/>
  <c r="I32" i="5"/>
  <c r="H32" i="5" s="1"/>
  <c r="E32" i="5"/>
  <c r="F33" i="5"/>
  <c r="M36" i="5"/>
  <c r="M35" i="5"/>
  <c r="M32" i="5"/>
  <c r="G9" i="5" l="1"/>
  <c r="D22" i="5"/>
  <c r="N23" i="3"/>
  <c r="K32" i="5"/>
  <c r="G32" i="5"/>
  <c r="G33" i="5"/>
  <c r="K33" i="5"/>
  <c r="M18" i="6"/>
  <c r="L46" i="6"/>
  <c r="L47" i="6"/>
  <c r="L15" i="6"/>
  <c r="P24" i="3"/>
  <c r="O21" i="3"/>
  <c r="P21" i="3" l="1"/>
  <c r="Q24" i="3"/>
  <c r="M46" i="6"/>
  <c r="M47" i="6"/>
  <c r="M15" i="6"/>
  <c r="N18" i="6"/>
  <c r="O23" i="3"/>
  <c r="P23" i="3" l="1"/>
  <c r="N47" i="6"/>
  <c r="N15" i="6"/>
  <c r="O18" i="6"/>
  <c r="N46" i="6"/>
  <c r="R24" i="3"/>
  <c r="Q21" i="3"/>
  <c r="S24" i="3" l="1"/>
  <c r="R21" i="3"/>
  <c r="O47" i="6"/>
  <c r="O15" i="6"/>
  <c r="P18" i="6"/>
  <c r="O46" i="6"/>
  <c r="Q23" i="3"/>
  <c r="R23" i="3" l="1"/>
  <c r="S23" i="3" s="1"/>
  <c r="T23" i="3" s="1"/>
  <c r="G22" i="3" a="1"/>
  <c r="G22" i="3" s="1"/>
  <c r="S22" i="3" a="1"/>
  <c r="S22" i="3" s="1"/>
  <c r="I22" i="3" a="1"/>
  <c r="I22" i="3" s="1"/>
  <c r="O22" i="3" a="1"/>
  <c r="O22" i="3" s="1"/>
  <c r="H22" i="3" a="1"/>
  <c r="H22" i="3" s="1"/>
  <c r="L22" i="3" a="1"/>
  <c r="L22" i="3" s="1"/>
  <c r="Q18" i="6"/>
  <c r="P46" i="6"/>
  <c r="P47" i="6"/>
  <c r="P15" i="6"/>
  <c r="T24" i="3"/>
  <c r="S21" i="3"/>
  <c r="T21" i="3" l="1"/>
  <c r="U24" i="3"/>
  <c r="U21" i="3" s="1"/>
  <c r="Q46" i="6"/>
  <c r="Q47" i="6"/>
  <c r="Q15" i="6"/>
  <c r="R18" i="6"/>
  <c r="M22" i="3" a="1"/>
  <c r="M22" i="3" s="1"/>
  <c r="Q22" i="3" a="1"/>
  <c r="Q22" i="3" s="1"/>
  <c r="P22" i="3" a="1"/>
  <c r="P22" i="3" s="1"/>
  <c r="K22" i="3" a="1"/>
  <c r="K22" i="3" s="1"/>
  <c r="J22" i="3" a="1"/>
  <c r="J22" i="3" s="1"/>
  <c r="T22" i="3" a="1"/>
  <c r="T22" i="3" s="1"/>
  <c r="U22" i="3" a="1"/>
  <c r="U22" i="3" s="1"/>
  <c r="N22" i="3" a="1"/>
  <c r="N22" i="3" s="1"/>
  <c r="R22" i="3" a="1"/>
  <c r="R22" i="3" s="1"/>
  <c r="R47" i="6" l="1"/>
  <c r="R15" i="6"/>
  <c r="S18" i="6"/>
  <c r="R46" i="6"/>
  <c r="S47" i="6" l="1"/>
  <c r="S15" i="6"/>
  <c r="T18" i="6"/>
  <c r="S46" i="6"/>
  <c r="U18" i="6" l="1"/>
  <c r="T15" i="6"/>
  <c r="U15" i="6" l="1"/>
  <c r="V18" i="6"/>
  <c r="V15" i="6" l="1"/>
  <c r="W18" i="6"/>
  <c r="W15" i="6" l="1"/>
  <c r="X18" i="6"/>
  <c r="X15" i="6" s="1"/>
</calcChain>
</file>

<file path=xl/comments1.xml><?xml version="1.0" encoding="utf-8"?>
<comments xmlns="http://schemas.openxmlformats.org/spreadsheetml/2006/main">
  <authors>
    <author/>
  </authors>
  <commentList>
    <comment ref="D3" authorId="0" shapeId="0">
      <text>
        <r>
          <rPr>
            <sz val="10"/>
            <color rgb="FF000000"/>
            <rFont val="Arial"/>
            <family val="2"/>
          </rPr>
          <t>Centor:
La estimación planeada.</t>
        </r>
      </text>
    </comment>
    <comment ref="D4" authorId="0" shapeId="0">
      <text>
        <r>
          <rPr>
            <sz val="10"/>
            <color rgb="FF000000"/>
            <rFont val="Arial"/>
            <family val="2"/>
          </rPr>
          <t>Centor:
Ingresar el número Sprint que se desea predecir.</t>
        </r>
      </text>
    </comment>
    <comment ref="B15" authorId="0" shapeId="0">
      <text>
        <r>
          <rPr>
            <sz val="10"/>
            <color rgb="FF000000"/>
            <rFont val="Arial"/>
            <family val="2"/>
          </rPr>
          <t>Average estimate * 0,6</t>
        </r>
      </text>
    </comment>
    <comment ref="B17" authorId="0" shapeId="0">
      <text>
        <r>
          <rPr>
            <sz val="10"/>
            <color rgb="FF000000"/>
            <rFont val="Arial"/>
            <family val="2"/>
          </rPr>
          <t>Average estimate * 1,6</t>
        </r>
      </text>
    </comment>
    <comment ref="B19" authorId="0" shapeId="0">
      <text>
        <r>
          <rPr>
            <sz val="10"/>
            <color rgb="FF000000"/>
            <rFont val="Arial"/>
            <family val="2"/>
          </rPr>
          <t>As of latest Product Backlog estimate</t>
        </r>
      </text>
    </comment>
  </commentList>
</comments>
</file>

<file path=xl/sharedStrings.xml><?xml version="1.0" encoding="utf-8"?>
<sst xmlns="http://schemas.openxmlformats.org/spreadsheetml/2006/main" count="344" uniqueCount="222">
  <si>
    <t>Daily Scrum:Alta de Usuario GroupM</t>
  </si>
  <si>
    <t>Semanas</t>
  </si>
  <si>
    <t xml:space="preserve">Medieval Brawler: Product Backlog </t>
  </si>
  <si>
    <t>Día</t>
  </si>
  <si>
    <t>Hora Inicio</t>
  </si>
  <si>
    <t>Hora Fin</t>
  </si>
  <si>
    <t>ID de la Historia</t>
  </si>
  <si>
    <t>Viernes 30/06</t>
  </si>
  <si>
    <t>Nombre de la Historia</t>
  </si>
  <si>
    <t>Connextra</t>
  </si>
  <si>
    <t>Gherkin</t>
  </si>
  <si>
    <t>Estado</t>
  </si>
  <si>
    <t>Cesar</t>
  </si>
  <si>
    <t>Ivan</t>
  </si>
  <si>
    <t>Mitchelli</t>
  </si>
  <si>
    <t>Seiji</t>
  </si>
  <si>
    <t>Gabriel</t>
  </si>
  <si>
    <t>Story points</t>
  </si>
  <si>
    <t>Sprint</t>
  </si>
  <si>
    <t>Importancia
(1-10)</t>
  </si>
  <si>
    <t>Total</t>
  </si>
  <si>
    <t>Completado</t>
  </si>
  <si>
    <t>Interactuar con la guía rápida de controles antes de empezar la partida</t>
  </si>
  <si>
    <t>Yo como jugador deseo poder ver la guía rápida de controles en la pantalla de inicio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</si>
  <si>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Interactuar con la guía rápida de controles antes de empezar la partida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ejecutado el juego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Tener un teclado conectado al pc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lee la guía rápida de controles y presiona space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Se cargará la pantalla de selección de personaje</t>
    </r>
  </si>
  <si>
    <t>Realizado</t>
  </si>
  <si>
    <t>Comenzar una partida</t>
  </si>
  <si>
    <t>Yo como jugador deseo 
poder iniciar un juego ya 
que es una 
funcionalidad necesaria para 
el comienzo y uso del juego en sí.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</si>
  <si>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Comenzar a jugar el nivel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configurado el personaje y nivel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Haber iniciado el juego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de clic en comenzar partida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Se mostrará el primer nivel del juego</t>
    </r>
  </si>
  <si>
    <t>Controlar a un personaje mediante 
las teclas predeterminadas</t>
  </si>
  <si>
    <t>Yo como jugador, deseo tomar 
control del personaje jugable, 
ya que así puedo interactuar 
con el juego y disfrutar de su jugabilidad.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</si>
  <si>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Usar controles para el juego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conectado un teclado a la pc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Haber iniciado el juego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de clic en “iniciar partida”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Se mostrará automáticamente la interfaz de jugabilidad donde el usuario puede mover con los controles al personaje del juego</t>
    </r>
  </si>
  <si>
    <t>Completar una partida</t>
  </si>
  <si>
    <t>Yo como jugador deseo que se pueda 
completar una partida al lograr el objetivo 
propuesto, ya que esto permite proseguir 
con el transcurso del juego, pasar al 
siguiente nivel y superar el actual.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</si>
  <si>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Completar una partida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comenzado un nivel      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haya completado todos los objetivos del nivel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 xml:space="preserve">: Interfaz de nivel completado con éxito y se invita al usuario a seguir con el siguiente
</t>
    </r>
  </si>
  <si>
    <t>Disparar proyectiles por el personaje</t>
  </si>
  <si>
    <t>Yo como jugador deseo poder realizar disparos de proyectiles a través de mi jugador ya que, este es el método mediante el cual se derrotan a los enemigos presentes, con lo que se logra avanzar al objetivo final de pasar el juego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</si>
  <si>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Disparar proyectiles hacia el enemigo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iniciado el juego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Haber empezado una partida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Haber configurado y conectado correctamente el teclado y mouse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apunte y presione space en medio de la partida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Saldrán bolas del arma a modo de disparos que bajarán vida al rival</t>
    </r>
  </si>
  <si>
    <t>Domingo 02/07</t>
  </si>
  <si>
    <t>Martes 04/07</t>
  </si>
  <si>
    <t>Jueves 06/07</t>
  </si>
  <si>
    <t>Sabado 08/07</t>
  </si>
  <si>
    <t>Lunes 10/07</t>
  </si>
  <si>
    <t>Dias de Implementación del Sprint</t>
  </si>
  <si>
    <t>Modo</t>
  </si>
  <si>
    <t>Días</t>
  </si>
  <si>
    <t>Duración (minutos)</t>
  </si>
  <si>
    <t>Esfuerzo</t>
  </si>
  <si>
    <t>Dias Restantes</t>
  </si>
  <si>
    <t>Dias calculados basado en el último Sprint</t>
  </si>
  <si>
    <t>Dias</t>
  </si>
  <si>
    <t>Totales</t>
  </si>
  <si>
    <t>Presencial (casa del Scrum Master)</t>
  </si>
  <si>
    <t>Los escenarios presentan cobertura/obstáculos</t>
  </si>
  <si>
    <t>Yo como jugador deseo poder utilizar los objetos como cobertura ya que me permite tener una ventaja interactiva en el juego.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</si>
  <si>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Escenarios presentan coberturas y/o obstáculos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>: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el usuario ha entrado ha iniciado un juego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el mapa seleccionado cuenta con obstáculos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>: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el jugador se sitúa al lado de un obstáculo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se mostrará un drop-down con los datos de la función</t>
    </r>
  </si>
  <si>
    <t>Fin de Semana</t>
  </si>
  <si>
    <t>Los escenarios presentan enemigos</t>
  </si>
  <si>
    <t>Skype (online)</t>
  </si>
  <si>
    <t>Dia de Semana</t>
  </si>
  <si>
    <t>Yo como jugador , deseo que existan enemigos pues estos son una parte fundamental de la funcionalidad del juego, y sin una oposición seria y desafiante, la aplicación pierde bastante de su atractivo.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</si>
  <si>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Los escenarios presentan enemigos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El usuario ha iniciado una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juego inicie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El mapa contara con enemigos</t>
    </r>
  </si>
  <si>
    <t>Planeado</t>
  </si>
  <si>
    <t>Los enemigos son destruidos por disparos</t>
  </si>
  <si>
    <t>Yo como jugador deseo que los disparos de proyectiles puedan hacer daño y eliminar a los enemigos para poder continuar con el juego.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</si>
  <si>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Los enemigos son destruidos por disparos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El usuario ha iniciado una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Un proyectil disparado por el jugador impacte a un enemigo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El enemigo sera destruido-desaparecera del mapa</t>
    </r>
  </si>
  <si>
    <t>Los enemigos disparan contra el jugador</t>
  </si>
  <si>
    <t>Yo Como jugador deseo que los enemigos puedan disparar proyectiles hacia mi ya que espero un reto del juego lo que aumenta el atractivo de este.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</si>
  <si>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Los enemigos disparan contra el jugador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El usuario ha iniciado una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juego inicie y los enemigos tegan una vista sobre el jugador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Los enemigos dispararan proyectiles al jugador</t>
    </r>
  </si>
  <si>
    <t>Las banderas son obtenidas al contacto</t>
  </si>
  <si>
    <t>Yo como jugador deseo que al momento de tocar la bandera, esta misma sea obtenida por mi personaje, ya que esto me permite alcanzar el objetivo del juego.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</si>
  <si>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Las banderas son obtenidas al contacto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El usuario ha iniciado una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jugador pase por encima de una bandera
   </t>
    </r>
    <r>
      <rPr>
        <b/>
        <sz val="10"/>
        <rFont val="Arial"/>
        <family val="2"/>
      </rPr>
      <t xml:space="preserve"> Then</t>
    </r>
    <r>
      <rPr>
        <sz val="10"/>
        <color rgb="FF000000"/>
        <rFont val="Arial"/>
        <family val="2"/>
      </rPr>
      <t>: El jugador habrá culminado el escenario</t>
    </r>
  </si>
  <si>
    <t>Plan de la Lanzamiento</t>
  </si>
  <si>
    <t>Completar juego</t>
  </si>
  <si>
    <t>Inicio</t>
  </si>
  <si>
    <t>Yo como jugador deseo que al momento de terminar todas las partidas, salga el mensaje de juego completado, ya que esto me indica que pude acabar con todas las dificultades</t>
  </si>
  <si>
    <t>Fin</t>
  </si>
  <si>
    <t>Tamaño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</si>
  <si>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Completar juego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El usuario se encuentra en el último escenario de la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captura la última bandera
   </t>
    </r>
    <r>
      <rPr>
        <b/>
        <sz val="10"/>
        <rFont val="Arial"/>
        <family val="2"/>
      </rPr>
      <t xml:space="preserve"> Then</t>
    </r>
    <r>
      <rPr>
        <sz val="10"/>
        <color rgb="FF000000"/>
        <rFont val="Arial"/>
        <family val="2"/>
      </rPr>
      <t>: Se completa el juego y sale el mensaje de 'game completed'</t>
    </r>
  </si>
  <si>
    <t>Fecha de Lanzamiento</t>
  </si>
  <si>
    <t>Objetivo</t>
  </si>
  <si>
    <t>Task rows</t>
  </si>
  <si>
    <t>Seleccionar personaje</t>
  </si>
  <si>
    <t>Yo como jugador deseo poder seleccionar un personaje, ya que deseo poder entrar al juego con el personaje de mi eleccion.</t>
  </si>
  <si>
    <t>Terminado</t>
  </si>
  <si>
    <t>Loguearse con cuenta de Facebook y Jugar Damasking en modo single player sin preguntas.</t>
  </si>
  <si>
    <t>Done days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</si>
  <si>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Seleccionar un personaje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iniciado el juego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haga clic en el personaje que desee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Se mostrará el nombre del personaje elegido</t>
    </r>
  </si>
  <si>
    <t>Integrar el juego con el logueo de facebook, jugar Damasking en modo single player con preguntas y Registrar preguntas y alternativas múltiples por categoría.</t>
  </si>
  <si>
    <t>Salir del juego</t>
  </si>
  <si>
    <t>Yo como jugador deseo poder salir del juego en cualquier instancia del juego ya que deseo poder tener la opción de dejar de jugar cuando lo desee.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</si>
  <si>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Salir del juego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Desear salir del juego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haga presiona la tecla ESC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El juego finalizará y la ventana sera cerrada</t>
    </r>
  </si>
  <si>
    <t>Historias sin asignar</t>
  </si>
  <si>
    <t>Correcciones del Entregable 2</t>
  </si>
  <si>
    <t>Yo como alumno deseo visualizar las correcciones ya realizadas para dar por levantadas las observaciones indicadas en la presentacion del entregable 2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</si>
  <si>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Correcciones del Entregable 2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Estar en fecha de entregable 3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grupo deba presentar el trabajo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El trabajo tenga levantadas las observaciones del entregable 2</t>
    </r>
  </si>
  <si>
    <t>Dias Planeados</t>
  </si>
  <si>
    <t>Realizar diagrama de despliegue</t>
  </si>
  <si>
    <t>Yo como product owner deseo visualizar el diagrama de despliegue ya que me permite identificar componentes y sus relaciones</t>
  </si>
  <si>
    <t xml:space="preserve"> Scenario: Realizar diagrama de despligue
    Given: Estar en fecha de entregable 4
    When: El grupo deba presentar el trabajo
    Then: Presentar diagrama de despliegue terminado</t>
  </si>
  <si>
    <t>Correcciones del Entregable 3</t>
  </si>
  <si>
    <t>Yo como alumno deseo visualizar las correcciones ya realizadas para dar por levantadas las observaciones indicadas en la presentacion del entregable 3</t>
  </si>
  <si>
    <t xml:space="preserve"> Scenario: Correcciones del Entregable 3
    Given: Estar en fecha de entregable 4
    When: El grupo deba presentar el trabajo
    Then: El trabajo tenga levantadas las observaciones del entregable 3</t>
  </si>
  <si>
    <t>Realizar el mapeo del juego</t>
  </si>
  <si>
    <t>yo como programador deseo tener el mapa con el grid establecido, que me permitira insertar obstaculos y representar el agua correctamente</t>
  </si>
  <si>
    <t>Scenario: Relizar el mapeo del juego
  Given: El programador ha seleccionado un mapa
  When: Se inicie el mapa
  Then: Se pueda representar el grid del y usarlo para seguir con la construccion de este</t>
  </si>
  <si>
    <t>Correcciones del Entregable 4</t>
  </si>
  <si>
    <t>Yo como alumno deseo visualizar las correcciones ya realizadas para dar por levantadas las observaciones indicadas en la presentacion del entregable 4</t>
  </si>
  <si>
    <t>Scenario: Correcciones del Entregable 4
  Given: Estar en fecha de entregable 5
  When: El grupo deba presentar el trabajo
  Then: El trabajo tenga levantadas las observaciones del entregable 4</t>
  </si>
  <si>
    <t>Porcentaje completado</t>
  </si>
  <si>
    <t>Trend</t>
  </si>
  <si>
    <t>1 dia = 5 horas</t>
  </si>
  <si>
    <t>SPRINT PLANNING CHART</t>
  </si>
  <si>
    <t>Integrantes:</t>
  </si>
  <si>
    <t>Rol</t>
  </si>
  <si>
    <t>Dias Disponibles para el presente Sprint</t>
  </si>
  <si>
    <t>Historia de Usuario</t>
  </si>
  <si>
    <t>Puntos Historia de Usuario</t>
  </si>
  <si>
    <t>Tiempo Estimado (Semanas)</t>
  </si>
  <si>
    <t>Tiempo Estimado (Dias)</t>
  </si>
  <si>
    <t>Tiempo Estimado (Horas)</t>
  </si>
  <si>
    <t>Ivan Palomares</t>
  </si>
  <si>
    <t>(Scrum Master)</t>
  </si>
  <si>
    <t>Realease Burndown Chart</t>
  </si>
  <si>
    <t>Tamaño original planeado</t>
  </si>
  <si>
    <t>Sprint count</t>
  </si>
  <si>
    <t>Count trend from last</t>
  </si>
  <si>
    <t>sprints</t>
  </si>
  <si>
    <t>Trend sprint count</t>
  </si>
  <si>
    <t>Cesar Del Castillo</t>
  </si>
  <si>
    <t>(Scrum Team)</t>
  </si>
  <si>
    <t>Trend offset</t>
  </si>
  <si>
    <t>Mitchelli Murgueytio</t>
  </si>
  <si>
    <t>Seiji Fujii</t>
  </si>
  <si>
    <t>Velocidad (puntos por Sprint)</t>
  </si>
  <si>
    <t>Sprints in Trend</t>
  </si>
  <si>
    <t>Estimación Original</t>
  </si>
  <si>
    <t>Gabriel Garaycochea</t>
  </si>
  <si>
    <t>Promedio total realizado</t>
  </si>
  <si>
    <t>Trend count</t>
  </si>
  <si>
    <t>Promedio de los ultimos 8</t>
  </si>
  <si>
    <t>Avg. worst 3 in last 8</t>
  </si>
  <si>
    <t>Tendencia</t>
  </si>
  <si>
    <t>These hidden cells are used to draw the graph on this page. DO NOT DELETE!</t>
  </si>
  <si>
    <t>Predicciones- Completar al finalizar cada Sprint</t>
  </si>
  <si>
    <t>Estimación Original - Min</t>
  </si>
  <si>
    <t>Estimación Original - Avg</t>
  </si>
  <si>
    <t>Estimación Original - Max</t>
  </si>
  <si>
    <t>Standard Dev.</t>
  </si>
  <si>
    <t>Promedio realizado</t>
  </si>
  <si>
    <t>LastPlanned</t>
  </si>
  <si>
    <t>LastRealized</t>
  </si>
  <si>
    <t>Realized + St. Dev</t>
  </si>
  <si>
    <t>Realized - St. Dev</t>
  </si>
  <si>
    <t>Average Speeds</t>
  </si>
  <si>
    <t>Trabajo Restante</t>
  </si>
  <si>
    <t>Trabajo Planeado</t>
  </si>
  <si>
    <t>Trabajo Realizado</t>
  </si>
  <si>
    <t>Tamaño Total Actual</t>
  </si>
  <si>
    <t>Col top</t>
  </si>
  <si>
    <t>Do not delete…</t>
  </si>
  <si>
    <t>Col bottom</t>
  </si>
  <si>
    <t>Trend Help</t>
  </si>
  <si>
    <t>Raw Trend</t>
  </si>
  <si>
    <t>Real Trend</t>
  </si>
  <si>
    <t>Current Bottom</t>
  </si>
  <si>
    <t>Realized</t>
  </si>
  <si>
    <t>Last 8</t>
  </si>
  <si>
    <t>Worst 3 in Last 8</t>
  </si>
  <si>
    <t>Dias Restantes de Implementación …</t>
  </si>
  <si>
    <t>Warning! These are necessary</t>
  </si>
  <si>
    <t>Trend Days</t>
  </si>
  <si>
    <t>Item</t>
  </si>
  <si>
    <t>Nombre de la Tarea</t>
  </si>
  <si>
    <t>ID Historia</t>
  </si>
  <si>
    <t>Responsable</t>
  </si>
  <si>
    <t>Est. (en horas)</t>
  </si>
  <si>
    <t>Done</t>
  </si>
  <si>
    <t>-</t>
  </si>
  <si>
    <t>template rows</t>
  </si>
  <si>
    <t>Est. (Horas)</t>
  </si>
  <si>
    <t>Codificación de ingreso al sistema</t>
  </si>
  <si>
    <t>Luis</t>
  </si>
  <si>
    <t>Diseño de la Base de datos (hasta logueo)</t>
  </si>
  <si>
    <t>Carlos</t>
  </si>
  <si>
    <t>Documentación de logueo</t>
  </si>
  <si>
    <t>Ricardo</t>
  </si>
  <si>
    <t>Pruebas de logueo</t>
  </si>
  <si>
    <t>Angelo</t>
  </si>
  <si>
    <t>Diseño de la Interfaz de logueo</t>
  </si>
  <si>
    <t>Andrea</t>
  </si>
  <si>
    <t>Codificación del juego Damasking sin preguntas</t>
  </si>
  <si>
    <t>Daniel</t>
  </si>
  <si>
    <t>Codificación de sonido del juego Damasking sin preguntas</t>
  </si>
  <si>
    <t>Diseño de la interfaz de Damasking</t>
  </si>
  <si>
    <t>Diseño de la Base de datos (hasta damasking)</t>
  </si>
  <si>
    <t>Pruebas de Damasking</t>
  </si>
  <si>
    <t>Documentación de Damasking</t>
  </si>
  <si>
    <t>Agregar HighScores</t>
  </si>
  <si>
    <t>Yo como jugador deseo poder visualizar mi puntaje respecto a lo avanzado en el juego para así poder competir contra otros jugadores y ser el mejor</t>
  </si>
  <si>
    <t>Scenario: Agregar HighScores
Given: El jugado ha empezado una partida
When: El jugador pierde la partida
Then: Se muestra la interfaz de HighScore como el ranking de jugadores con mayor puntaje obtenido</t>
  </si>
  <si>
    <t>Agregar enemigos a escenarios</t>
  </si>
  <si>
    <t>Hacer que los enemigos se muevan</t>
  </si>
  <si>
    <t>Hacer que los enemigos disparen</t>
  </si>
  <si>
    <t>El enemigo es detruido cuando le cae el disparo</t>
  </si>
  <si>
    <t>Mejora del IA del enemigo</t>
  </si>
  <si>
    <t>Agregar HighScore por usuario y partida</t>
  </si>
  <si>
    <t>Mejorar el backend para que actualice scores</t>
  </si>
  <si>
    <t>Definir interfaz de HighScore</t>
  </si>
  <si>
    <t>Hacer Pruebas unitarias</t>
  </si>
  <si>
    <t>Hacer prueba ciclomática</t>
  </si>
  <si>
    <t>Hacer del código ejecutable con PyInstaller</t>
  </si>
  <si>
    <t>Puntuar zonas del mapa donde aparecerán los enemigos</t>
  </si>
  <si>
    <t>Definir punto de salida del enemigo aleatoriamente</t>
  </si>
  <si>
    <t>Refactoring</t>
  </si>
  <si>
    <t>Correcciones del Entregable 5</t>
  </si>
  <si>
    <t>Yo como alumno deseo visualizar las correcciones ya realizadas para dar por levantadas las observaciones indicadas en la presentacion del entregable 5</t>
  </si>
  <si>
    <t>Scenario: Correcciones del Entregable 5
  Given: Estar en fecha de entregable 6
  When: El grupo deba presentar el trabajo
  Then: El trabajo tenga levantadas las observaciones del entregable 5</t>
  </si>
  <si>
    <t>Crear ejecutable</t>
  </si>
  <si>
    <t>Yo como jugador deseo ejecutar la aplicación para poder jugar en cualquier computador sin necesidad de un IDE</t>
  </si>
  <si>
    <t>Scenario: Ejecutar desde instalador
  Given: Ejecutable creado
  When: El jugador ejecuta __ini__
  Then: Se ejecuta el juego</t>
  </si>
  <si>
    <t>Realizar correcciones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</si>
</sst>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\ _m_k_-;\-* #,##0\ _m_k_-;_-* &quot;-&quot;??\ _m_k_-;_-@"/>
    <numFmt numFmtId="165" formatCode="&quot;Sprint &quot;#&quot; Backlog&quot;"/>
    <numFmt numFmtId="166" formatCode="0.0"/>
    <numFmt numFmtId="167" formatCode="&quot;Last &quot;###&quot; sprints&quot;"/>
    <numFmt numFmtId="168" formatCode="d/m/yyyy"/>
  </numFmts>
  <fonts count="12">
    <font>
      <sz val="10"/>
      <color rgb="FF00000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color rgb="FF000000"/>
      <name val="Inconsolata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i/>
      <sz val="10"/>
      <color rgb="FF0000FF"/>
      <name val="Arial"/>
      <family val="2"/>
    </font>
    <font>
      <sz val="10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FFCC99"/>
        <bgColor rgb="FFFFCC99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A9D08E"/>
        <bgColor rgb="FFA9D08E"/>
      </patternFill>
    </fill>
    <fill>
      <patternFill patternType="solid">
        <fgColor rgb="FF99CC00"/>
        <bgColor rgb="FF99CC00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CCC0D9"/>
        <bgColor rgb="FFCCC0D9"/>
      </patternFill>
    </fill>
    <fill>
      <patternFill patternType="solid">
        <fgColor rgb="FFC4BD97"/>
        <bgColor rgb="FFC4BD97"/>
      </patternFill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DDD9C3"/>
        <bgColor rgb="FFDDD9C3"/>
      </patternFill>
    </fill>
    <fill>
      <patternFill patternType="solid">
        <fgColor rgb="FFD6E3BC"/>
        <bgColor rgb="FFD6E3BC"/>
      </patternFill>
    </fill>
    <fill>
      <patternFill patternType="solid">
        <fgColor rgb="FFE5B8B7"/>
        <bgColor rgb="FFE5B8B7"/>
      </patternFill>
    </fill>
    <fill>
      <patternFill patternType="solid">
        <fgColor theme="9" tint="0.39997558519241921"/>
        <bgColor rgb="FF8E7CC3"/>
      </patternFill>
    </fill>
    <fill>
      <patternFill patternType="solid">
        <fgColor rgb="FFFF5050"/>
        <bgColor indexed="64"/>
      </patternFill>
    </fill>
    <fill>
      <patternFill patternType="solid">
        <fgColor rgb="FFFF5050"/>
        <bgColor rgb="FFFFFFFF"/>
      </patternFill>
    </fill>
    <fill>
      <patternFill patternType="solid">
        <fgColor rgb="FFFF5050"/>
        <bgColor rgb="FFA9D08E"/>
      </patternFill>
    </fill>
    <fill>
      <patternFill patternType="solid">
        <fgColor rgb="FFFF5050"/>
        <bgColor rgb="FF8E7CC3"/>
      </patternFill>
    </fill>
    <fill>
      <patternFill patternType="solid">
        <fgColor rgb="FFFF5050"/>
        <bgColor rgb="FF93C47D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7" borderId="1" xfId="0" applyFont="1" applyFill="1" applyBorder="1" applyAlignment="1">
      <alignment horizontal="center" vertical="center"/>
    </xf>
    <xf numFmtId="0" fontId="7" fillId="0" borderId="0" xfId="0" applyFont="1"/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5" fillId="7" borderId="3" xfId="0" applyFont="1" applyFill="1" applyBorder="1" applyAlignment="1">
      <alignment horizontal="center" vertical="center" wrapText="1"/>
    </xf>
    <xf numFmtId="18" fontId="1" fillId="0" borderId="1" xfId="0" applyNumberFormat="1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8" fontId="1" fillId="0" borderId="0" xfId="0" applyNumberFormat="1" applyFont="1" applyAlignment="1"/>
    <xf numFmtId="0" fontId="3" fillId="3" borderId="6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/>
    <xf numFmtId="164" fontId="1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1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/>
    <xf numFmtId="164" fontId="1" fillId="4" borderId="1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1" fillId="5" borderId="0" xfId="0" applyFont="1" applyFill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/>
    </xf>
    <xf numFmtId="9" fontId="8" fillId="0" borderId="0" xfId="0" applyNumberFormat="1" applyFont="1" applyAlignment="1">
      <alignment horizontal="right"/>
    </xf>
    <xf numFmtId="0" fontId="3" fillId="0" borderId="0" xfId="0" applyFont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vertical="center"/>
    </xf>
    <xf numFmtId="0" fontId="1" fillId="13" borderId="6" xfId="0" applyFont="1" applyFill="1" applyBorder="1" applyAlignment="1"/>
    <xf numFmtId="16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0" fillId="0" borderId="0" xfId="0" applyFont="1" applyAlignment="1"/>
    <xf numFmtId="0" fontId="1" fillId="0" borderId="11" xfId="0" applyFont="1" applyBorder="1" applyAlignment="1">
      <alignment vertical="center" wrapText="1"/>
    </xf>
    <xf numFmtId="2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7" fontId="1" fillId="0" borderId="0" xfId="0" applyNumberFormat="1" applyFont="1" applyAlignment="1"/>
    <xf numFmtId="2" fontId="3" fillId="0" borderId="1" xfId="0" applyNumberFormat="1" applyFont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166" fontId="1" fillId="13" borderId="6" xfId="0" applyNumberFormat="1" applyFont="1" applyFill="1" applyBorder="1" applyAlignme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vertical="center"/>
    </xf>
    <xf numFmtId="1" fontId="1" fillId="13" borderId="6" xfId="0" applyNumberFormat="1" applyFont="1" applyFill="1" applyBorder="1" applyAlignment="1"/>
    <xf numFmtId="17" fontId="1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3" fillId="3" borderId="6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wrapText="1"/>
    </xf>
    <xf numFmtId="0" fontId="3" fillId="3" borderId="15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3" borderId="6" xfId="0" applyFont="1" applyFill="1" applyBorder="1" applyAlignment="1">
      <alignment horizontal="left" wrapText="1"/>
    </xf>
    <xf numFmtId="0" fontId="1" fillId="13" borderId="6" xfId="0" applyFont="1" applyFill="1" applyBorder="1" applyAlignment="1">
      <alignment horizontal="center"/>
    </xf>
    <xf numFmtId="166" fontId="1" fillId="0" borderId="0" xfId="0" applyNumberFormat="1" applyFont="1" applyAlignment="1"/>
    <xf numFmtId="0" fontId="1" fillId="0" borderId="0" xfId="0" applyFont="1" applyAlignment="1">
      <alignment vertical="top" wrapText="1"/>
    </xf>
    <xf numFmtId="165" fontId="2" fillId="0" borderId="0" xfId="0" applyNumberFormat="1" applyFont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9" fillId="0" borderId="1" xfId="0" applyFont="1" applyBorder="1" applyAlignment="1">
      <alignment wrapText="1"/>
    </xf>
    <xf numFmtId="0" fontId="3" fillId="3" borderId="6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14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8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6" fillId="9" borderId="0" xfId="0" applyFont="1" applyFill="1"/>
    <xf numFmtId="0" fontId="3" fillId="3" borderId="1" xfId="0" applyFont="1" applyFill="1" applyBorder="1" applyAlignment="1">
      <alignment horizontal="center" vertical="top"/>
    </xf>
    <xf numFmtId="0" fontId="8" fillId="11" borderId="0" xfId="0" applyFont="1" applyFill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164" fontId="8" fillId="11" borderId="1" xfId="0" applyNumberFormat="1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7" fillId="0" borderId="4" xfId="0" applyFont="1" applyBorder="1"/>
    <xf numFmtId="0" fontId="7" fillId="0" borderId="5" xfId="0" applyFont="1" applyBorder="1"/>
    <xf numFmtId="0" fontId="1" fillId="0" borderId="7" xfId="0" applyFont="1" applyBorder="1" applyAlignment="1">
      <alignment horizontal="center" vertical="center"/>
    </xf>
    <xf numFmtId="0" fontId="7" fillId="0" borderId="3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7" fontId="1" fillId="0" borderId="0" xfId="0" applyNumberFormat="1" applyFont="1" applyAlignment="1">
      <alignment horizontal="left"/>
    </xf>
    <xf numFmtId="0" fontId="11" fillId="3" borderId="13" xfId="0" applyFont="1" applyFill="1" applyBorder="1" applyAlignment="1">
      <alignment horizontal="center" wrapText="1"/>
    </xf>
    <xf numFmtId="0" fontId="7" fillId="0" borderId="14" xfId="0" applyFont="1" applyBorder="1"/>
    <xf numFmtId="0" fontId="3" fillId="3" borderId="13" xfId="0" applyFont="1" applyFill="1" applyBorder="1" applyAlignment="1">
      <alignment horizontal="center" wrapText="1"/>
    </xf>
    <xf numFmtId="0" fontId="1" fillId="26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 wrapText="1"/>
    </xf>
    <xf numFmtId="0" fontId="5" fillId="26" borderId="3" xfId="0" applyFont="1" applyFill="1" applyBorder="1" applyAlignment="1">
      <alignment horizontal="center" vertical="center" wrapText="1"/>
    </xf>
    <xf numFmtId="164" fontId="1" fillId="26" borderId="1" xfId="0" applyNumberFormat="1" applyFont="1" applyFill="1" applyBorder="1" applyAlignment="1">
      <alignment horizontal="center" vertical="center"/>
    </xf>
    <xf numFmtId="0" fontId="8" fillId="11" borderId="14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5" fillId="25" borderId="2" xfId="0" applyFont="1" applyFill="1" applyBorder="1" applyAlignment="1">
      <alignment horizontal="center" vertical="center" wrapText="1"/>
    </xf>
    <xf numFmtId="164" fontId="8" fillId="11" borderId="2" xfId="0" applyNumberFormat="1" applyFont="1" applyFill="1" applyBorder="1" applyAlignment="1">
      <alignment horizontal="center" vertical="center"/>
    </xf>
    <xf numFmtId="0" fontId="8" fillId="28" borderId="16" xfId="0" applyFont="1" applyFill="1" applyBorder="1" applyAlignment="1">
      <alignment horizontal="center" vertical="center"/>
    </xf>
    <xf numFmtId="0" fontId="5" fillId="29" borderId="16" xfId="0" applyFont="1" applyFill="1" applyBorder="1" applyAlignment="1">
      <alignment horizontal="center" vertical="center" wrapText="1"/>
    </xf>
    <xf numFmtId="0" fontId="1" fillId="30" borderId="16" xfId="0" applyFont="1" applyFill="1" applyBorder="1" applyAlignment="1">
      <alignment horizontal="center" vertical="center"/>
    </xf>
    <xf numFmtId="0" fontId="6" fillId="30" borderId="16" xfId="0" applyFont="1" applyFill="1" applyBorder="1"/>
    <xf numFmtId="0" fontId="3" fillId="3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27" borderId="7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6" fillId="4" borderId="16" xfId="0" applyFont="1" applyFill="1" applyBorder="1"/>
    <xf numFmtId="0" fontId="6" fillId="6" borderId="16" xfId="0" applyFont="1" applyFill="1" applyBorder="1"/>
    <xf numFmtId="0" fontId="6" fillId="8" borderId="16" xfId="0" applyFont="1" applyFill="1" applyBorder="1"/>
    <xf numFmtId="0" fontId="6" fillId="27" borderId="16" xfId="0" applyFont="1" applyFill="1" applyBorder="1"/>
    <xf numFmtId="0" fontId="6" fillId="10" borderId="16" xfId="0" applyFont="1" applyFill="1" applyBorder="1"/>
    <xf numFmtId="0" fontId="6" fillId="5" borderId="16" xfId="0" applyFont="1" applyFill="1" applyBorder="1"/>
    <xf numFmtId="0" fontId="8" fillId="28" borderId="14" xfId="0" applyFont="1" applyFill="1" applyBorder="1" applyAlignment="1">
      <alignment horizontal="center" vertical="center"/>
    </xf>
    <xf numFmtId="0" fontId="8" fillId="28" borderId="2" xfId="0" applyFont="1" applyFill="1" applyBorder="1" applyAlignment="1">
      <alignment horizontal="center" vertical="center"/>
    </xf>
    <xf numFmtId="0" fontId="1" fillId="29" borderId="2" xfId="0" applyFont="1" applyFill="1" applyBorder="1" applyAlignment="1">
      <alignment horizontal="center" vertical="center" wrapText="1"/>
    </xf>
    <xf numFmtId="164" fontId="8" fillId="28" borderId="2" xfId="0" applyNumberFormat="1" applyFont="1" applyFill="1" applyBorder="1" applyAlignment="1">
      <alignment horizontal="center" vertical="center"/>
    </xf>
    <xf numFmtId="0" fontId="1" fillId="3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7" fillId="0" borderId="11" xfId="0" applyFont="1" applyBorder="1"/>
    <xf numFmtId="0" fontId="3" fillId="1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2" fontId="3" fillId="0" borderId="5" xfId="0" applyNumberFormat="1" applyFont="1" applyBorder="1" applyAlignment="1">
      <alignment vertical="center"/>
    </xf>
    <xf numFmtId="166" fontId="3" fillId="0" borderId="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2" fontId="1" fillId="0" borderId="16" xfId="0" applyNumberFormat="1" applyFont="1" applyBorder="1" applyAlignment="1">
      <alignment vertical="center"/>
    </xf>
    <xf numFmtId="166" fontId="1" fillId="0" borderId="16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6" xfId="0" applyFont="1" applyFill="1" applyBorder="1" applyAlignment="1">
      <alignment vertical="center" wrapText="1"/>
    </xf>
  </cellXfs>
  <cellStyles count="1">
    <cellStyle name="Normal" xfId="0" builtinId="0"/>
  </cellStyles>
  <dxfs count="445"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</dxfs>
  <tableStyles count="0" defaultTableStyle="TableStyleMedium2" defaultPivotStyle="PivotStyleLight16"/>
  <colors>
    <mruColors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s-PE"/>
              <a:t>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19050" cmpd="sng">
              <a:solidFill>
                <a:srgbClr val="3366CC"/>
              </a:solidFill>
              <a:prstDash val="solid"/>
            </a:ln>
          </c:spPr>
          <c:marker>
            <c:symbol val="none"/>
          </c:marker>
          <c:val>
            <c:numRef>
              <c:f>Sprint_Backlog_Burdown_Chart!$G$21:$U$21</c:f>
              <c:numCache>
                <c:formatCode>General</c:formatCode>
                <c:ptCount val="15"/>
                <c:pt idx="0">
                  <c:v>63</c:v>
                </c:pt>
                <c:pt idx="1">
                  <c:v>58.5</c:v>
                </c:pt>
                <c:pt idx="2">
                  <c:v>54</c:v>
                </c:pt>
                <c:pt idx="3">
                  <c:v>49.5</c:v>
                </c:pt>
                <c:pt idx="4">
                  <c:v>45</c:v>
                </c:pt>
                <c:pt idx="5">
                  <c:v>40.5</c:v>
                </c:pt>
                <c:pt idx="6">
                  <c:v>36</c:v>
                </c:pt>
                <c:pt idx="7">
                  <c:v>31.5</c:v>
                </c:pt>
                <c:pt idx="8">
                  <c:v>27</c:v>
                </c:pt>
                <c:pt idx="9">
                  <c:v>22.5</c:v>
                </c:pt>
                <c:pt idx="10">
                  <c:v>18</c:v>
                </c:pt>
                <c:pt idx="11">
                  <c:v>13.5</c:v>
                </c:pt>
                <c:pt idx="12">
                  <c:v>9</c:v>
                </c:pt>
                <c:pt idx="13">
                  <c:v>4.5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5-4F2E-BF50-0C1F93095E6E}"/>
            </c:ext>
          </c:extLst>
        </c:ser>
        <c:ser>
          <c:idx val="1"/>
          <c:order val="1"/>
          <c:spPr>
            <a:ln w="19050" cmpd="sng">
              <a:solidFill>
                <a:srgbClr val="DC3912"/>
              </a:solidFill>
              <a:prstDash val="solid"/>
            </a:ln>
          </c:spPr>
          <c:marker>
            <c:symbol val="none"/>
          </c:marker>
          <c:val>
            <c:numRef>
              <c:f>Sprint_Backlog_Burdown_Chart!$G$22:$U$22</c:f>
              <c:numCache>
                <c:formatCode>General</c:formatCode>
                <c:ptCount val="15"/>
                <c:pt idx="0">
                  <c:v>0.85714285714285821</c:v>
                </c:pt>
                <c:pt idx="1">
                  <c:v>1.5824175824175832</c:v>
                </c:pt>
                <c:pt idx="2">
                  <c:v>2.3076923076923084</c:v>
                </c:pt>
                <c:pt idx="3">
                  <c:v>3.0329670329670333</c:v>
                </c:pt>
                <c:pt idx="4">
                  <c:v>3.7582417582417582</c:v>
                </c:pt>
                <c:pt idx="5">
                  <c:v>4.4835164835164836</c:v>
                </c:pt>
                <c:pt idx="6">
                  <c:v>5.208791208791208</c:v>
                </c:pt>
                <c:pt idx="7">
                  <c:v>5.9340659340659334</c:v>
                </c:pt>
                <c:pt idx="8">
                  <c:v>6.6593406593406588</c:v>
                </c:pt>
                <c:pt idx="9">
                  <c:v>7.3846153846153832</c:v>
                </c:pt>
                <c:pt idx="10">
                  <c:v>8.1098901098901095</c:v>
                </c:pt>
                <c:pt idx="11">
                  <c:v>8.835164835164834</c:v>
                </c:pt>
                <c:pt idx="12">
                  <c:v>9.5604395604395584</c:v>
                </c:pt>
                <c:pt idx="13">
                  <c:v>10.285714285714283</c:v>
                </c:pt>
                <c:pt idx="14">
                  <c:v>11.010989010989009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15-4F2E-BF50-0C1F93095E6E}"/>
            </c:ext>
          </c:extLst>
        </c:ser>
        <c:ser>
          <c:idx val="2"/>
          <c:order val="2"/>
          <c:spPr>
            <a:ln w="19050" cmpd="sng">
              <a:solidFill>
                <a:srgbClr val="FF9900"/>
              </a:solidFill>
              <a:prstDash val="solid"/>
            </a:ln>
          </c:spPr>
          <c:marker>
            <c:symbol val="none"/>
          </c:marker>
          <c:val>
            <c:numRef>
              <c:f>Sprint_Backlog_Burdown_Chart!$G$20:$U$20</c:f>
              <c:numCache>
                <c:formatCode>General</c:formatCode>
                <c:ptCount val="15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11</c:v>
                </c:pt>
                <c:pt idx="13">
                  <c:v>12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15-4F2E-BF50-0C1F93095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041640"/>
        <c:axId val="447036544"/>
      </c:lineChart>
      <c:catAx>
        <c:axId val="447041640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 i="0"/>
            </a:pPr>
            <a:endParaRPr lang="en-US"/>
          </a:p>
        </c:txPr>
        <c:crossAx val="447036544"/>
        <c:crosses val="autoZero"/>
        <c:auto val="1"/>
        <c:lblAlgn val="ctr"/>
        <c:lblOffset val="100"/>
        <c:noMultiLvlLbl val="1"/>
      </c:catAx>
      <c:valAx>
        <c:axId val="44703654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</a:defRPr>
                </a:pPr>
                <a:r>
                  <a:rPr lang="es-PE"/>
                  <a:t>Trabajo Restante (h)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1" i="0"/>
            </a:pPr>
            <a:endParaRPr lang="en-US"/>
          </a:p>
        </c:txPr>
        <c:crossAx val="447041640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900" b="0" i="0">
                <a:solidFill>
                  <a:srgbClr val="000000"/>
                </a:solidFill>
              </a:defRPr>
            </a:pPr>
            <a:r>
              <a:t>Sprint Burdwon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9525" cmpd="sng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Backlog'!$F$15:$S$15</c:f>
              <c:numCache>
                <c:formatCode>General</c:formatCode>
                <c:ptCount val="14"/>
                <c:pt idx="0">
                  <c:v>63</c:v>
                </c:pt>
                <c:pt idx="1">
                  <c:v>58.5</c:v>
                </c:pt>
                <c:pt idx="2">
                  <c:v>54</c:v>
                </c:pt>
                <c:pt idx="3">
                  <c:v>49.5</c:v>
                </c:pt>
                <c:pt idx="4">
                  <c:v>45</c:v>
                </c:pt>
                <c:pt idx="5">
                  <c:v>40.5</c:v>
                </c:pt>
                <c:pt idx="6">
                  <c:v>36</c:v>
                </c:pt>
                <c:pt idx="7">
                  <c:v>31.5</c:v>
                </c:pt>
                <c:pt idx="8">
                  <c:v>27</c:v>
                </c:pt>
                <c:pt idx="9">
                  <c:v>22.5</c:v>
                </c:pt>
                <c:pt idx="10">
                  <c:v>18</c:v>
                </c:pt>
                <c:pt idx="11">
                  <c:v>13.5</c:v>
                </c:pt>
                <c:pt idx="12">
                  <c:v>9</c:v>
                </c:pt>
                <c:pt idx="13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A3-4D21-921C-DCC94A32C1C4}"/>
            </c:ext>
          </c:extLst>
        </c:ser>
        <c:ser>
          <c:idx val="1"/>
          <c:order val="1"/>
          <c:spPr>
            <a:ln w="19050" cmpd="sng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Backlog'!$F$16:$S$16</c:f>
              <c:numCache>
                <c:formatCode>General</c:formatCode>
                <c:ptCount val="14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63</c:v>
                </c:pt>
                <c:pt idx="13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A3-4D21-921C-DCC94A32C1C4}"/>
            </c:ext>
          </c:extLst>
        </c:ser>
        <c:ser>
          <c:idx val="2"/>
          <c:order val="2"/>
          <c:spPr>
            <a:ln w="19050" cmpd="sng">
              <a:solidFill>
                <a:srgbClr val="9999FF"/>
              </a:solidFill>
              <a:prstDash val="solid"/>
            </a:ln>
          </c:spPr>
          <c:marker>
            <c:symbol val="none"/>
          </c:marker>
          <c:val>
            <c:numRef>
              <c:f>'Sprint Backlog'!$F$14:$S$14</c:f>
              <c:numCache>
                <c:formatCode>General</c:formatCode>
                <c:ptCount val="14"/>
                <c:pt idx="0">
                  <c:v>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A3-4D21-921C-DCC94A32C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814224"/>
        <c:axId val="450811872"/>
      </c:lineChart>
      <c:catAx>
        <c:axId val="450814224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 i="0"/>
            </a:pPr>
            <a:endParaRPr lang="en-US"/>
          </a:p>
        </c:txPr>
        <c:crossAx val="450811872"/>
        <c:crosses val="autoZero"/>
        <c:auto val="1"/>
        <c:lblAlgn val="ctr"/>
        <c:lblOffset val="100"/>
        <c:noMultiLvlLbl val="1"/>
      </c:catAx>
      <c:valAx>
        <c:axId val="450811872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  <a:endParaRPr lang="en-US"/>
          </a:p>
        </c:txPr>
        <c:crossAx val="45081422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1085850</xdr:colOff>
      <xdr:row>0</xdr:row>
      <xdr:rowOff>0</xdr:rowOff>
    </xdr:from>
    <xdr:to>
      <xdr:col>19</xdr:col>
      <xdr:colOff>809625</xdr:colOff>
      <xdr:row>17</xdr:row>
      <xdr:rowOff>161925</xdr:rowOff>
    </xdr:to>
    <xdr:graphicFrame macro="">
      <xdr:nvGraphicFramePr>
        <xdr:cNvPr id="2" name="Chart 1" descr="Chart 0" title="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885825</xdr:colOff>
      <xdr:row>54</xdr:row>
      <xdr:rowOff>85725</xdr:rowOff>
    </xdr:to>
    <xdr:sp macro="" textlink="">
      <xdr:nvSpPr>
        <xdr:cNvPr id="1030" name="Rectangle 6" hidden="1">
          <a:extLst>
            <a:ext uri="{FF2B5EF4-FFF2-40B4-BE49-F238E27FC236}">
              <a16:creationId xmlns:a16="http://schemas.microsoft.com/office/drawing/2014/main" id="{00000000-0008-0000-04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26</xdr:col>
      <xdr:colOff>885825</xdr:colOff>
      <xdr:row>54</xdr:row>
      <xdr:rowOff>85725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26</xdr:col>
      <xdr:colOff>885825</xdr:colOff>
      <xdr:row>54</xdr:row>
      <xdr:rowOff>85725</xdr:rowOff>
    </xdr:to>
    <xdr:sp macro="" textlink="">
      <xdr:nvSpPr>
        <xdr:cNvPr id="3" name="Autoforma 6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26</xdr:col>
      <xdr:colOff>885825</xdr:colOff>
      <xdr:row>54</xdr:row>
      <xdr:rowOff>85725</xdr:rowOff>
    </xdr:to>
    <xdr:sp macro="" textlink="">
      <xdr:nvSpPr>
        <xdr:cNvPr id="4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1562100</xdr:colOff>
      <xdr:row>0</xdr:row>
      <xdr:rowOff>123825</xdr:rowOff>
    </xdr:from>
    <xdr:to>
      <xdr:col>19</xdr:col>
      <xdr:colOff>57150</xdr:colOff>
      <xdr:row>11</xdr:row>
      <xdr:rowOff>66675</xdr:rowOff>
    </xdr:to>
    <xdr:graphicFrame macro="">
      <xdr:nvGraphicFramePr>
        <xdr:cNvPr id="2" name="Chart 2" descr="Chart 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abSelected="1" workbookViewId="0">
      <pane ySplit="5" topLeftCell="A21" activePane="bottomLeft" state="frozen"/>
      <selection pane="bottomLeft" activeCell="P30" sqref="P30"/>
    </sheetView>
  </sheetViews>
  <sheetFormatPr baseColWidth="10" defaultColWidth="14.42578125" defaultRowHeight="15" customHeight="1"/>
  <cols>
    <col min="1" max="1" width="8" customWidth="1"/>
    <col min="2" max="2" width="54.7109375" bestFit="1" customWidth="1"/>
    <col min="3" max="3" width="39.5703125" customWidth="1"/>
    <col min="4" max="4" width="57.28515625" customWidth="1"/>
    <col min="5" max="5" width="19.7109375" customWidth="1"/>
    <col min="6" max="6" width="8.85546875" customWidth="1"/>
    <col min="7" max="7" width="9.140625" customWidth="1"/>
    <col min="8" max="9" width="13.140625" customWidth="1"/>
    <col min="10" max="10" width="11.85546875" customWidth="1"/>
    <col min="11" max="11" width="20.5703125" customWidth="1"/>
    <col min="12" max="12" width="16.5703125" customWidth="1"/>
    <col min="13" max="13" width="18.28515625" bestFit="1" customWidth="1"/>
    <col min="14" max="14" width="27.7109375" customWidth="1"/>
    <col min="15" max="15" width="32.28515625" customWidth="1"/>
    <col min="16" max="16" width="30.5703125" customWidth="1"/>
    <col min="17" max="17" width="25.85546875" customWidth="1"/>
    <col min="18" max="18" width="27.5703125" customWidth="1"/>
    <col min="19" max="26" width="8.140625" customWidth="1"/>
    <col min="27" max="27" width="8" customWidth="1"/>
  </cols>
  <sheetData>
    <row r="1" spans="1:27" ht="12.75" customHeight="1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4"/>
      <c r="M1" s="2"/>
      <c r="N1" s="2"/>
      <c r="O1" s="5"/>
      <c r="P1" s="3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8" customHeight="1">
      <c r="A2" s="148" t="s">
        <v>2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2.75" customHeight="1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4"/>
      <c r="M3" s="2"/>
      <c r="N3" s="2"/>
      <c r="O3" s="5"/>
      <c r="P3" s="3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 customHeight="1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4"/>
      <c r="M4" s="2"/>
      <c r="N4" s="2"/>
      <c r="O4" s="5"/>
      <c r="P4" s="3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5.5" customHeight="1">
      <c r="A5" s="8" t="s">
        <v>6</v>
      </c>
      <c r="B5" s="9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8" t="s">
        <v>17</v>
      </c>
      <c r="L5" s="8" t="s">
        <v>18</v>
      </c>
      <c r="M5" s="8" t="s">
        <v>19</v>
      </c>
      <c r="N5" s="175" t="s">
        <v>20</v>
      </c>
      <c r="O5" s="182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94.5" customHeight="1">
      <c r="A6" s="10">
        <v>1</v>
      </c>
      <c r="B6" s="11" t="s">
        <v>22</v>
      </c>
      <c r="C6" s="12" t="s">
        <v>23</v>
      </c>
      <c r="D6" s="12" t="s">
        <v>24</v>
      </c>
      <c r="E6" s="10" t="s">
        <v>25</v>
      </c>
      <c r="F6" s="10">
        <v>4</v>
      </c>
      <c r="G6" s="10">
        <v>5</v>
      </c>
      <c r="H6" s="10">
        <v>3</v>
      </c>
      <c r="I6" s="10">
        <v>2</v>
      </c>
      <c r="J6" s="10">
        <v>5</v>
      </c>
      <c r="K6" s="17">
        <v>4</v>
      </c>
      <c r="L6" s="10">
        <v>1</v>
      </c>
      <c r="M6" s="10">
        <v>3</v>
      </c>
      <c r="N6" s="176">
        <f t="shared" ref="N6:N23" si="0">K6*M6</f>
        <v>12</v>
      </c>
      <c r="O6" s="183">
        <f t="shared" ref="O6:O11" si="1">K6*M6</f>
        <v>12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63.75">
      <c r="A7" s="10">
        <v>2</v>
      </c>
      <c r="B7" s="10" t="s">
        <v>26</v>
      </c>
      <c r="C7" s="11" t="s">
        <v>27</v>
      </c>
      <c r="D7" s="11" t="s">
        <v>28</v>
      </c>
      <c r="E7" s="10" t="s">
        <v>25</v>
      </c>
      <c r="F7" s="10">
        <v>3</v>
      </c>
      <c r="G7" s="10">
        <v>5</v>
      </c>
      <c r="H7" s="10">
        <v>5</v>
      </c>
      <c r="I7" s="10">
        <v>5</v>
      </c>
      <c r="J7" s="10">
        <v>4</v>
      </c>
      <c r="K7" s="18">
        <v>4</v>
      </c>
      <c r="L7" s="18">
        <v>1</v>
      </c>
      <c r="M7" s="10">
        <v>10</v>
      </c>
      <c r="N7" s="176">
        <f t="shared" si="0"/>
        <v>40</v>
      </c>
      <c r="O7" s="183">
        <f t="shared" si="1"/>
        <v>40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76.5" customHeight="1">
      <c r="A8" s="19">
        <v>3</v>
      </c>
      <c r="B8" s="20" t="s">
        <v>29</v>
      </c>
      <c r="C8" s="44" t="s">
        <v>30</v>
      </c>
      <c r="D8" s="44" t="s">
        <v>31</v>
      </c>
      <c r="E8" s="19" t="s">
        <v>25</v>
      </c>
      <c r="F8" s="19">
        <v>5</v>
      </c>
      <c r="G8" s="19">
        <v>4</v>
      </c>
      <c r="H8" s="19">
        <v>4</v>
      </c>
      <c r="I8" s="19">
        <v>3</v>
      </c>
      <c r="J8" s="19">
        <v>6</v>
      </c>
      <c r="K8" s="19">
        <v>4</v>
      </c>
      <c r="L8" s="19">
        <v>3</v>
      </c>
      <c r="M8" s="19">
        <v>3</v>
      </c>
      <c r="N8" s="177">
        <f t="shared" si="0"/>
        <v>12</v>
      </c>
      <c r="O8" s="184">
        <f t="shared" si="1"/>
        <v>12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63.75" customHeight="1">
      <c r="A9" s="19">
        <v>4</v>
      </c>
      <c r="B9" s="19" t="s">
        <v>32</v>
      </c>
      <c r="C9" s="44" t="s">
        <v>33</v>
      </c>
      <c r="D9" s="44" t="s">
        <v>34</v>
      </c>
      <c r="E9" s="19" t="s">
        <v>25</v>
      </c>
      <c r="F9" s="19">
        <v>1</v>
      </c>
      <c r="G9" s="19">
        <v>2</v>
      </c>
      <c r="H9" s="19">
        <v>4</v>
      </c>
      <c r="I9" s="19">
        <v>3</v>
      </c>
      <c r="J9" s="19">
        <v>4</v>
      </c>
      <c r="K9" s="19">
        <v>3</v>
      </c>
      <c r="L9" s="19">
        <v>3</v>
      </c>
      <c r="M9" s="19">
        <v>8</v>
      </c>
      <c r="N9" s="177">
        <f t="shared" si="0"/>
        <v>24</v>
      </c>
      <c r="O9" s="184">
        <f t="shared" si="1"/>
        <v>24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7.5" customHeight="1">
      <c r="A10" s="23">
        <v>5</v>
      </c>
      <c r="B10" s="25" t="s">
        <v>35</v>
      </c>
      <c r="C10" s="27" t="s">
        <v>36</v>
      </c>
      <c r="D10" s="27" t="s">
        <v>37</v>
      </c>
      <c r="E10" s="29" t="s">
        <v>25</v>
      </c>
      <c r="F10" s="23">
        <v>3</v>
      </c>
      <c r="G10" s="23">
        <v>5</v>
      </c>
      <c r="H10" s="23">
        <v>3</v>
      </c>
      <c r="I10" s="23">
        <v>4</v>
      </c>
      <c r="J10" s="23">
        <v>4</v>
      </c>
      <c r="K10" s="30">
        <v>4</v>
      </c>
      <c r="L10" s="23">
        <v>4</v>
      </c>
      <c r="M10" s="23">
        <v>9</v>
      </c>
      <c r="N10" s="178">
        <f t="shared" si="0"/>
        <v>36</v>
      </c>
      <c r="O10" s="185">
        <f t="shared" si="1"/>
        <v>36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3" customHeight="1">
      <c r="A11" s="23">
        <v>6</v>
      </c>
      <c r="B11" s="25" t="s">
        <v>53</v>
      </c>
      <c r="C11" s="27" t="s">
        <v>54</v>
      </c>
      <c r="D11" s="27" t="s">
        <v>55</v>
      </c>
      <c r="E11" s="29" t="s">
        <v>25</v>
      </c>
      <c r="F11" s="23">
        <v>4</v>
      </c>
      <c r="G11" s="23">
        <v>8</v>
      </c>
      <c r="H11" s="23">
        <v>5</v>
      </c>
      <c r="I11" s="23">
        <v>4</v>
      </c>
      <c r="J11" s="23">
        <v>9</v>
      </c>
      <c r="K11" s="36">
        <v>4</v>
      </c>
      <c r="L11" s="23">
        <v>4</v>
      </c>
      <c r="M11" s="23">
        <v>5</v>
      </c>
      <c r="N11" s="178">
        <f t="shared" si="0"/>
        <v>20</v>
      </c>
      <c r="O11" s="185">
        <f t="shared" si="1"/>
        <v>20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7.5" customHeight="1">
      <c r="A12" s="163">
        <v>7</v>
      </c>
      <c r="B12" s="164" t="s">
        <v>57</v>
      </c>
      <c r="C12" s="165" t="s">
        <v>60</v>
      </c>
      <c r="D12" s="165" t="s">
        <v>61</v>
      </c>
      <c r="E12" s="163" t="s">
        <v>25</v>
      </c>
      <c r="F12" s="163">
        <v>4</v>
      </c>
      <c r="G12" s="163">
        <v>3</v>
      </c>
      <c r="H12" s="163">
        <v>4</v>
      </c>
      <c r="I12" s="163">
        <v>3</v>
      </c>
      <c r="J12" s="163">
        <v>6</v>
      </c>
      <c r="K12" s="166">
        <v>4</v>
      </c>
      <c r="L12" s="163">
        <v>5</v>
      </c>
      <c r="M12" s="163">
        <v>10</v>
      </c>
      <c r="N12" s="179">
        <f t="shared" si="0"/>
        <v>40</v>
      </c>
      <c r="O12" s="186">
        <v>40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7.5" customHeight="1">
      <c r="A13" s="163">
        <v>8</v>
      </c>
      <c r="B13" s="164" t="s">
        <v>63</v>
      </c>
      <c r="C13" s="165" t="s">
        <v>64</v>
      </c>
      <c r="D13" s="165" t="s">
        <v>65</v>
      </c>
      <c r="E13" s="163" t="s">
        <v>25</v>
      </c>
      <c r="F13" s="163">
        <v>3</v>
      </c>
      <c r="G13" s="163">
        <v>4</v>
      </c>
      <c r="H13" s="163">
        <v>4</v>
      </c>
      <c r="I13" s="163">
        <v>5</v>
      </c>
      <c r="J13" s="163">
        <v>6</v>
      </c>
      <c r="K13" s="166">
        <v>4</v>
      </c>
      <c r="L13" s="163">
        <v>5</v>
      </c>
      <c r="M13" s="163">
        <v>2</v>
      </c>
      <c r="N13" s="179">
        <f t="shared" si="0"/>
        <v>8</v>
      </c>
      <c r="O13" s="186">
        <v>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63.75">
      <c r="A14" s="163">
        <v>9</v>
      </c>
      <c r="B14" s="164" t="s">
        <v>66</v>
      </c>
      <c r="C14" s="165" t="s">
        <v>67</v>
      </c>
      <c r="D14" s="165" t="s">
        <v>68</v>
      </c>
      <c r="E14" s="163" t="s">
        <v>25</v>
      </c>
      <c r="F14" s="163">
        <v>9</v>
      </c>
      <c r="G14" s="163">
        <v>9</v>
      </c>
      <c r="H14" s="163">
        <v>7</v>
      </c>
      <c r="I14" s="163">
        <v>7</v>
      </c>
      <c r="J14" s="163">
        <v>10</v>
      </c>
      <c r="K14" s="166">
        <v>8</v>
      </c>
      <c r="L14" s="163">
        <v>5</v>
      </c>
      <c r="M14" s="163">
        <v>2</v>
      </c>
      <c r="N14" s="179">
        <f t="shared" si="0"/>
        <v>16</v>
      </c>
      <c r="O14" s="186">
        <v>16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51">
      <c r="A15" s="19">
        <v>10</v>
      </c>
      <c r="B15" s="38" t="s">
        <v>69</v>
      </c>
      <c r="C15" s="39" t="s">
        <v>70</v>
      </c>
      <c r="D15" s="41" t="s">
        <v>71</v>
      </c>
      <c r="E15" s="20" t="s">
        <v>25</v>
      </c>
      <c r="F15" s="20">
        <v>3</v>
      </c>
      <c r="G15" s="20">
        <v>4</v>
      </c>
      <c r="H15" s="20">
        <v>5</v>
      </c>
      <c r="I15" s="20">
        <v>4</v>
      </c>
      <c r="J15" s="20">
        <v>2</v>
      </c>
      <c r="K15" s="42">
        <v>3</v>
      </c>
      <c r="L15" s="19">
        <v>3</v>
      </c>
      <c r="M15" s="19">
        <v>2</v>
      </c>
      <c r="N15" s="177">
        <f t="shared" si="0"/>
        <v>6</v>
      </c>
      <c r="O15" s="184">
        <f t="shared" ref="O15:O23" si="2">K15*M15</f>
        <v>6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76.5">
      <c r="A16" s="20">
        <v>11</v>
      </c>
      <c r="B16" s="44" t="s">
        <v>73</v>
      </c>
      <c r="C16" s="46" t="s">
        <v>75</v>
      </c>
      <c r="D16" s="46" t="s">
        <v>78</v>
      </c>
      <c r="E16" s="20" t="s">
        <v>25</v>
      </c>
      <c r="F16" s="19">
        <v>2</v>
      </c>
      <c r="G16" s="19">
        <v>2</v>
      </c>
      <c r="H16" s="19">
        <v>2</v>
      </c>
      <c r="I16" s="19">
        <v>2</v>
      </c>
      <c r="J16" s="19">
        <v>6</v>
      </c>
      <c r="K16" s="50">
        <v>3</v>
      </c>
      <c r="L16" s="20">
        <v>3</v>
      </c>
      <c r="M16" s="20">
        <v>2</v>
      </c>
      <c r="N16" s="177">
        <f t="shared" si="0"/>
        <v>6</v>
      </c>
      <c r="O16" s="184">
        <f t="shared" si="2"/>
        <v>6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51">
      <c r="A17" s="52">
        <v>12</v>
      </c>
      <c r="B17" s="54" t="s">
        <v>82</v>
      </c>
      <c r="C17" s="56" t="s">
        <v>83</v>
      </c>
      <c r="D17" s="56" t="s">
        <v>87</v>
      </c>
      <c r="E17" s="58" t="s">
        <v>25</v>
      </c>
      <c r="F17" s="58">
        <v>4</v>
      </c>
      <c r="G17" s="58">
        <v>6</v>
      </c>
      <c r="H17" s="58">
        <v>5</v>
      </c>
      <c r="I17" s="58">
        <v>5</v>
      </c>
      <c r="J17" s="58">
        <v>7</v>
      </c>
      <c r="K17" s="59">
        <v>5</v>
      </c>
      <c r="L17" s="58">
        <v>2</v>
      </c>
      <c r="M17" s="58">
        <v>2</v>
      </c>
      <c r="N17" s="180">
        <f t="shared" si="0"/>
        <v>10</v>
      </c>
      <c r="O17" s="187">
        <f t="shared" si="2"/>
        <v>10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51">
      <c r="A18" s="18">
        <v>13</v>
      </c>
      <c r="B18" s="11" t="s">
        <v>89</v>
      </c>
      <c r="C18" s="62" t="s">
        <v>90</v>
      </c>
      <c r="D18" s="62" t="s">
        <v>91</v>
      </c>
      <c r="E18" s="10" t="s">
        <v>25</v>
      </c>
      <c r="F18" s="10">
        <v>2</v>
      </c>
      <c r="G18" s="10">
        <v>4</v>
      </c>
      <c r="H18" s="10">
        <v>2</v>
      </c>
      <c r="I18" s="10">
        <v>2</v>
      </c>
      <c r="J18" s="10">
        <v>5</v>
      </c>
      <c r="K18" s="64">
        <v>5</v>
      </c>
      <c r="L18" s="10">
        <v>1</v>
      </c>
      <c r="M18" s="10">
        <v>2</v>
      </c>
      <c r="N18" s="176">
        <f t="shared" si="0"/>
        <v>10</v>
      </c>
      <c r="O18" s="183">
        <f t="shared" si="2"/>
        <v>10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63.75">
      <c r="A19" s="52">
        <v>14</v>
      </c>
      <c r="B19" s="54" t="s">
        <v>93</v>
      </c>
      <c r="C19" s="56" t="s">
        <v>94</v>
      </c>
      <c r="D19" s="56" t="s">
        <v>95</v>
      </c>
      <c r="E19" s="58" t="s">
        <v>25</v>
      </c>
      <c r="F19" s="58">
        <v>1</v>
      </c>
      <c r="G19" s="58">
        <v>1</v>
      </c>
      <c r="H19" s="58">
        <v>1</v>
      </c>
      <c r="I19" s="58">
        <v>1</v>
      </c>
      <c r="J19" s="58">
        <v>1</v>
      </c>
      <c r="K19" s="59">
        <v>1</v>
      </c>
      <c r="L19" s="58">
        <v>2</v>
      </c>
      <c r="M19" s="58">
        <v>2</v>
      </c>
      <c r="N19" s="180">
        <f t="shared" si="0"/>
        <v>2</v>
      </c>
      <c r="O19" s="187">
        <f t="shared" si="2"/>
        <v>2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51">
      <c r="A20" s="68">
        <v>15</v>
      </c>
      <c r="B20" s="44" t="s">
        <v>97</v>
      </c>
      <c r="C20" s="46" t="s">
        <v>98</v>
      </c>
      <c r="D20" s="46" t="s">
        <v>99</v>
      </c>
      <c r="E20" s="20" t="s">
        <v>25</v>
      </c>
      <c r="F20" s="20">
        <v>1</v>
      </c>
      <c r="G20" s="20">
        <v>1</v>
      </c>
      <c r="H20" s="20">
        <v>1</v>
      </c>
      <c r="I20" s="20">
        <v>1</v>
      </c>
      <c r="J20" s="20">
        <v>1</v>
      </c>
      <c r="K20" s="42">
        <v>2</v>
      </c>
      <c r="L20" s="20">
        <v>3</v>
      </c>
      <c r="M20" s="20">
        <v>2</v>
      </c>
      <c r="N20" s="177">
        <f t="shared" si="0"/>
        <v>4</v>
      </c>
      <c r="O20" s="188">
        <f t="shared" si="2"/>
        <v>4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63.75">
      <c r="A21" s="20">
        <v>16</v>
      </c>
      <c r="B21" s="44" t="s">
        <v>100</v>
      </c>
      <c r="C21" s="46" t="s">
        <v>101</v>
      </c>
      <c r="D21" s="46" t="s">
        <v>102</v>
      </c>
      <c r="E21" s="19" t="s">
        <v>25</v>
      </c>
      <c r="F21" s="19">
        <v>1</v>
      </c>
      <c r="G21" s="19">
        <v>1</v>
      </c>
      <c r="H21" s="19">
        <v>1</v>
      </c>
      <c r="I21" s="19">
        <v>1</v>
      </c>
      <c r="J21" s="19">
        <v>1</v>
      </c>
      <c r="K21" s="50">
        <v>1</v>
      </c>
      <c r="L21" s="19">
        <v>2</v>
      </c>
      <c r="M21" s="20">
        <v>1</v>
      </c>
      <c r="N21" s="177">
        <f t="shared" si="0"/>
        <v>1</v>
      </c>
      <c r="O21" s="188">
        <f t="shared" si="2"/>
        <v>1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72" customHeight="1">
      <c r="A22" s="143">
        <v>17</v>
      </c>
      <c r="B22" s="144" t="s">
        <v>103</v>
      </c>
      <c r="C22" s="146" t="s">
        <v>104</v>
      </c>
      <c r="D22" s="146" t="s">
        <v>105</v>
      </c>
      <c r="E22" s="144" t="s">
        <v>25</v>
      </c>
      <c r="F22" s="144">
        <v>1</v>
      </c>
      <c r="G22" s="144">
        <v>1</v>
      </c>
      <c r="H22" s="144">
        <v>1</v>
      </c>
      <c r="I22" s="144">
        <v>1</v>
      </c>
      <c r="J22" s="144">
        <v>1</v>
      </c>
      <c r="K22" s="144">
        <v>4</v>
      </c>
      <c r="L22" s="145">
        <v>4</v>
      </c>
      <c r="M22" s="144">
        <v>7</v>
      </c>
      <c r="N22" s="176">
        <f t="shared" si="0"/>
        <v>28</v>
      </c>
      <c r="O22" s="183">
        <f t="shared" si="2"/>
        <v>28</v>
      </c>
      <c r="P22" s="69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72" customHeight="1">
      <c r="A23" s="167">
        <v>18</v>
      </c>
      <c r="B23" s="168" t="s">
        <v>106</v>
      </c>
      <c r="C23" s="169" t="s">
        <v>107</v>
      </c>
      <c r="D23" s="169" t="s">
        <v>108</v>
      </c>
      <c r="E23" s="168" t="s">
        <v>25</v>
      </c>
      <c r="F23" s="168">
        <v>1</v>
      </c>
      <c r="G23" s="168">
        <v>1</v>
      </c>
      <c r="H23" s="168">
        <v>1</v>
      </c>
      <c r="I23" s="168">
        <v>1</v>
      </c>
      <c r="J23" s="168">
        <v>1</v>
      </c>
      <c r="K23" s="168">
        <v>1</v>
      </c>
      <c r="L23" s="170">
        <v>4</v>
      </c>
      <c r="M23" s="168">
        <v>1</v>
      </c>
      <c r="N23" s="181">
        <f t="shared" si="0"/>
        <v>1</v>
      </c>
      <c r="O23" s="183">
        <f t="shared" si="2"/>
        <v>1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72" customHeight="1">
      <c r="A24" s="171">
        <v>19</v>
      </c>
      <c r="B24" s="171" t="s">
        <v>198</v>
      </c>
      <c r="C24" s="172" t="s">
        <v>199</v>
      </c>
      <c r="D24" s="172" t="s">
        <v>200</v>
      </c>
      <c r="E24" s="171" t="s">
        <v>25</v>
      </c>
      <c r="F24" s="171">
        <v>3</v>
      </c>
      <c r="G24" s="171">
        <v>3</v>
      </c>
      <c r="H24" s="171">
        <v>3</v>
      </c>
      <c r="I24" s="171">
        <v>3</v>
      </c>
      <c r="J24" s="171">
        <v>3</v>
      </c>
      <c r="K24" s="171">
        <v>3</v>
      </c>
      <c r="L24" s="171">
        <v>5</v>
      </c>
      <c r="M24" s="171">
        <v>5</v>
      </c>
      <c r="N24" s="173">
        <v>10</v>
      </c>
      <c r="O24" s="174">
        <v>10</v>
      </c>
      <c r="P24" s="71"/>
      <c r="Q24" s="72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63.75">
      <c r="A25" s="189">
        <v>20</v>
      </c>
      <c r="B25" s="190" t="s">
        <v>215</v>
      </c>
      <c r="C25" s="191" t="s">
        <v>216</v>
      </c>
      <c r="D25" s="191" t="s">
        <v>217</v>
      </c>
      <c r="E25" s="190" t="s">
        <v>25</v>
      </c>
      <c r="F25" s="190">
        <v>1</v>
      </c>
      <c r="G25" s="190">
        <v>1</v>
      </c>
      <c r="H25" s="190">
        <v>1</v>
      </c>
      <c r="I25" s="190">
        <v>1</v>
      </c>
      <c r="J25" s="190">
        <v>1</v>
      </c>
      <c r="K25" s="190">
        <v>1</v>
      </c>
      <c r="L25" s="192">
        <v>4</v>
      </c>
      <c r="M25" s="190">
        <v>1</v>
      </c>
      <c r="N25" s="193">
        <f t="shared" ref="N25" si="3">K25*M25</f>
        <v>1</v>
      </c>
      <c r="O25" s="174">
        <f t="shared" ref="O25" si="4">K25*M25</f>
        <v>1</v>
      </c>
      <c r="P25" s="71" t="s">
        <v>109</v>
      </c>
      <c r="Q25" s="72" t="s">
        <v>111</v>
      </c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s="147" customFormat="1" ht="51">
      <c r="A26" s="189">
        <v>21</v>
      </c>
      <c r="B26" s="190" t="s">
        <v>218</v>
      </c>
      <c r="C26" s="191" t="s">
        <v>219</v>
      </c>
      <c r="D26" s="191" t="s">
        <v>220</v>
      </c>
      <c r="E26" s="190" t="s">
        <v>25</v>
      </c>
      <c r="F26" s="190">
        <v>1</v>
      </c>
      <c r="G26" s="190">
        <v>1</v>
      </c>
      <c r="H26" s="190">
        <v>1</v>
      </c>
      <c r="I26" s="190">
        <v>1</v>
      </c>
      <c r="J26" s="190">
        <v>1</v>
      </c>
      <c r="K26" s="190">
        <v>1</v>
      </c>
      <c r="L26" s="192">
        <v>4</v>
      </c>
      <c r="M26" s="190">
        <v>1</v>
      </c>
      <c r="N26" s="193">
        <f t="shared" ref="N26" si="5">K26*M26</f>
        <v>1</v>
      </c>
      <c r="O26" s="174">
        <f t="shared" ref="O26" si="6">K26*M26</f>
        <v>1</v>
      </c>
      <c r="P26" s="74">
        <f>O27/N27</f>
        <v>1</v>
      </c>
      <c r="Q26" s="72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customHeight="1">
      <c r="N27" s="71">
        <f>SUM(N6:N26)</f>
        <v>288</v>
      </c>
      <c r="O27" s="73">
        <f>SUM(O6:O26)</f>
        <v>288</v>
      </c>
      <c r="P27" s="72"/>
      <c r="Q27" s="72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customHeight="1">
      <c r="A28" s="2"/>
      <c r="B28" s="3"/>
      <c r="C28" s="2"/>
      <c r="D28" s="2"/>
      <c r="E28" s="2"/>
      <c r="F28" s="2"/>
      <c r="G28" s="2"/>
      <c r="H28" s="2"/>
      <c r="I28" s="2"/>
      <c r="L28" s="4"/>
      <c r="M28" s="2"/>
      <c r="O28" s="72"/>
      <c r="P28" s="72"/>
      <c r="Q28" s="72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 customHeight="1">
      <c r="A29" s="2"/>
      <c r="B29" s="3"/>
      <c r="C29" s="2"/>
      <c r="D29" s="2"/>
      <c r="E29" s="2"/>
      <c r="F29" s="2"/>
      <c r="G29" s="2"/>
      <c r="H29" s="2"/>
      <c r="I29" s="2"/>
      <c r="L29" s="4"/>
      <c r="M29" s="2"/>
      <c r="O29" s="72"/>
      <c r="P29" s="3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38.25" customHeight="1">
      <c r="A30" s="2"/>
      <c r="B30" s="75" t="s">
        <v>112</v>
      </c>
      <c r="C30" s="2"/>
      <c r="D30" s="2"/>
      <c r="E30" s="2"/>
      <c r="F30" s="2"/>
      <c r="G30" s="2"/>
      <c r="H30" s="2"/>
      <c r="I30" s="2"/>
      <c r="L30" s="4"/>
      <c r="M30" s="2"/>
      <c r="N30" s="2"/>
      <c r="O30" s="5"/>
      <c r="S30" s="5"/>
      <c r="T30" s="5"/>
      <c r="U30" s="5"/>
      <c r="V30" s="5"/>
      <c r="W30" s="5"/>
      <c r="X30" s="5"/>
      <c r="Y30" s="5"/>
      <c r="Z30" s="5"/>
    </row>
    <row r="31" spans="1:27" ht="12.75" customHeight="1">
      <c r="A31" s="2"/>
      <c r="B31" s="76" t="s">
        <v>113</v>
      </c>
      <c r="C31" s="77" t="s">
        <v>114</v>
      </c>
      <c r="D31" s="78"/>
      <c r="E31" s="78"/>
      <c r="F31" s="78"/>
      <c r="G31" s="78"/>
      <c r="H31" s="78"/>
      <c r="I31" s="78"/>
      <c r="J31" s="79" t="s">
        <v>115</v>
      </c>
      <c r="K31" s="2"/>
      <c r="L31" s="77" t="s">
        <v>18</v>
      </c>
      <c r="M31" s="79" t="s">
        <v>116</v>
      </c>
      <c r="N31" s="79" t="s">
        <v>117</v>
      </c>
      <c r="O31" s="79" t="s">
        <v>118</v>
      </c>
      <c r="P31" s="79" t="s">
        <v>119</v>
      </c>
      <c r="Q31" s="79" t="s">
        <v>120</v>
      </c>
      <c r="R31" s="5"/>
      <c r="S31" s="5"/>
      <c r="T31" s="5"/>
      <c r="U31" s="5"/>
      <c r="V31" s="5"/>
      <c r="W31" s="5"/>
      <c r="X31" s="5"/>
      <c r="Y31" s="5"/>
      <c r="Z31" s="5"/>
    </row>
    <row r="32" spans="1:27" ht="12.75" customHeight="1">
      <c r="A32" s="2"/>
      <c r="B32" s="80" t="s">
        <v>121</v>
      </c>
      <c r="C32" s="81" t="s">
        <v>122</v>
      </c>
      <c r="D32" s="35"/>
      <c r="E32" s="81"/>
      <c r="F32" s="81"/>
      <c r="G32" s="81"/>
      <c r="H32" s="81"/>
      <c r="I32" s="81"/>
      <c r="J32" s="35">
        <v>5</v>
      </c>
      <c r="K32" s="2"/>
      <c r="L32" s="150">
        <v>1</v>
      </c>
      <c r="M32" s="80">
        <v>1</v>
      </c>
      <c r="N32" s="80">
        <v>4</v>
      </c>
      <c r="O32" s="82">
        <f t="shared" ref="O32:O34" si="7">N32/6</f>
        <v>0.66666666666666663</v>
      </c>
      <c r="P32" s="84">
        <f>O32*3</f>
        <v>2</v>
      </c>
      <c r="Q32" s="26">
        <f t="shared" ref="Q32:Q34" si="8">P32*5</f>
        <v>10</v>
      </c>
      <c r="R32" s="5"/>
      <c r="S32" s="5"/>
      <c r="T32" s="5"/>
      <c r="U32" s="5"/>
      <c r="V32" s="5"/>
      <c r="W32" s="5"/>
      <c r="X32" s="5"/>
      <c r="Y32" s="5"/>
      <c r="Z32" s="5"/>
    </row>
    <row r="33" spans="1:27" ht="12.75" customHeight="1">
      <c r="A33" s="2"/>
      <c r="B33" s="80" t="s">
        <v>129</v>
      </c>
      <c r="C33" s="81" t="s">
        <v>130</v>
      </c>
      <c r="D33" s="26"/>
      <c r="E33" s="81"/>
      <c r="F33" s="81"/>
      <c r="G33" s="81"/>
      <c r="H33" s="81"/>
      <c r="I33" s="81"/>
      <c r="J33" s="35">
        <v>5</v>
      </c>
      <c r="K33" s="2"/>
      <c r="L33" s="151"/>
      <c r="M33" s="85">
        <v>13</v>
      </c>
      <c r="N33" s="80">
        <v>5</v>
      </c>
      <c r="O33" s="82">
        <f t="shared" si="7"/>
        <v>0.83333333333333337</v>
      </c>
      <c r="P33" s="84">
        <f>O33*3</f>
        <v>2.5</v>
      </c>
      <c r="Q33" s="26">
        <f t="shared" si="8"/>
        <v>12.5</v>
      </c>
      <c r="R33" s="5"/>
      <c r="S33" s="5"/>
      <c r="T33" s="5"/>
      <c r="U33" s="5"/>
      <c r="V33" s="5"/>
      <c r="W33" s="5"/>
      <c r="X33" s="5"/>
      <c r="Y33" s="5"/>
      <c r="Z33" s="5"/>
    </row>
    <row r="34" spans="1:27" ht="12.75" customHeight="1">
      <c r="A34" s="5"/>
      <c r="B34" s="80" t="s">
        <v>132</v>
      </c>
      <c r="C34" s="81" t="s">
        <v>130</v>
      </c>
      <c r="D34" s="26"/>
      <c r="E34" s="81"/>
      <c r="F34" s="81"/>
      <c r="G34" s="81"/>
      <c r="H34" s="81"/>
      <c r="I34" s="81"/>
      <c r="J34" s="35">
        <v>5</v>
      </c>
      <c r="K34" s="5"/>
      <c r="L34" s="151"/>
      <c r="M34" s="80">
        <v>2</v>
      </c>
      <c r="N34" s="80">
        <v>4</v>
      </c>
      <c r="O34" s="82">
        <f t="shared" si="7"/>
        <v>0.66666666666666663</v>
      </c>
      <c r="P34" s="84">
        <f>O34*3</f>
        <v>2</v>
      </c>
      <c r="Q34" s="26">
        <f t="shared" si="8"/>
        <v>10</v>
      </c>
      <c r="R34" s="5"/>
      <c r="S34" s="5"/>
      <c r="T34" s="5"/>
      <c r="U34" s="5"/>
      <c r="V34" s="5"/>
      <c r="W34" s="5"/>
      <c r="X34" s="5"/>
      <c r="Y34" s="5"/>
      <c r="Z34" s="5"/>
    </row>
    <row r="35" spans="1:27" ht="12.75" customHeight="1">
      <c r="A35" s="5"/>
      <c r="B35" s="80" t="s">
        <v>133</v>
      </c>
      <c r="C35" s="81" t="s">
        <v>130</v>
      </c>
      <c r="D35" s="26"/>
      <c r="E35" s="81"/>
      <c r="F35" s="81"/>
      <c r="G35" s="81"/>
      <c r="H35" s="81"/>
      <c r="I35" s="81"/>
      <c r="J35" s="35">
        <v>5</v>
      </c>
      <c r="K35" s="5"/>
      <c r="L35" s="151"/>
      <c r="M35" s="87"/>
      <c r="N35" s="3"/>
      <c r="O35" s="88"/>
      <c r="P35" s="89"/>
      <c r="Q35" s="90"/>
      <c r="R35" s="5"/>
      <c r="S35" s="5"/>
      <c r="T35" s="5"/>
      <c r="U35" s="5"/>
      <c r="V35" s="5"/>
      <c r="W35" s="5"/>
      <c r="X35" s="5"/>
      <c r="Y35" s="5"/>
      <c r="Z35" s="5"/>
    </row>
    <row r="36" spans="1:27" ht="12.75" customHeight="1">
      <c r="A36" s="5"/>
      <c r="B36" s="80" t="s">
        <v>137</v>
      </c>
      <c r="C36" s="81" t="s">
        <v>130</v>
      </c>
      <c r="D36" s="26"/>
      <c r="E36" s="81"/>
      <c r="F36" s="81"/>
      <c r="G36" s="81"/>
      <c r="H36" s="81"/>
      <c r="I36" s="81"/>
      <c r="J36" s="35">
        <v>5</v>
      </c>
      <c r="K36" s="5"/>
      <c r="L36" s="152"/>
      <c r="M36" s="91" t="s">
        <v>51</v>
      </c>
      <c r="N36" s="92">
        <f>SUM(N32:N35)</f>
        <v>13</v>
      </c>
      <c r="O36" s="94">
        <f t="shared" ref="O35:P36" si="9">SUM(O32:O35)</f>
        <v>2.1666666666666665</v>
      </c>
      <c r="P36" s="95">
        <f>SUM(P32:P35)</f>
        <v>6.5</v>
      </c>
      <c r="Q36" s="92">
        <f>SUM(Q32:Q35)</f>
        <v>32.5</v>
      </c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customHeight="1">
      <c r="A37" s="5"/>
      <c r="B37" s="3"/>
      <c r="C37" s="97"/>
      <c r="D37" s="97"/>
      <c r="E37" s="98" t="s">
        <v>20</v>
      </c>
      <c r="F37" s="98"/>
      <c r="G37" s="98"/>
      <c r="H37" s="98"/>
      <c r="I37" s="98"/>
      <c r="J37" s="98"/>
      <c r="K37" s="98"/>
      <c r="M37" s="5"/>
      <c r="N37" s="5"/>
      <c r="O37" s="5"/>
      <c r="P37" s="3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customHeight="1">
      <c r="A38" s="5"/>
      <c r="B38" s="3"/>
      <c r="C38" s="2"/>
      <c r="D38" s="2"/>
      <c r="E38" s="2"/>
      <c r="F38" s="2"/>
      <c r="G38" s="2"/>
      <c r="H38" s="2"/>
      <c r="I38" s="2"/>
      <c r="J38" s="2"/>
      <c r="K38" s="2"/>
      <c r="L38" s="77" t="s">
        <v>18</v>
      </c>
      <c r="M38" s="79" t="s">
        <v>116</v>
      </c>
      <c r="N38" s="79" t="s">
        <v>117</v>
      </c>
      <c r="O38" s="79" t="s">
        <v>118</v>
      </c>
      <c r="P38" s="79" t="s">
        <v>119</v>
      </c>
      <c r="Q38" s="79" t="s">
        <v>120</v>
      </c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customHeight="1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150">
        <v>2</v>
      </c>
      <c r="M39" s="85">
        <v>12</v>
      </c>
      <c r="N39" s="80">
        <v>5</v>
      </c>
      <c r="O39" s="82">
        <f t="shared" ref="O39:O40" si="10">N39/6</f>
        <v>0.83333333333333337</v>
      </c>
      <c r="P39" s="84">
        <f>O39*3</f>
        <v>2.5</v>
      </c>
      <c r="Q39" s="26">
        <f t="shared" ref="Q39:Q40" si="11">P39*5</f>
        <v>12.5</v>
      </c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customHeight="1">
      <c r="A40" s="2"/>
      <c r="B40" s="3"/>
      <c r="C40" s="2"/>
      <c r="D40" s="2"/>
      <c r="E40" s="2"/>
      <c r="F40" s="2"/>
      <c r="K40" s="2"/>
      <c r="L40" s="151"/>
      <c r="M40" s="85">
        <v>14</v>
      </c>
      <c r="N40" s="80">
        <v>1</v>
      </c>
      <c r="O40" s="82">
        <f t="shared" si="10"/>
        <v>0.16666666666666666</v>
      </c>
      <c r="P40" s="84">
        <f>O40*3</f>
        <v>0.5</v>
      </c>
      <c r="Q40" s="26">
        <f t="shared" si="11"/>
        <v>2.5</v>
      </c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customHeight="1">
      <c r="A41" s="2"/>
      <c r="C41" s="2"/>
      <c r="D41" s="2"/>
      <c r="K41" s="2"/>
      <c r="L41" s="151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customHeight="1">
      <c r="A42" s="2"/>
      <c r="B42" s="3"/>
      <c r="C42" s="2"/>
      <c r="D42" s="2"/>
      <c r="K42" s="2"/>
      <c r="L42" s="151"/>
      <c r="M42" s="87"/>
      <c r="N42" s="3"/>
      <c r="O42" s="88"/>
      <c r="P42" s="89"/>
      <c r="Q42" s="90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customHeight="1">
      <c r="A43" s="2"/>
      <c r="B43" s="3"/>
      <c r="C43" s="2"/>
      <c r="D43" s="2"/>
      <c r="G43" s="2"/>
      <c r="H43" s="2"/>
      <c r="I43" s="2"/>
      <c r="J43" s="2"/>
      <c r="K43" s="2"/>
      <c r="L43" s="152"/>
      <c r="M43" s="91" t="s">
        <v>51</v>
      </c>
      <c r="N43" s="92">
        <f>SUM(N39:N42)</f>
        <v>6</v>
      </c>
      <c r="O43" s="94">
        <f t="shared" ref="O42:P43" si="12">SUM(O34:O42)</f>
        <v>3.833333333333333</v>
      </c>
      <c r="P43" s="95">
        <f>SUM(P34:P42)</f>
        <v>11.5</v>
      </c>
      <c r="Q43" s="92">
        <f>SUM(Q34:Q42)</f>
        <v>57.5</v>
      </c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customHeight="1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4"/>
      <c r="M44" s="2"/>
      <c r="N44" s="2"/>
      <c r="O44" s="5"/>
      <c r="Q44" s="3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customHeight="1">
      <c r="A45" s="2"/>
      <c r="B45" s="5"/>
      <c r="C45" s="5"/>
      <c r="D45" s="5"/>
      <c r="E45" s="5"/>
      <c r="F45" s="5"/>
      <c r="G45" s="2"/>
      <c r="H45" s="2"/>
      <c r="I45" s="2"/>
      <c r="J45" s="2"/>
      <c r="K45" s="5"/>
      <c r="L45" s="77" t="s">
        <v>18</v>
      </c>
      <c r="M45" s="79" t="s">
        <v>116</v>
      </c>
      <c r="N45" s="79" t="s">
        <v>117</v>
      </c>
      <c r="O45" s="79" t="s">
        <v>118</v>
      </c>
      <c r="P45" s="79" t="s">
        <v>119</v>
      </c>
      <c r="Q45" s="79" t="s">
        <v>120</v>
      </c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customHeight="1">
      <c r="A46" s="2"/>
      <c r="B46" s="3"/>
      <c r="C46" s="2"/>
      <c r="D46" s="2"/>
      <c r="E46" s="2"/>
      <c r="F46" s="2"/>
      <c r="K46" s="2"/>
      <c r="L46" s="150">
        <v>3</v>
      </c>
      <c r="M46" s="80">
        <v>3</v>
      </c>
      <c r="N46" s="80">
        <v>4</v>
      </c>
      <c r="O46" s="99">
        <f t="shared" ref="O46:O51" si="13">N46/6</f>
        <v>0.66666666666666663</v>
      </c>
      <c r="P46" s="84">
        <f>O46*3</f>
        <v>2</v>
      </c>
      <c r="Q46" s="26">
        <f t="shared" ref="Q46:Q51" si="14">P46*5</f>
        <v>10</v>
      </c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customHeight="1">
      <c r="A47" s="5"/>
      <c r="B47" s="3"/>
      <c r="C47" s="2"/>
      <c r="D47" s="2"/>
      <c r="E47" s="2"/>
      <c r="F47" s="2"/>
      <c r="K47" s="2"/>
      <c r="L47" s="151"/>
      <c r="M47" s="80">
        <v>4</v>
      </c>
      <c r="N47" s="80">
        <v>3</v>
      </c>
      <c r="O47" s="99">
        <f t="shared" si="13"/>
        <v>0.5</v>
      </c>
      <c r="P47" s="84">
        <f>O47*3</f>
        <v>1.5</v>
      </c>
      <c r="Q47" s="26">
        <f t="shared" si="14"/>
        <v>7.5</v>
      </c>
      <c r="R47" s="101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customHeight="1">
      <c r="A48" s="2"/>
      <c r="B48" s="3"/>
      <c r="C48" s="2"/>
      <c r="D48" s="2"/>
      <c r="E48" s="2"/>
      <c r="F48" s="2"/>
      <c r="K48" s="2"/>
      <c r="L48" s="151"/>
      <c r="M48" s="80">
        <v>10</v>
      </c>
      <c r="N48" s="80">
        <v>3</v>
      </c>
      <c r="O48" s="99">
        <f t="shared" si="13"/>
        <v>0.5</v>
      </c>
      <c r="P48" s="84">
        <f>O48*3</f>
        <v>1.5</v>
      </c>
      <c r="Q48" s="26">
        <f t="shared" si="14"/>
        <v>7.5</v>
      </c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customHeight="1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151"/>
      <c r="M49" s="85">
        <v>11</v>
      </c>
      <c r="N49" s="85">
        <v>3</v>
      </c>
      <c r="O49" s="99">
        <f t="shared" si="13"/>
        <v>0.5</v>
      </c>
      <c r="P49" s="84">
        <f>O49*3</f>
        <v>1.5</v>
      </c>
      <c r="Q49" s="26">
        <f t="shared" si="14"/>
        <v>7.5</v>
      </c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customHeight="1">
      <c r="A50" s="2"/>
      <c r="B50" s="3"/>
      <c r="C50" s="2"/>
      <c r="D50" s="2"/>
      <c r="E50" s="2"/>
      <c r="F50" s="2"/>
      <c r="G50" s="5"/>
      <c r="H50" s="5"/>
      <c r="I50" s="5"/>
      <c r="J50" s="5"/>
      <c r="K50" s="2"/>
      <c r="L50" s="151"/>
      <c r="M50" s="102">
        <v>15</v>
      </c>
      <c r="N50" s="103">
        <v>2</v>
      </c>
      <c r="O50" s="99">
        <f t="shared" si="13"/>
        <v>0.33333333333333331</v>
      </c>
      <c r="P50" s="84">
        <f>O50*3</f>
        <v>1</v>
      </c>
      <c r="Q50" s="26">
        <f t="shared" si="14"/>
        <v>5</v>
      </c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customHeight="1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151"/>
      <c r="M51" s="102">
        <v>16</v>
      </c>
      <c r="N51" s="103">
        <v>1</v>
      </c>
      <c r="O51" s="99">
        <f t="shared" si="13"/>
        <v>0.16666666666666666</v>
      </c>
      <c r="P51" s="84">
        <f>O51*3</f>
        <v>0.5</v>
      </c>
      <c r="Q51" s="26">
        <f t="shared" si="14"/>
        <v>2.5</v>
      </c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customHeight="1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152"/>
      <c r="M52" s="91" t="s">
        <v>51</v>
      </c>
      <c r="N52" s="92">
        <f>SUM(N46:N51)</f>
        <v>16</v>
      </c>
      <c r="O52" s="94">
        <f t="shared" ref="O51:P52" si="15">SUM(O46:O51)</f>
        <v>2.6666666666666665</v>
      </c>
      <c r="P52" s="95">
        <f>SUM(P46:P51)</f>
        <v>8</v>
      </c>
      <c r="Q52" s="92">
        <f>SUM(Q46:Q51)</f>
        <v>40</v>
      </c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customHeight="1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104"/>
      <c r="M53" s="2"/>
      <c r="N53" s="2"/>
      <c r="O53" s="5"/>
      <c r="Q53" s="3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customHeight="1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77" t="s">
        <v>18</v>
      </c>
      <c r="M54" s="79" t="s">
        <v>116</v>
      </c>
      <c r="N54" s="79" t="s">
        <v>117</v>
      </c>
      <c r="O54" s="79" t="s">
        <v>118</v>
      </c>
      <c r="P54" s="79" t="s">
        <v>119</v>
      </c>
      <c r="Q54" s="79" t="s">
        <v>120</v>
      </c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customHeight="1">
      <c r="A55" s="5"/>
      <c r="B55" s="3"/>
      <c r="C55" s="2"/>
      <c r="D55" s="2"/>
      <c r="E55" s="2"/>
      <c r="F55" s="2"/>
      <c r="G55" s="2"/>
      <c r="H55" s="2"/>
      <c r="I55" s="2"/>
      <c r="J55" s="2"/>
      <c r="K55" s="2"/>
      <c r="L55" s="150">
        <v>4</v>
      </c>
      <c r="M55" s="80">
        <v>5</v>
      </c>
      <c r="N55" s="80">
        <v>4</v>
      </c>
      <c r="O55" s="82">
        <f t="shared" ref="O55:O56" si="16">N55/6</f>
        <v>0.66666666666666663</v>
      </c>
      <c r="P55" s="84">
        <f>O55*3</f>
        <v>2</v>
      </c>
      <c r="Q55" s="26">
        <f t="shared" ref="Q55:Q56" si="17">P55*5</f>
        <v>10</v>
      </c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customHeight="1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151"/>
      <c r="M56" s="80">
        <v>6</v>
      </c>
      <c r="N56" s="80">
        <v>4</v>
      </c>
      <c r="O56" s="82">
        <f t="shared" si="16"/>
        <v>0.66666666666666663</v>
      </c>
      <c r="P56" s="84">
        <f>O56*3</f>
        <v>2</v>
      </c>
      <c r="Q56" s="26">
        <f t="shared" si="17"/>
        <v>10</v>
      </c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customHeight="1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151"/>
      <c r="M57" s="87"/>
      <c r="N57" s="3"/>
      <c r="O57" s="88"/>
      <c r="P57" s="89"/>
      <c r="Q57" s="90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customHeight="1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151"/>
      <c r="M58" s="87"/>
      <c r="N58" s="3"/>
      <c r="O58" s="88"/>
      <c r="P58" s="89"/>
      <c r="Q58" s="90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customHeight="1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152"/>
      <c r="M59" s="91" t="s">
        <v>51</v>
      </c>
      <c r="N59" s="92">
        <f>SUM(N55:N58)</f>
        <v>8</v>
      </c>
      <c r="O59" s="94">
        <f t="shared" ref="O58:P59" si="18">SUM(O55:O58)</f>
        <v>1.3333333333333333</v>
      </c>
      <c r="P59" s="95">
        <f>SUM(P55:P58)</f>
        <v>4</v>
      </c>
      <c r="Q59" s="92">
        <f>SUM(Q55:Q58)</f>
        <v>20</v>
      </c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customHeight="1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4"/>
      <c r="M60" s="2"/>
      <c r="N60" s="2"/>
      <c r="O60" s="5"/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customHeight="1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77" t="s">
        <v>18</v>
      </c>
      <c r="M61" s="196" t="s">
        <v>116</v>
      </c>
      <c r="N61" s="196" t="s">
        <v>117</v>
      </c>
      <c r="O61" s="196" t="s">
        <v>118</v>
      </c>
      <c r="P61" s="196" t="s">
        <v>119</v>
      </c>
      <c r="Q61" s="196" t="s">
        <v>120</v>
      </c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customHeight="1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194">
        <v>5</v>
      </c>
      <c r="M62" s="201">
        <v>7</v>
      </c>
      <c r="N62" s="201">
        <v>4</v>
      </c>
      <c r="O62" s="202">
        <f t="shared" ref="O62:O67" si="19">N62/6</f>
        <v>0.66666666666666663</v>
      </c>
      <c r="P62" s="203">
        <f>O62*3</f>
        <v>2</v>
      </c>
      <c r="Q62" s="204">
        <f t="shared" ref="Q62:Q67" si="20">P62*5</f>
        <v>10</v>
      </c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customHeight="1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195"/>
      <c r="M63" s="201">
        <v>8</v>
      </c>
      <c r="N63" s="201">
        <v>4</v>
      </c>
      <c r="O63" s="202">
        <f t="shared" si="19"/>
        <v>0.66666666666666663</v>
      </c>
      <c r="P63" s="203">
        <f>O63*3</f>
        <v>2</v>
      </c>
      <c r="Q63" s="204">
        <f t="shared" si="20"/>
        <v>10</v>
      </c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customHeight="1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195"/>
      <c r="M64" s="201">
        <v>9</v>
      </c>
      <c r="N64" s="201">
        <v>8</v>
      </c>
      <c r="O64" s="202">
        <f t="shared" si="19"/>
        <v>1.3333333333333333</v>
      </c>
      <c r="P64" s="203">
        <f>O64*3</f>
        <v>4</v>
      </c>
      <c r="Q64" s="204">
        <f t="shared" si="20"/>
        <v>20</v>
      </c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customHeight="1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195"/>
      <c r="M65" s="201">
        <v>19</v>
      </c>
      <c r="N65" s="205">
        <v>10</v>
      </c>
      <c r="O65" s="202">
        <f t="shared" si="19"/>
        <v>1.6666666666666667</v>
      </c>
      <c r="P65" s="203">
        <f t="shared" ref="P65:P67" si="21">O65*3</f>
        <v>5</v>
      </c>
      <c r="Q65" s="204">
        <f t="shared" si="20"/>
        <v>25</v>
      </c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s="147" customFormat="1" ht="12.75" customHeight="1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195"/>
      <c r="M66" s="201">
        <v>20</v>
      </c>
      <c r="N66" s="205">
        <v>1</v>
      </c>
      <c r="O66" s="202">
        <f t="shared" si="19"/>
        <v>0.16666666666666666</v>
      </c>
      <c r="P66" s="203">
        <f t="shared" si="21"/>
        <v>0.5</v>
      </c>
      <c r="Q66" s="204">
        <f t="shared" si="20"/>
        <v>2.5</v>
      </c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s="147" customFormat="1" ht="12.75" customHeight="1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195"/>
      <c r="M67" s="201">
        <v>21</v>
      </c>
      <c r="N67" s="205">
        <v>1</v>
      </c>
      <c r="O67" s="202">
        <f t="shared" si="19"/>
        <v>0.16666666666666666</v>
      </c>
      <c r="P67" s="203">
        <f t="shared" si="21"/>
        <v>0.5</v>
      </c>
      <c r="Q67" s="204">
        <f t="shared" si="20"/>
        <v>2.5</v>
      </c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customHeight="1">
      <c r="A68" s="5"/>
      <c r="B68" s="3"/>
      <c r="C68" s="2"/>
      <c r="D68" s="2"/>
      <c r="E68" s="2"/>
      <c r="F68" s="2"/>
      <c r="G68" s="2"/>
      <c r="H68" s="2"/>
      <c r="I68" s="2"/>
      <c r="J68" s="2"/>
      <c r="K68" s="2"/>
      <c r="L68" s="152"/>
      <c r="M68" s="197" t="s">
        <v>51</v>
      </c>
      <c r="N68" s="198">
        <f>SUM(N62:N67)</f>
        <v>28</v>
      </c>
      <c r="O68" s="199">
        <f>SUM(O62:O67)</f>
        <v>4.666666666666667</v>
      </c>
      <c r="P68" s="200">
        <f>SUM(P62:P67)</f>
        <v>14</v>
      </c>
      <c r="Q68" s="198">
        <f>SUM(Q62:Q67)</f>
        <v>70</v>
      </c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 customHeight="1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4"/>
      <c r="M69" s="2"/>
      <c r="N69" s="2"/>
      <c r="O69" s="5"/>
      <c r="P69" s="3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 customHeight="1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4"/>
      <c r="M70" s="2"/>
      <c r="N70" s="2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 customHeight="1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4"/>
      <c r="M71" s="2"/>
      <c r="N71" s="2"/>
      <c r="O71" s="5"/>
      <c r="P71" s="3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" customHeight="1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4"/>
      <c r="M72" s="2"/>
      <c r="N72" s="2"/>
      <c r="O72" s="5"/>
    </row>
  </sheetData>
  <mergeCells count="6">
    <mergeCell ref="A2:P2"/>
    <mergeCell ref="L32:L36"/>
    <mergeCell ref="L39:L43"/>
    <mergeCell ref="L55:L59"/>
    <mergeCell ref="L62:L68"/>
    <mergeCell ref="L46:L52"/>
  </mergeCells>
  <conditionalFormatting sqref="M39:N39">
    <cfRule type="expression" dxfId="444" priority="31">
      <formula>$E38="Removed"</formula>
    </cfRule>
  </conditionalFormatting>
  <conditionalFormatting sqref="M39:N39">
    <cfRule type="expression" dxfId="443" priority="32">
      <formula>$E38="Ongoing"</formula>
    </cfRule>
  </conditionalFormatting>
  <conditionalFormatting sqref="M39:N39">
    <cfRule type="expression" dxfId="442" priority="33">
      <formula>$E38="Done"</formula>
    </cfRule>
  </conditionalFormatting>
  <conditionalFormatting sqref="M39:M40">
    <cfRule type="expression" dxfId="441" priority="34">
      <formula>$C38="Done"</formula>
    </cfRule>
  </conditionalFormatting>
  <conditionalFormatting sqref="M39:M40">
    <cfRule type="expression" dxfId="440" priority="35">
      <formula>$C38="Ongoing"</formula>
    </cfRule>
  </conditionalFormatting>
  <conditionalFormatting sqref="M39:M40">
    <cfRule type="expression" dxfId="439" priority="36">
      <formula>$C38="Removed"</formula>
    </cfRule>
  </conditionalFormatting>
  <conditionalFormatting sqref="M34:N34">
    <cfRule type="expression" dxfId="438" priority="37">
      <formula>$E37="Removed"</formula>
    </cfRule>
  </conditionalFormatting>
  <conditionalFormatting sqref="M34:N34">
    <cfRule type="expression" dxfId="437" priority="38">
      <formula>$E37="Ongoing"</formula>
    </cfRule>
  </conditionalFormatting>
  <conditionalFormatting sqref="M34:N34">
    <cfRule type="expression" dxfId="436" priority="39">
      <formula>$E37="Done"</formula>
    </cfRule>
  </conditionalFormatting>
  <conditionalFormatting sqref="M34">
    <cfRule type="expression" dxfId="435" priority="40">
      <formula>$C38="Done"</formula>
    </cfRule>
  </conditionalFormatting>
  <conditionalFormatting sqref="M34">
    <cfRule type="expression" dxfId="434" priority="41">
      <formula>$C38="Ongoing"</formula>
    </cfRule>
  </conditionalFormatting>
  <conditionalFormatting sqref="M34">
    <cfRule type="expression" dxfId="433" priority="42">
      <formula>$C38="Removed"</formula>
    </cfRule>
  </conditionalFormatting>
  <conditionalFormatting sqref="O27:O29">
    <cfRule type="expression" dxfId="432" priority="43">
      <formula>$H42="Done"</formula>
    </cfRule>
  </conditionalFormatting>
  <conditionalFormatting sqref="O27:O29">
    <cfRule type="expression" dxfId="431" priority="44">
      <formula>$H42="Ongoing"</formula>
    </cfRule>
  </conditionalFormatting>
  <conditionalFormatting sqref="O27:O29">
    <cfRule type="expression" dxfId="430" priority="45">
      <formula>$H42="Removed"</formula>
    </cfRule>
  </conditionalFormatting>
  <conditionalFormatting sqref="M28:M30 M5:O23 A28:A30 A24:B24">
    <cfRule type="expression" dxfId="429" priority="46">
      <formula>$E5="Done"</formula>
    </cfRule>
  </conditionalFormatting>
  <conditionalFormatting sqref="M28:M30 M5:O23 A28:A30 A24:B24">
    <cfRule type="expression" dxfId="428" priority="47">
      <formula>$E5="Ongoing"</formula>
    </cfRule>
  </conditionalFormatting>
  <conditionalFormatting sqref="M28:M30 M5:O23 A28:A30 A24:B24">
    <cfRule type="expression" dxfId="427" priority="48">
      <formula>$E5="Removed"</formula>
    </cfRule>
  </conditionalFormatting>
  <conditionalFormatting sqref="M33 M47:M48 M56:M57 M63:M64">
    <cfRule type="expression" dxfId="426" priority="52">
      <formula>$C31="Removed"</formula>
    </cfRule>
  </conditionalFormatting>
  <conditionalFormatting sqref="M33 M47:M48 M56:M57 M63:M64">
    <cfRule type="expression" dxfId="425" priority="53">
      <formula>$C31="Ongoing"</formula>
    </cfRule>
  </conditionalFormatting>
  <conditionalFormatting sqref="M33 M47:M48 M56:M57 M63:M64">
    <cfRule type="expression" dxfId="424" priority="54">
      <formula>$C31="Done"</formula>
    </cfRule>
  </conditionalFormatting>
  <conditionalFormatting sqref="K32:K36 M32 M46 M55 M62">
    <cfRule type="expression" dxfId="423" priority="55">
      <formula>$C31="Removed"</formula>
    </cfRule>
  </conditionalFormatting>
  <conditionalFormatting sqref="K32:K36 M32 M46 M55 M62">
    <cfRule type="expression" dxfId="422" priority="56">
      <formula>$C31="Ongoing"</formula>
    </cfRule>
  </conditionalFormatting>
  <conditionalFormatting sqref="K32:K36 M32 M46 M55 M62">
    <cfRule type="expression" dxfId="421" priority="57">
      <formula>$C31="Done"</formula>
    </cfRule>
  </conditionalFormatting>
  <conditionalFormatting sqref="C5:K5 L5:L21 C7:D9 F7:K9 N30 B42:B55 C48:F50 K48:K50 C51:K63 L53:L63 B58:B63 B65:L1012 A5:B23 B28:B40">
    <cfRule type="expression" dxfId="420" priority="58">
      <formula>$E5="Done"</formula>
    </cfRule>
  </conditionalFormatting>
  <conditionalFormatting sqref="C5:K5 L5:L21 C7:D9 F7:K9 N30 B42:B55 C48:F50 K48:K50 C51:K63 L53:L63 B58:B63 B65:L1012 A5:B23 B28:B40">
    <cfRule type="expression" dxfId="419" priority="59">
      <formula>$E5="Ongoing"</formula>
    </cfRule>
  </conditionalFormatting>
  <conditionalFormatting sqref="C5:K5 L5:L21 C7:D9 F7:K9 N30 B42:B55 C48:F50 K48:K50 C51:K63 L53:L63 B58:B63 B65:L1012 A5:B23 B28:B40">
    <cfRule type="expression" dxfId="418" priority="60">
      <formula>$E5="Removed"</formula>
    </cfRule>
  </conditionalFormatting>
  <conditionalFormatting sqref="P70">
    <cfRule type="expression" dxfId="417" priority="61">
      <formula>$E54="Done"</formula>
    </cfRule>
  </conditionalFormatting>
  <conditionalFormatting sqref="P70">
    <cfRule type="expression" dxfId="416" priority="62">
      <formula>$E54="Ongoing"</formula>
    </cfRule>
  </conditionalFormatting>
  <conditionalFormatting sqref="P70">
    <cfRule type="expression" dxfId="415" priority="63">
      <formula>$E54="Removed"</formula>
    </cfRule>
  </conditionalFormatting>
  <conditionalFormatting sqref="A31 K31:L31 L38 L45 L54 L61 N31:Q31 N38:Q38 N45:Q45 N54:Q54 N61:Q61">
    <cfRule type="expression" dxfId="414" priority="64">
      <formula>#REF!="Done"</formula>
    </cfRule>
  </conditionalFormatting>
  <conditionalFormatting sqref="A31 K31:L31 L38 L45 L54 L61 N31:Q31 N38:Q38 N45:Q45 N54:Q54 N61:Q61">
    <cfRule type="expression" dxfId="413" priority="65">
      <formula>#REF!="Ongoing"</formula>
    </cfRule>
  </conditionalFormatting>
  <conditionalFormatting sqref="A31 K31:L31 L38 L45 L54 L61 N31:Q31 N38:Q38 N45:Q45 N54:Q54 N61:Q61">
    <cfRule type="expression" dxfId="412" priority="66">
      <formula>#REF!="Removed"</formula>
    </cfRule>
  </conditionalFormatting>
  <conditionalFormatting sqref="N5:O5">
    <cfRule type="expression" dxfId="411" priority="67">
      <formula>$E5="Done"</formula>
    </cfRule>
  </conditionalFormatting>
  <conditionalFormatting sqref="N5:O5">
    <cfRule type="expression" dxfId="410" priority="68">
      <formula>$E5="Ongoing"</formula>
    </cfRule>
  </conditionalFormatting>
  <conditionalFormatting sqref="N5:O5">
    <cfRule type="expression" dxfId="409" priority="69">
      <formula>$E5="Removed"</formula>
    </cfRule>
  </conditionalFormatting>
  <conditionalFormatting sqref="M37:N37 A37 Q24">
    <cfRule type="expression" dxfId="408" priority="70">
      <formula>$C15="Done"</formula>
    </cfRule>
  </conditionalFormatting>
  <conditionalFormatting sqref="M37:N37 A37 Q24">
    <cfRule type="expression" dxfId="407" priority="71">
      <formula>$C15="Ongoing"</formula>
    </cfRule>
  </conditionalFormatting>
  <conditionalFormatting sqref="M37:N37 A37 Q24">
    <cfRule type="expression" dxfId="406" priority="72">
      <formula>$C15="Removed"</formula>
    </cfRule>
  </conditionalFormatting>
  <conditionalFormatting sqref="M40:N40 A41 Q44">
    <cfRule type="expression" dxfId="405" priority="73">
      <formula>#REF!="Done"</formula>
    </cfRule>
  </conditionalFormatting>
  <conditionalFormatting sqref="M40:N40 A41 Q44">
    <cfRule type="expression" dxfId="404" priority="74">
      <formula>#REF!="Ongoing"</formula>
    </cfRule>
  </conditionalFormatting>
  <conditionalFormatting sqref="M40:N40 A41 Q44">
    <cfRule type="expression" dxfId="403" priority="75">
      <formula>#REF!="Removed"</formula>
    </cfRule>
  </conditionalFormatting>
  <conditionalFormatting sqref="A39:A40 M42:N57 P25:P26 M70:N1012 A42:A66 M60:N66">
    <cfRule type="expression" dxfId="402" priority="76">
      <formula>$E23="Done"</formula>
    </cfRule>
  </conditionalFormatting>
  <conditionalFormatting sqref="A39:A40 M42:N57 P25:P26 M70:N1012 A42:A66 M60:N66">
    <cfRule type="expression" dxfId="401" priority="77">
      <formula>$E23="Ongoing"</formula>
    </cfRule>
  </conditionalFormatting>
  <conditionalFormatting sqref="A39:A40 M42:N57 P25:P26 M70:N1012 A42:A66 M60:N66">
    <cfRule type="expression" dxfId="400" priority="78">
      <formula>$E23="Removed"</formula>
    </cfRule>
  </conditionalFormatting>
  <conditionalFormatting sqref="P69 P71">
    <cfRule type="expression" dxfId="399" priority="79">
      <formula>$E63="Done"</formula>
    </cfRule>
  </conditionalFormatting>
  <conditionalFormatting sqref="P69 P71">
    <cfRule type="expression" dxfId="398" priority="80">
      <formula>$E63="Ongoing"</formula>
    </cfRule>
  </conditionalFormatting>
  <conditionalFormatting sqref="P69 P71">
    <cfRule type="expression" dxfId="397" priority="81">
      <formula>$E63="Removed"</formula>
    </cfRule>
  </conditionalFormatting>
  <conditionalFormatting sqref="Q38 M65:M66">
    <cfRule type="expression" dxfId="396" priority="82">
      <formula>$C34="Done"</formula>
    </cfRule>
  </conditionalFormatting>
  <conditionalFormatting sqref="Q38 M65:M66">
    <cfRule type="expression" dxfId="395" priority="83">
      <formula>$C34="Ongoing"</formula>
    </cfRule>
  </conditionalFormatting>
  <conditionalFormatting sqref="Q38 M65:M66">
    <cfRule type="expression" dxfId="394" priority="84">
      <formula>$C34="Removed"</formula>
    </cfRule>
  </conditionalFormatting>
  <conditionalFormatting sqref="M35 M42 M49 M58">
    <cfRule type="expression" dxfId="393" priority="85">
      <formula>$C31="Done"</formula>
    </cfRule>
  </conditionalFormatting>
  <conditionalFormatting sqref="M35 M42 M49 M58">
    <cfRule type="expression" dxfId="392" priority="86">
      <formula>$C31="Ongoing"</formula>
    </cfRule>
  </conditionalFormatting>
  <conditionalFormatting sqref="M35 M42 M49 M58">
    <cfRule type="expression" dxfId="391" priority="87">
      <formula>$C31="Removed"</formula>
    </cfRule>
  </conditionalFormatting>
  <conditionalFormatting sqref="M36:N36 M43:N43 M50:N52 M59:N59">
    <cfRule type="expression" dxfId="390" priority="88">
      <formula>$C33="Done"</formula>
    </cfRule>
  </conditionalFormatting>
  <conditionalFormatting sqref="M36:N36 M43:N43 M50:N52 M59:N59">
    <cfRule type="expression" dxfId="389" priority="89">
      <formula>$C33="Ongoing"</formula>
    </cfRule>
  </conditionalFormatting>
  <conditionalFormatting sqref="M36:N36 M43:N43 M50:N52 M59:N59">
    <cfRule type="expression" dxfId="388" priority="90">
      <formula>$C33="Removed"</formula>
    </cfRule>
  </conditionalFormatting>
  <conditionalFormatting sqref="O24:Q24 O23">
    <cfRule type="expression" dxfId="387" priority="184">
      <formula>$H41="Done"</formula>
    </cfRule>
  </conditionalFormatting>
  <conditionalFormatting sqref="O24:Q24 O23">
    <cfRule type="expression" dxfId="386" priority="186">
      <formula>$H41="Ongoing"</formula>
    </cfRule>
  </conditionalFormatting>
  <conditionalFormatting sqref="O24:Q24 O23">
    <cfRule type="expression" dxfId="385" priority="188">
      <formula>$H41="Removed"</formula>
    </cfRule>
  </conditionalFormatting>
  <conditionalFormatting sqref="P29 Q27:Q28 Q25">
    <cfRule type="expression" dxfId="384" priority="203">
      <formula>$C14="Done"</formula>
    </cfRule>
  </conditionalFormatting>
  <conditionalFormatting sqref="P29 Q27:Q28 Q25">
    <cfRule type="expression" dxfId="383" priority="208">
      <formula>$C14="Ongoing"</formula>
    </cfRule>
  </conditionalFormatting>
  <conditionalFormatting sqref="P29 Q27:Q28 Q25">
    <cfRule type="expression" dxfId="382" priority="213">
      <formula>$C14="Removed"</formula>
    </cfRule>
  </conditionalFormatting>
  <conditionalFormatting sqref="N24:P24">
    <cfRule type="expression" dxfId="381" priority="216">
      <formula>#REF!="Done"</formula>
    </cfRule>
  </conditionalFormatting>
  <conditionalFormatting sqref="N24:P24">
    <cfRule type="expression" dxfId="380" priority="219">
      <formula>#REF!="Ongoing"</formula>
    </cfRule>
  </conditionalFormatting>
  <conditionalFormatting sqref="N24:P24">
    <cfRule type="expression" dxfId="379" priority="222">
      <formula>#REF!="Removed"</formula>
    </cfRule>
  </conditionalFormatting>
  <conditionalFormatting sqref="P27:Q28 P26 P25:Q25">
    <cfRule type="expression" dxfId="378" priority="377">
      <formula>$H41="Done"</formula>
    </cfRule>
  </conditionalFormatting>
  <conditionalFormatting sqref="P27:Q28 P26 P25:Q25">
    <cfRule type="expression" dxfId="377" priority="379">
      <formula>$H41="Ongoing"</formula>
    </cfRule>
  </conditionalFormatting>
  <conditionalFormatting sqref="P27:Q28 P26 P25:Q25">
    <cfRule type="expression" dxfId="376" priority="381">
      <formula>$H41="Removed"</formula>
    </cfRule>
  </conditionalFormatting>
  <conditionalFormatting sqref="P27:P28">
    <cfRule type="expression" dxfId="375" priority="383">
      <formula>$E28="Done"</formula>
    </cfRule>
  </conditionalFormatting>
  <conditionalFormatting sqref="P27:P28">
    <cfRule type="expression" dxfId="374" priority="384">
      <formula>$E28="Ongoing"</formula>
    </cfRule>
  </conditionalFormatting>
  <conditionalFormatting sqref="P27:P28">
    <cfRule type="expression" dxfId="373" priority="385">
      <formula>$E28="Removed"</formula>
    </cfRule>
  </conditionalFormatting>
  <conditionalFormatting sqref="A32:A36">
    <cfRule type="expression" dxfId="372" priority="428">
      <formula>$C20="Done"</formula>
    </cfRule>
  </conditionalFormatting>
  <conditionalFormatting sqref="A32:A36">
    <cfRule type="expression" dxfId="371" priority="429">
      <formula>$C20="Ongoing"</formula>
    </cfRule>
  </conditionalFormatting>
  <conditionalFormatting sqref="A32:A36">
    <cfRule type="expression" dxfId="370" priority="430">
      <formula>$C20="Removed"</formula>
    </cfRule>
  </conditionalFormatting>
  <conditionalFormatting sqref="M25:O25">
    <cfRule type="expression" dxfId="369" priority="19">
      <formula>$E25="Done"</formula>
    </cfRule>
  </conditionalFormatting>
  <conditionalFormatting sqref="M25:O25">
    <cfRule type="expression" dxfId="368" priority="20">
      <formula>$E25="Ongoing"</formula>
    </cfRule>
  </conditionalFormatting>
  <conditionalFormatting sqref="M25:O25">
    <cfRule type="expression" dxfId="367" priority="21">
      <formula>$E25="Removed"</formula>
    </cfRule>
  </conditionalFormatting>
  <conditionalFormatting sqref="A25:B25">
    <cfRule type="expression" dxfId="366" priority="22">
      <formula>$E25="Done"</formula>
    </cfRule>
  </conditionalFormatting>
  <conditionalFormatting sqref="A25:B25">
    <cfRule type="expression" dxfId="365" priority="23">
      <formula>$E25="Ongoing"</formula>
    </cfRule>
  </conditionalFormatting>
  <conditionalFormatting sqref="A25:B25">
    <cfRule type="expression" dxfId="364" priority="24">
      <formula>$E25="Removed"</formula>
    </cfRule>
  </conditionalFormatting>
  <conditionalFormatting sqref="O25">
    <cfRule type="expression" dxfId="363" priority="25">
      <formula>$H43="Done"</formula>
    </cfRule>
  </conditionalFormatting>
  <conditionalFormatting sqref="O25">
    <cfRule type="expression" dxfId="362" priority="26">
      <formula>$H43="Ongoing"</formula>
    </cfRule>
  </conditionalFormatting>
  <conditionalFormatting sqref="O25">
    <cfRule type="expression" dxfId="361" priority="27">
      <formula>$H43="Removed"</formula>
    </cfRule>
  </conditionalFormatting>
  <conditionalFormatting sqref="M26:O26">
    <cfRule type="expression" dxfId="360" priority="1">
      <formula>$E26="Done"</formula>
    </cfRule>
  </conditionalFormatting>
  <conditionalFormatting sqref="M26:O26">
    <cfRule type="expression" dxfId="359" priority="2">
      <formula>$E26="Ongoing"</formula>
    </cfRule>
  </conditionalFormatting>
  <conditionalFormatting sqref="M26:O26">
    <cfRule type="expression" dxfId="358" priority="3">
      <formula>$E26="Removed"</formula>
    </cfRule>
  </conditionalFormatting>
  <conditionalFormatting sqref="A26:B26">
    <cfRule type="expression" dxfId="357" priority="4">
      <formula>$E26="Done"</formula>
    </cfRule>
  </conditionalFormatting>
  <conditionalFormatting sqref="A26:B26">
    <cfRule type="expression" dxfId="356" priority="5">
      <formula>$E26="Ongoing"</formula>
    </cfRule>
  </conditionalFormatting>
  <conditionalFormatting sqref="A26:B26">
    <cfRule type="expression" dxfId="355" priority="6">
      <formula>$E26="Removed"</formula>
    </cfRule>
  </conditionalFormatting>
  <conditionalFormatting sqref="O26">
    <cfRule type="expression" dxfId="354" priority="7">
      <formula>$H44="Done"</formula>
    </cfRule>
  </conditionalFormatting>
  <conditionalFormatting sqref="O26">
    <cfRule type="expression" dxfId="353" priority="8">
      <formula>$H44="Ongoing"</formula>
    </cfRule>
  </conditionalFormatting>
  <conditionalFormatting sqref="O26">
    <cfRule type="expression" dxfId="352" priority="9">
      <formula>$H44="Removed"</formula>
    </cfRule>
  </conditionalFormatting>
  <conditionalFormatting sqref="Q26">
    <cfRule type="expression" dxfId="351" priority="13">
      <formula>$C16="Done"</formula>
    </cfRule>
  </conditionalFormatting>
  <conditionalFormatting sqref="Q26">
    <cfRule type="expression" dxfId="350" priority="14">
      <formula>$C16="Ongoing"</formula>
    </cfRule>
  </conditionalFormatting>
  <conditionalFormatting sqref="Q26">
    <cfRule type="expression" dxfId="349" priority="15">
      <formula>$C16="Removed"</formula>
    </cfRule>
  </conditionalFormatting>
  <conditionalFormatting sqref="Q26">
    <cfRule type="expression" dxfId="348" priority="16">
      <formula>$H43="Done"</formula>
    </cfRule>
  </conditionalFormatting>
  <conditionalFormatting sqref="Q26">
    <cfRule type="expression" dxfId="347" priority="17">
      <formula>$H43="Ongoing"</formula>
    </cfRule>
  </conditionalFormatting>
  <conditionalFormatting sqref="Q26">
    <cfRule type="expression" dxfId="346" priority="18">
      <formula>$H43="Removed"</formula>
    </cfRule>
  </conditionalFormatting>
  <conditionalFormatting sqref="Q53:Q54 Q60:Q61 Q45">
    <cfRule type="expression" dxfId="345" priority="431">
      <formula>$E40="Done"</formula>
    </cfRule>
  </conditionalFormatting>
  <conditionalFormatting sqref="Q53:Q54 Q60:Q61 Q45">
    <cfRule type="expression" dxfId="344" priority="434">
      <formula>$E40="Ongoing"</formula>
    </cfRule>
  </conditionalFormatting>
  <conditionalFormatting sqref="Q53:Q54 Q60:Q61 Q45">
    <cfRule type="expression" dxfId="343" priority="437">
      <formula>$E40="Removed"</formula>
    </cfRule>
  </conditionalFormatting>
  <conditionalFormatting sqref="M69:N69">
    <cfRule type="expression" dxfId="342" priority="438">
      <formula>$E65="Done"</formula>
    </cfRule>
  </conditionalFormatting>
  <conditionalFormatting sqref="M69:N69">
    <cfRule type="expression" dxfId="341" priority="440">
      <formula>$E65="Ongoing"</formula>
    </cfRule>
  </conditionalFormatting>
  <conditionalFormatting sqref="M69:N69">
    <cfRule type="expression" dxfId="340" priority="442">
      <formula>$E65="Removed"</formula>
    </cfRule>
  </conditionalFormatting>
  <conditionalFormatting sqref="P72:P1011">
    <cfRule type="expression" dxfId="339" priority="445">
      <formula>$E68="Done"</formula>
    </cfRule>
  </conditionalFormatting>
  <conditionalFormatting sqref="P72:P1011">
    <cfRule type="expression" dxfId="338" priority="447">
      <formula>$E68="Ongoing"</formula>
    </cfRule>
  </conditionalFormatting>
  <conditionalFormatting sqref="P72:P1011">
    <cfRule type="expression" dxfId="337" priority="449">
      <formula>$E68="Removed"</formula>
    </cfRule>
  </conditionalFormatting>
  <conditionalFormatting sqref="A67 M67:N67">
    <cfRule type="expression" dxfId="336" priority="451">
      <formula>$E64="Done"</formula>
    </cfRule>
  </conditionalFormatting>
  <conditionalFormatting sqref="A67 M67:N67">
    <cfRule type="expression" dxfId="335" priority="455">
      <formula>$E64="Ongoing"</formula>
    </cfRule>
  </conditionalFormatting>
  <conditionalFormatting sqref="A67 M67:N67">
    <cfRule type="expression" dxfId="334" priority="459">
      <formula>$E64="Removed"</formula>
    </cfRule>
  </conditionalFormatting>
  <conditionalFormatting sqref="M68:N68 M67">
    <cfRule type="expression" dxfId="333" priority="465">
      <formula>$C62="Done"</formula>
    </cfRule>
  </conditionalFormatting>
  <conditionalFormatting sqref="M68:N68 M67">
    <cfRule type="expression" dxfId="332" priority="466">
      <formula>$C62="Ongoing"</formula>
    </cfRule>
  </conditionalFormatting>
  <conditionalFormatting sqref="M68:N68 M67">
    <cfRule type="expression" dxfId="331" priority="467">
      <formula>$C62="Removed"</formula>
    </cfRule>
  </conditionalFormatting>
  <dataValidations count="1">
    <dataValidation type="list" allowBlank="1" showInputMessage="1" prompt=" - " sqref="C48:F50 K48:K50 C51:K52 C53:L53 C54:K59 C60:L60 C61:K63 C65:K68 C69:L176">
      <formula1>"Planned,Ongoing,Done,Removed"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8"/>
  <sheetViews>
    <sheetView zoomScale="70" zoomScaleNormal="70" workbookViewId="0">
      <selection activeCell="D40" sqref="D40"/>
    </sheetView>
  </sheetViews>
  <sheetFormatPr baseColWidth="10" defaultColWidth="14.42578125" defaultRowHeight="15" customHeight="1"/>
  <cols>
    <col min="1" max="1" width="5.28515625" customWidth="1"/>
    <col min="2" max="2" width="76.140625" customWidth="1"/>
    <col min="3" max="3" width="10.42578125" customWidth="1"/>
    <col min="4" max="4" width="18.7109375" customWidth="1"/>
    <col min="5" max="5" width="9.5703125" customWidth="1"/>
    <col min="6" max="6" width="16.28515625" customWidth="1"/>
    <col min="7" max="7" width="14.28515625" customWidth="1"/>
    <col min="8" max="8" width="17.42578125" customWidth="1"/>
    <col min="9" max="9" width="15.7109375" customWidth="1"/>
    <col min="10" max="10" width="12.28515625" customWidth="1"/>
    <col min="11" max="11" width="15.7109375" customWidth="1"/>
    <col min="12" max="12" width="16.28515625" customWidth="1"/>
    <col min="13" max="13" width="12.28515625" customWidth="1"/>
    <col min="14" max="14" width="14.7109375" customWidth="1"/>
    <col min="15" max="16" width="12.28515625" customWidth="1"/>
    <col min="17" max="17" width="15.28515625" customWidth="1"/>
    <col min="18" max="18" width="12.28515625" customWidth="1"/>
    <col min="19" max="19" width="15.28515625" customWidth="1"/>
    <col min="20" max="20" width="12.28515625" customWidth="1"/>
    <col min="21" max="21" width="11.85546875" customWidth="1"/>
    <col min="22" max="31" width="9.140625" customWidth="1"/>
  </cols>
  <sheetData>
    <row r="1" spans="1:31" ht="12.75" customHeight="1">
      <c r="A1" s="2"/>
      <c r="B1" s="13"/>
      <c r="C1" s="14"/>
      <c r="D1" s="13"/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18" customHeight="1">
      <c r="A2" s="2"/>
      <c r="B2" s="15">
        <v>4</v>
      </c>
      <c r="C2" s="16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ht="12.75" customHeight="1">
      <c r="A3" s="2"/>
      <c r="B3" s="13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ht="12.75" customHeight="1">
      <c r="A4" s="2"/>
      <c r="B4" s="13"/>
      <c r="C4" s="14"/>
      <c r="D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12.75" customHeight="1">
      <c r="A5" s="2"/>
      <c r="B5" s="13"/>
      <c r="C5" s="14"/>
      <c r="D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ht="12.75" customHeight="1">
      <c r="A6" s="2"/>
      <c r="B6" s="13"/>
      <c r="C6" s="14"/>
      <c r="D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12.75" customHeight="1">
      <c r="A7" s="2"/>
      <c r="B7" s="13"/>
      <c r="C7" s="14"/>
      <c r="D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12.75" customHeight="1">
      <c r="A8" s="2"/>
      <c r="B8" s="13"/>
      <c r="C8" s="14"/>
      <c r="D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ht="12.75" customHeight="1">
      <c r="A9" s="2"/>
      <c r="B9" s="13"/>
      <c r="C9" s="14"/>
      <c r="D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ht="12.75" customHeight="1">
      <c r="A10" s="2"/>
      <c r="B10" s="13"/>
      <c r="C10" s="14"/>
      <c r="D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ht="12.75" customHeight="1">
      <c r="A11" s="2"/>
      <c r="B11" s="13"/>
      <c r="C11" s="14"/>
      <c r="D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ht="12.75" customHeight="1">
      <c r="A12" s="2"/>
      <c r="B12" s="13"/>
      <c r="C12" s="14"/>
      <c r="D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ht="12.75" customHeight="1">
      <c r="A13" s="2"/>
      <c r="B13" s="13"/>
      <c r="C13" s="21"/>
      <c r="D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ht="12.75" customHeight="1">
      <c r="A14" s="2"/>
      <c r="B14" s="13"/>
      <c r="C14" s="21"/>
      <c r="D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ht="12.75" customHeight="1">
      <c r="A15" s="2"/>
      <c r="B15" s="13"/>
      <c r="C15" s="21"/>
      <c r="D15" s="22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27" customHeight="1">
      <c r="C16" s="24"/>
    </row>
    <row r="17" spans="1:31" ht="27" customHeight="1">
      <c r="C17" s="24"/>
    </row>
    <row r="18" spans="1:31" ht="27" customHeight="1">
      <c r="C18" s="24"/>
    </row>
    <row r="19" spans="1:31" ht="27" customHeight="1">
      <c r="A19" s="31"/>
      <c r="B19" s="33" t="s">
        <v>43</v>
      </c>
      <c r="C19" s="21">
        <v>14</v>
      </c>
      <c r="D19" s="33"/>
      <c r="E19" s="34"/>
      <c r="F19" s="33" t="s">
        <v>47</v>
      </c>
      <c r="G19" s="33" t="s">
        <v>48</v>
      </c>
      <c r="H19" s="33"/>
      <c r="I19" s="33"/>
      <c r="J19" s="33"/>
      <c r="K19" s="33"/>
      <c r="L19" s="33"/>
      <c r="M19" s="33"/>
      <c r="N19" s="34"/>
      <c r="O19" s="34"/>
      <c r="P19" s="34"/>
      <c r="Q19" s="34"/>
      <c r="R19" s="34"/>
      <c r="S19" s="34"/>
      <c r="T19" s="34"/>
      <c r="U19" s="34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ht="12.75" customHeight="1">
      <c r="A20" s="31"/>
      <c r="B20" s="33" t="s">
        <v>49</v>
      </c>
      <c r="C20" s="21">
        <v>14</v>
      </c>
      <c r="D20" s="33" t="s">
        <v>50</v>
      </c>
      <c r="E20" s="33" t="s">
        <v>51</v>
      </c>
      <c r="F20" s="37">
        <f ca="1">SUM(OFFSET(F24,1,0,Sprint_Backlog_Burdown_Chart!TaskRows,1))</f>
        <v>63</v>
      </c>
      <c r="G20" s="37">
        <f ca="1">IF(AND(SUM(OFFSET(G24,1,0,Sprint_Backlog_Burdown_Chart!TaskRows,1))=0),0,SUM(OFFSET(G24,1,0,Sprint_Backlog_Burdown_Chart!TaskRows,1)))</f>
        <v>2</v>
      </c>
      <c r="H20" s="37">
        <f ca="1">IF(AND(SUM(OFFSET(H24,1,0,Sprint_Backlog_Burdown_Chart!TaskRows,1))=0),"",SUM(OFFSET(H24,1,0,Sprint_Backlog_Burdown_Chart!TaskRows,1)))</f>
        <v>1</v>
      </c>
      <c r="I20" s="37">
        <f ca="1">IF(AND(SUM(OFFSET(I24,1,0,Sprint_Backlog_Burdown_Chart!TaskRows,1))=0),"",SUM(OFFSET(I24,1,0,Sprint_Backlog_Burdown_Chart!TaskRows,1)))</f>
        <v>3</v>
      </c>
      <c r="J20" s="37">
        <f ca="1">IF(AND(SUM(OFFSET(J24,1,0,Sprint_Backlog_Burdown_Chart!TaskRows,1))=0),"",SUM(OFFSET(J24,1,0,Sprint_Backlog_Burdown_Chart!TaskRows,1)))</f>
        <v>4</v>
      </c>
      <c r="K20" s="37">
        <f ca="1">IF(AND(SUM(OFFSET(K24,1,0,Sprint_Backlog_Burdown_Chart!TaskRows,1))=0),"",SUM(OFFSET(K24,1,0,Sprint_Backlog_Burdown_Chart!TaskRows,1)))</f>
        <v>3</v>
      </c>
      <c r="L20" s="37">
        <f ca="1">IF(AND(SUM(OFFSET(L24,1,0,Sprint_Backlog_Burdown_Chart!TaskRows,1))=0),"",SUM(OFFSET(L24,1,0,Sprint_Backlog_Burdown_Chart!TaskRows,1)))</f>
        <v>4</v>
      </c>
      <c r="M20" s="37">
        <f ca="1">IF(AND(SUM(OFFSET(M24,1,0,Sprint_Backlog_Burdown_Chart!TaskRows,1))=0),"",SUM(OFFSET(M24,1,0,Sprint_Backlog_Burdown_Chart!TaskRows,1)))</f>
        <v>6</v>
      </c>
      <c r="N20" s="37">
        <f ca="1">IF(AND(SUM(OFFSET(N24,1,0,Sprint_Backlog_Burdown_Chart!TaskRows,1))=0),"",SUM(OFFSET(N24,1,0,Sprint_Backlog_Burdown_Chart!TaskRows,1)))</f>
        <v>4</v>
      </c>
      <c r="O20" s="37">
        <f ca="1">IF(AND(SUM(OFFSET(O24,1,0,Sprint_Backlog_Burdown_Chart!TaskRows,1))=0),"",SUM(OFFSET(O24,1,0,Sprint_Backlog_Burdown_Chart!TaskRows,1)))</f>
        <v>5</v>
      </c>
      <c r="P20" s="37">
        <f ca="1">IF(AND(SUM(OFFSET(P24,1,0,Sprint_Backlog_Burdown_Chart!TaskRows,1))=0),"",SUM(OFFSET(P24,1,0,Sprint_Backlog_Burdown_Chart!TaskRows,1)))</f>
        <v>8</v>
      </c>
      <c r="Q20" s="37">
        <f ca="1">IF(AND(SUM(OFFSET(Q24,1,0,Sprint_Backlog_Burdown_Chart!TaskRows,1))=0),"",SUM(OFFSET(Q24,1,0,Sprint_Backlog_Burdown_Chart!TaskRows,1)))</f>
        <v>8</v>
      </c>
      <c r="R20" s="37">
        <f ca="1">IF(AND(SUM(OFFSET(R24,1,0,Sprint_Backlog_Burdown_Chart!TaskRows,1))=0),"",SUM(OFFSET(R24,1,0,Sprint_Backlog_Burdown_Chart!TaskRows,1)))</f>
        <v>7</v>
      </c>
      <c r="S20" s="37">
        <f ca="1">IF(AND(SUM(OFFSET(S24,1,0,Sprint_Backlog_Burdown_Chart!TaskRows,1))=0),"",SUM(OFFSET(S24,1,0,Sprint_Backlog_Burdown_Chart!TaskRows,1)))</f>
        <v>11</v>
      </c>
      <c r="T20" s="37">
        <f ca="1">IF(AND(SUM(OFFSET(T24,1,0,Sprint_Backlog_Burdown_Chart!TaskRows,1))=0),"",SUM(OFFSET(T24,1,0,Sprint_Backlog_Burdown_Chart!TaskRows,1)))</f>
        <v>12</v>
      </c>
      <c r="U20" s="37" t="str">
        <f ca="1">IF(AND(SUM(OFFSET(U24,1,0,Sprint_Backlog_Burdown_Chart!TaskRows,1))=0),"",SUM(OFFSET(U24,1,0,Sprint_Backlog_Burdown_Chart!TaskRows,1)))</f>
        <v/>
      </c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12.75" customHeight="1">
      <c r="A21" s="2"/>
      <c r="B21" s="1" t="s">
        <v>81</v>
      </c>
      <c r="C21" s="55">
        <v>14</v>
      </c>
      <c r="D21" s="1" t="s">
        <v>86</v>
      </c>
      <c r="E21" s="55">
        <v>14</v>
      </c>
      <c r="F21" s="40"/>
      <c r="G21" s="40">
        <f ca="1">IF(G24="","",$F20-$F20/($C19-1)*(G24-1))</f>
        <v>63</v>
      </c>
      <c r="H21" s="40">
        <f ca="1">IF(H24="","",Sprint_Backlog_Burdown_Chart!TotalEffort-Sprint_Backlog_Burdown_Chart!TotalEffort/(Sprint_Backlog_Burdown_Chart!ImplementationDays)*(H24-1))</f>
        <v>58.5</v>
      </c>
      <c r="I21" s="40">
        <f ca="1">IF(I24="","",Sprint_Backlog_Burdown_Chart!TotalEffort-Sprint_Backlog_Burdown_Chart!TotalEffort/(Sprint_Backlog_Burdown_Chart!ImplementationDays)*(I24-1))</f>
        <v>54</v>
      </c>
      <c r="J21" s="40">
        <f ca="1">IF(J24="","",Sprint_Backlog_Burdown_Chart!TotalEffort-Sprint_Backlog_Burdown_Chart!TotalEffort/(Sprint_Backlog_Burdown_Chart!ImplementationDays)*(J24-1))</f>
        <v>49.5</v>
      </c>
      <c r="K21" s="40">
        <f ca="1">IF(K24="","",Sprint_Backlog_Burdown_Chart!TotalEffort-Sprint_Backlog_Burdown_Chart!TotalEffort/(Sprint_Backlog_Burdown_Chart!ImplementationDays)*(K24-1))</f>
        <v>45</v>
      </c>
      <c r="L21" s="40">
        <f ca="1">IF(L24="","",Sprint_Backlog_Burdown_Chart!TotalEffort-Sprint_Backlog_Burdown_Chart!TotalEffort/(Sprint_Backlog_Burdown_Chart!ImplementationDays)*(L24-1))</f>
        <v>40.5</v>
      </c>
      <c r="M21" s="40">
        <f ca="1">IF(M24="","",Sprint_Backlog_Burdown_Chart!TotalEffort-Sprint_Backlog_Burdown_Chart!TotalEffort/(Sprint_Backlog_Burdown_Chart!ImplementationDays)*(M24-1))</f>
        <v>36</v>
      </c>
      <c r="N21" s="40">
        <f ca="1">IF(N24="","",Sprint_Backlog_Burdown_Chart!TotalEffort-Sprint_Backlog_Burdown_Chart!TotalEffort/(Sprint_Backlog_Burdown_Chart!ImplementationDays)*(N24-1))</f>
        <v>31.5</v>
      </c>
      <c r="O21" s="40">
        <f ca="1">IF(O24="","",Sprint_Backlog_Burdown_Chart!TotalEffort-Sprint_Backlog_Burdown_Chart!TotalEffort/(Sprint_Backlog_Burdown_Chart!ImplementationDays)*(O24-1))</f>
        <v>27</v>
      </c>
      <c r="P21" s="40">
        <f ca="1">IF(P24="","",Sprint_Backlog_Burdown_Chart!TotalEffort-Sprint_Backlog_Burdown_Chart!TotalEffort/(Sprint_Backlog_Burdown_Chart!ImplementationDays)*(P24-1))</f>
        <v>22.5</v>
      </c>
      <c r="Q21" s="40">
        <f ca="1">IF(Q24="","",Sprint_Backlog_Burdown_Chart!TotalEffort-Sprint_Backlog_Burdown_Chart!TotalEffort/(Sprint_Backlog_Burdown_Chart!ImplementationDays)*(Q24-1))</f>
        <v>18</v>
      </c>
      <c r="R21" s="40">
        <f ca="1">IF(R24="","",Sprint_Backlog_Burdown_Chart!TotalEffort-Sprint_Backlog_Burdown_Chart!TotalEffort/(Sprint_Backlog_Burdown_Chart!ImplementationDays)*(R24-1))</f>
        <v>13.5</v>
      </c>
      <c r="S21" s="40">
        <f ca="1">IF(S24="","",Sprint_Backlog_Burdown_Chart!TotalEffort-Sprint_Backlog_Burdown_Chart!TotalEffort/(Sprint_Backlog_Burdown_Chart!ImplementationDays)*(S24-1))</f>
        <v>9</v>
      </c>
      <c r="T21" s="40">
        <f ca="1">IF(T24="","",Sprint_Backlog_Burdown_Chart!TotalEffort-Sprint_Backlog_Burdown_Chart!TotalEffort/(Sprint_Backlog_Burdown_Chart!ImplementationDays)*(T24-1))</f>
        <v>4.5</v>
      </c>
      <c r="U21" s="40" t="str">
        <f>IF(U24="","",Sprint_Backlog_Burdown_Chart!TotalEffort-Sprint_Backlog_Burdown_Chart!TotalEffort/(Sprint_Backlog_Burdown_Chart!ImplementationDays)*(U24-1))</f>
        <v/>
      </c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2.75" customHeight="1">
      <c r="A22" s="2"/>
      <c r="B22" s="70"/>
      <c r="C22" s="1"/>
      <c r="D22" s="1" t="s">
        <v>110</v>
      </c>
      <c r="E22" s="55">
        <v>14</v>
      </c>
      <c r="F22" s="40"/>
      <c r="G22" s="40">
        <f t="array" aca="1" ref="G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G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G23))</f>
        <v>0.85714285714285821</v>
      </c>
      <c r="H22" s="40">
        <f t="array" aca="1" ref="H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H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H23))</f>
        <v>1.5824175824175832</v>
      </c>
      <c r="I22" s="40">
        <f t="array" aca="1" ref="I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I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I23))</f>
        <v>2.3076923076923084</v>
      </c>
      <c r="J22" s="40">
        <f t="array" aca="1" ref="J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J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J23))</f>
        <v>3.0329670329670333</v>
      </c>
      <c r="K22" s="40">
        <f t="array" aca="1" ref="K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K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K23))</f>
        <v>3.7582417582417582</v>
      </c>
      <c r="L22" s="40">
        <f t="array" aca="1" ref="L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L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L23))</f>
        <v>4.4835164835164836</v>
      </c>
      <c r="M22" s="40">
        <f t="array" aca="1" ref="M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M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M23))</f>
        <v>5.208791208791208</v>
      </c>
      <c r="N22" s="40">
        <f t="array" aca="1" ref="N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N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N23))</f>
        <v>5.9340659340659334</v>
      </c>
      <c r="O22" s="40">
        <f t="array" aca="1" ref="O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O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O23))</f>
        <v>6.6593406593406588</v>
      </c>
      <c r="P22" s="40">
        <f t="array" aca="1" ref="P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P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P23))</f>
        <v>7.3846153846153832</v>
      </c>
      <c r="Q22" s="40">
        <f t="array" aca="1" ref="Q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Q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Q23))</f>
        <v>8.1098901098901095</v>
      </c>
      <c r="R22" s="40">
        <f t="array" aca="1" ref="R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R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R23))</f>
        <v>8.835164835164834</v>
      </c>
      <c r="S22" s="40">
        <f t="array" aca="1" ref="S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S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S23))</f>
        <v>9.5604395604395584</v>
      </c>
      <c r="T22" s="40">
        <f t="array" aca="1" ref="T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T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T23))</f>
        <v>10.285714285714283</v>
      </c>
      <c r="U22" s="40">
        <f t="array" aca="1" ref="U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U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U23))</f>
        <v>11.010989010989009</v>
      </c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25" customHeight="1">
      <c r="A23" s="2"/>
      <c r="B23" s="70"/>
      <c r="C23" s="1"/>
      <c r="D23" s="1" t="s">
        <v>171</v>
      </c>
      <c r="E23" s="55">
        <v>14</v>
      </c>
      <c r="F23" s="40"/>
      <c r="G23" s="40">
        <f>IF(Sprint_Backlog_Burdown_Chart!DoneDays&gt;F23,F23+1,"")</f>
        <v>1</v>
      </c>
      <c r="H23" s="40">
        <f>IF(Sprint_Backlog_Burdown_Chart!DoneDays&gt;G23,G23+1,"")</f>
        <v>2</v>
      </c>
      <c r="I23" s="40">
        <f>IF(Sprint_Backlog_Burdown_Chart!DoneDays&gt;H23,H23+1,"")</f>
        <v>3</v>
      </c>
      <c r="J23" s="40">
        <f>IF(Sprint_Backlog_Burdown_Chart!DoneDays&gt;I23,I23+1,"")</f>
        <v>4</v>
      </c>
      <c r="K23" s="40">
        <f>IF(Sprint_Backlog_Burdown_Chart!DoneDays&gt;J23,J23+1,"")</f>
        <v>5</v>
      </c>
      <c r="L23" s="40">
        <f>IF(Sprint_Backlog_Burdown_Chart!DoneDays&gt;K23,K23+1,"")</f>
        <v>6</v>
      </c>
      <c r="M23" s="40">
        <f>IF(Sprint_Backlog_Burdown_Chart!DoneDays&gt;L23,L23+1,"")</f>
        <v>7</v>
      </c>
      <c r="N23" s="40">
        <f>IF(Sprint_Backlog_Burdown_Chart!DoneDays&gt;M23,M23+1,"")</f>
        <v>8</v>
      </c>
      <c r="O23" s="40">
        <f>IF(Sprint_Backlog_Burdown_Chart!DoneDays&gt;N23,N23+1,"")</f>
        <v>9</v>
      </c>
      <c r="P23" s="40">
        <f>IF(Sprint_Backlog_Burdown_Chart!DoneDays&gt;O23,O23+1,"")</f>
        <v>10</v>
      </c>
      <c r="Q23" s="40">
        <f>IF(Sprint_Backlog_Burdown_Chart!DoneDays&gt;P23,P23+1,"")</f>
        <v>11</v>
      </c>
      <c r="R23" s="40">
        <f>IF(Sprint_Backlog_Burdown_Chart!DoneDays&gt;Q23,Q23+1,"")</f>
        <v>12</v>
      </c>
      <c r="S23" s="40">
        <f>IF(Sprint_Backlog_Burdown_Chart!DoneDays&gt;R23,R23+1,"")</f>
        <v>13</v>
      </c>
      <c r="T23" s="40">
        <f>IF(Sprint_Backlog_Burdown_Chart!DoneDays&gt;S23,S23+1,"")</f>
        <v>14</v>
      </c>
      <c r="U23" s="40">
        <v>15</v>
      </c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2.75" customHeight="1">
      <c r="A24" s="31" t="s">
        <v>172</v>
      </c>
      <c r="B24" s="33" t="s">
        <v>173</v>
      </c>
      <c r="C24" s="124" t="s">
        <v>174</v>
      </c>
      <c r="D24" s="33" t="s">
        <v>175</v>
      </c>
      <c r="E24" s="33" t="s">
        <v>11</v>
      </c>
      <c r="F24" s="124" t="s">
        <v>176</v>
      </c>
      <c r="G24" s="124">
        <v>1</v>
      </c>
      <c r="H24" s="124">
        <f t="shared" ref="H24:U24" si="0">IF($C$19&gt;G24,G24+1,"")</f>
        <v>2</v>
      </c>
      <c r="I24" s="124">
        <f t="shared" si="0"/>
        <v>3</v>
      </c>
      <c r="J24" s="124">
        <f t="shared" si="0"/>
        <v>4</v>
      </c>
      <c r="K24" s="124">
        <f t="shared" si="0"/>
        <v>5</v>
      </c>
      <c r="L24" s="124">
        <f t="shared" si="0"/>
        <v>6</v>
      </c>
      <c r="M24" s="124">
        <f t="shared" si="0"/>
        <v>7</v>
      </c>
      <c r="N24" s="124">
        <f t="shared" si="0"/>
        <v>8</v>
      </c>
      <c r="O24" s="124">
        <f t="shared" si="0"/>
        <v>9</v>
      </c>
      <c r="P24" s="124">
        <f t="shared" si="0"/>
        <v>10</v>
      </c>
      <c r="Q24" s="124">
        <f t="shared" si="0"/>
        <v>11</v>
      </c>
      <c r="R24" s="124">
        <f t="shared" si="0"/>
        <v>12</v>
      </c>
      <c r="S24" s="124">
        <f t="shared" si="0"/>
        <v>13</v>
      </c>
      <c r="T24" s="124">
        <f t="shared" si="0"/>
        <v>14</v>
      </c>
      <c r="U24" s="124" t="str">
        <f t="shared" si="0"/>
        <v/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12.75" customHeight="1">
      <c r="A25" s="35">
        <v>1</v>
      </c>
      <c r="B25" s="85" t="s">
        <v>201</v>
      </c>
      <c r="C25" s="125">
        <v>7</v>
      </c>
      <c r="D25" s="126" t="s">
        <v>129</v>
      </c>
      <c r="E25" s="22" t="s">
        <v>177</v>
      </c>
      <c r="F25" s="127">
        <v>8</v>
      </c>
      <c r="G25" s="128">
        <v>0</v>
      </c>
      <c r="H25" s="128">
        <v>0</v>
      </c>
      <c r="I25" s="129">
        <v>0</v>
      </c>
      <c r="J25" s="129">
        <v>0</v>
      </c>
      <c r="K25" s="129">
        <v>0</v>
      </c>
      <c r="L25" s="129">
        <v>0</v>
      </c>
      <c r="M25" s="129">
        <v>0</v>
      </c>
      <c r="N25" s="129">
        <v>0</v>
      </c>
      <c r="O25" s="129">
        <v>0</v>
      </c>
      <c r="P25" s="130">
        <v>2</v>
      </c>
      <c r="Q25" s="131">
        <v>2</v>
      </c>
      <c r="R25" s="128">
        <v>2</v>
      </c>
      <c r="S25" s="132">
        <v>2</v>
      </c>
      <c r="T25" s="125">
        <v>2</v>
      </c>
      <c r="U25" s="3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2.75" customHeight="1">
      <c r="A26" s="35">
        <v>2</v>
      </c>
      <c r="B26" s="85" t="s">
        <v>202</v>
      </c>
      <c r="C26" s="125">
        <v>7</v>
      </c>
      <c r="D26" s="126" t="s">
        <v>129</v>
      </c>
      <c r="E26" s="22" t="s">
        <v>177</v>
      </c>
      <c r="F26" s="127">
        <v>6</v>
      </c>
      <c r="G26" s="128">
        <v>1</v>
      </c>
      <c r="H26" s="128">
        <v>0</v>
      </c>
      <c r="I26" s="133">
        <v>0</v>
      </c>
      <c r="J26" s="134">
        <v>1</v>
      </c>
      <c r="K26" s="135">
        <v>0</v>
      </c>
      <c r="L26" s="132">
        <v>0</v>
      </c>
      <c r="M26" s="136">
        <v>1</v>
      </c>
      <c r="N26" s="137">
        <v>0</v>
      </c>
      <c r="O26" s="129">
        <v>0</v>
      </c>
      <c r="P26" s="130">
        <v>1</v>
      </c>
      <c r="Q26" s="131">
        <v>0</v>
      </c>
      <c r="R26" s="128">
        <v>1</v>
      </c>
      <c r="S26" s="132">
        <v>0</v>
      </c>
      <c r="T26" s="125">
        <v>2</v>
      </c>
      <c r="U26" s="3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2.75" customHeight="1">
      <c r="A27" s="35">
        <v>3</v>
      </c>
      <c r="B27" s="85" t="s">
        <v>203</v>
      </c>
      <c r="C27" s="125">
        <v>9</v>
      </c>
      <c r="D27" s="126" t="s">
        <v>129</v>
      </c>
      <c r="E27" s="22" t="s">
        <v>177</v>
      </c>
      <c r="F27" s="127">
        <v>2</v>
      </c>
      <c r="G27" s="128">
        <v>1</v>
      </c>
      <c r="H27" s="128">
        <v>1</v>
      </c>
      <c r="I27" s="133">
        <v>0</v>
      </c>
      <c r="J27" s="134">
        <v>0</v>
      </c>
      <c r="K27" s="135">
        <v>1</v>
      </c>
      <c r="L27" s="132">
        <v>0</v>
      </c>
      <c r="M27" s="136">
        <v>0</v>
      </c>
      <c r="N27" s="137">
        <v>1</v>
      </c>
      <c r="O27" s="129">
        <v>0</v>
      </c>
      <c r="P27" s="130">
        <v>0</v>
      </c>
      <c r="Q27" s="131">
        <v>0</v>
      </c>
      <c r="R27" s="128">
        <v>1</v>
      </c>
      <c r="S27" s="132">
        <v>1</v>
      </c>
      <c r="T27" s="125">
        <v>0</v>
      </c>
      <c r="U27" s="3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2.75" customHeight="1">
      <c r="A28" s="35">
        <v>4</v>
      </c>
      <c r="B28" s="85" t="s">
        <v>212</v>
      </c>
      <c r="C28" s="125">
        <v>7</v>
      </c>
      <c r="D28" s="26" t="s">
        <v>133</v>
      </c>
      <c r="E28" s="22" t="s">
        <v>177</v>
      </c>
      <c r="F28" s="127">
        <v>2</v>
      </c>
      <c r="G28" s="128">
        <v>0</v>
      </c>
      <c r="H28" s="128">
        <v>0</v>
      </c>
      <c r="I28" s="133">
        <v>0</v>
      </c>
      <c r="J28" s="134">
        <v>0</v>
      </c>
      <c r="K28" s="135">
        <v>0</v>
      </c>
      <c r="L28" s="132">
        <v>0</v>
      </c>
      <c r="M28" s="136">
        <v>0</v>
      </c>
      <c r="N28" s="137">
        <v>0</v>
      </c>
      <c r="O28" s="129">
        <v>0</v>
      </c>
      <c r="P28" s="130">
        <v>1</v>
      </c>
      <c r="Q28" s="131">
        <v>1</v>
      </c>
      <c r="R28" s="128">
        <v>0</v>
      </c>
      <c r="S28" s="132">
        <v>0</v>
      </c>
      <c r="T28" s="125">
        <v>0</v>
      </c>
      <c r="U28" s="3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2.75" customHeight="1">
      <c r="A29" s="35">
        <v>5</v>
      </c>
      <c r="B29" s="85" t="s">
        <v>213</v>
      </c>
      <c r="C29" s="125">
        <v>7</v>
      </c>
      <c r="D29" s="26" t="s">
        <v>133</v>
      </c>
      <c r="E29" s="22" t="s">
        <v>177</v>
      </c>
      <c r="F29" s="127">
        <v>2</v>
      </c>
      <c r="G29" s="128">
        <v>0</v>
      </c>
      <c r="H29" s="128">
        <v>0</v>
      </c>
      <c r="I29" s="130">
        <v>0</v>
      </c>
      <c r="J29" s="130">
        <v>0</v>
      </c>
      <c r="K29" s="130">
        <v>0</v>
      </c>
      <c r="L29" s="130">
        <v>0</v>
      </c>
      <c r="M29" s="130">
        <v>0</v>
      </c>
      <c r="N29" s="130">
        <v>0</v>
      </c>
      <c r="O29" s="130">
        <v>0</v>
      </c>
      <c r="P29" s="130">
        <v>0</v>
      </c>
      <c r="Q29" s="131">
        <v>1</v>
      </c>
      <c r="R29" s="128">
        <v>1</v>
      </c>
      <c r="S29" s="132">
        <v>1</v>
      </c>
      <c r="T29" s="125">
        <v>0</v>
      </c>
      <c r="U29" s="3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2.75" customHeight="1">
      <c r="A30" s="35">
        <v>6</v>
      </c>
      <c r="B30" s="85" t="s">
        <v>214</v>
      </c>
      <c r="C30" s="125">
        <v>8</v>
      </c>
      <c r="D30" s="126" t="s">
        <v>132</v>
      </c>
      <c r="E30" s="22" t="s">
        <v>177</v>
      </c>
      <c r="F30" s="127">
        <v>6</v>
      </c>
      <c r="G30" s="128">
        <v>0</v>
      </c>
      <c r="H30" s="128">
        <v>0</v>
      </c>
      <c r="I30" s="133">
        <v>1</v>
      </c>
      <c r="J30" s="134">
        <v>1</v>
      </c>
      <c r="K30" s="135">
        <v>1</v>
      </c>
      <c r="L30" s="132">
        <v>1</v>
      </c>
      <c r="M30" s="136">
        <v>1</v>
      </c>
      <c r="N30" s="137">
        <v>1</v>
      </c>
      <c r="O30" s="137">
        <v>1</v>
      </c>
      <c r="P30" s="137">
        <v>1</v>
      </c>
      <c r="Q30" s="137">
        <v>1</v>
      </c>
      <c r="R30" s="128">
        <v>0</v>
      </c>
      <c r="S30" s="128">
        <v>0</v>
      </c>
      <c r="T30" s="128">
        <v>0</v>
      </c>
      <c r="U30" s="3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2.75" customHeight="1">
      <c r="A31" s="35">
        <v>7</v>
      </c>
      <c r="B31" s="85" t="s">
        <v>204</v>
      </c>
      <c r="C31" s="125">
        <v>8</v>
      </c>
      <c r="D31" s="126" t="s">
        <v>132</v>
      </c>
      <c r="E31" s="22" t="s">
        <v>177</v>
      </c>
      <c r="F31" s="127">
        <v>6</v>
      </c>
      <c r="G31" s="128">
        <v>0</v>
      </c>
      <c r="H31" s="128">
        <v>0</v>
      </c>
      <c r="I31" s="133">
        <v>1</v>
      </c>
      <c r="J31" s="133">
        <v>1</v>
      </c>
      <c r="K31" s="135">
        <v>1</v>
      </c>
      <c r="L31" s="132">
        <v>1</v>
      </c>
      <c r="M31" s="136">
        <v>1</v>
      </c>
      <c r="N31" s="136">
        <v>1</v>
      </c>
      <c r="O31" s="136">
        <v>1</v>
      </c>
      <c r="P31" s="137">
        <v>1</v>
      </c>
      <c r="Q31" s="137">
        <v>1</v>
      </c>
      <c r="R31" s="128">
        <v>0</v>
      </c>
      <c r="S31" s="128">
        <v>0</v>
      </c>
      <c r="T31" s="128">
        <v>0</v>
      </c>
      <c r="U31" s="14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spans="1:31" ht="12.75" customHeight="1">
      <c r="A32" s="35">
        <v>8</v>
      </c>
      <c r="B32" s="85" t="s">
        <v>205</v>
      </c>
      <c r="C32" s="125">
        <v>8</v>
      </c>
      <c r="D32" s="126" t="s">
        <v>132</v>
      </c>
      <c r="E32" s="22" t="s">
        <v>177</v>
      </c>
      <c r="F32" s="127">
        <v>4</v>
      </c>
      <c r="G32" s="128">
        <v>0</v>
      </c>
      <c r="H32" s="128">
        <v>0</v>
      </c>
      <c r="I32" s="133">
        <v>1</v>
      </c>
      <c r="J32" s="133">
        <v>1</v>
      </c>
      <c r="K32" s="135">
        <v>0</v>
      </c>
      <c r="L32" s="132">
        <v>0</v>
      </c>
      <c r="M32" s="136">
        <v>1</v>
      </c>
      <c r="N32" s="136">
        <v>1</v>
      </c>
      <c r="O32" s="136">
        <v>1</v>
      </c>
      <c r="P32" s="130">
        <v>0</v>
      </c>
      <c r="Q32" s="131">
        <v>0</v>
      </c>
      <c r="R32" s="128">
        <v>0</v>
      </c>
      <c r="S32" s="132">
        <v>0</v>
      </c>
      <c r="T32" s="138">
        <v>0</v>
      </c>
      <c r="U32" s="14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12.75" customHeight="1">
      <c r="A33" s="35">
        <v>9</v>
      </c>
      <c r="B33" s="85" t="s">
        <v>206</v>
      </c>
      <c r="C33" s="125">
        <v>19</v>
      </c>
      <c r="D33" s="126" t="s">
        <v>129</v>
      </c>
      <c r="E33" s="22" t="s">
        <v>177</v>
      </c>
      <c r="F33" s="127">
        <v>8</v>
      </c>
      <c r="G33" s="128">
        <v>0</v>
      </c>
      <c r="H33" s="128">
        <v>0</v>
      </c>
      <c r="I33" s="129">
        <v>0</v>
      </c>
      <c r="J33" s="129">
        <v>0</v>
      </c>
      <c r="K33" s="129">
        <v>0</v>
      </c>
      <c r="L33" s="129">
        <v>0</v>
      </c>
      <c r="M33" s="129">
        <v>0</v>
      </c>
      <c r="N33" s="129">
        <v>0</v>
      </c>
      <c r="O33" s="129">
        <v>2</v>
      </c>
      <c r="P33" s="130">
        <v>2</v>
      </c>
      <c r="Q33" s="131">
        <v>2</v>
      </c>
      <c r="R33" s="128">
        <v>0</v>
      </c>
      <c r="S33" s="132">
        <v>0</v>
      </c>
      <c r="T33" s="138">
        <v>0</v>
      </c>
      <c r="U33" s="14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ht="12.75" customHeight="1">
      <c r="A34" s="35">
        <v>10</v>
      </c>
      <c r="B34" s="85" t="s">
        <v>207</v>
      </c>
      <c r="C34" s="125">
        <v>19</v>
      </c>
      <c r="D34" s="26" t="s">
        <v>121</v>
      </c>
      <c r="E34" s="22" t="s">
        <v>177</v>
      </c>
      <c r="F34" s="127">
        <v>4</v>
      </c>
      <c r="G34" s="128">
        <v>0</v>
      </c>
      <c r="H34" s="128">
        <v>0</v>
      </c>
      <c r="I34" s="131">
        <v>0</v>
      </c>
      <c r="J34" s="131">
        <v>0</v>
      </c>
      <c r="K34" s="131">
        <v>0</v>
      </c>
      <c r="L34" s="131">
        <v>0</v>
      </c>
      <c r="M34" s="131">
        <v>0</v>
      </c>
      <c r="N34" s="131">
        <v>0</v>
      </c>
      <c r="O34" s="131">
        <v>0</v>
      </c>
      <c r="P34" s="131">
        <v>0</v>
      </c>
      <c r="Q34" s="131">
        <v>0</v>
      </c>
      <c r="R34" s="128">
        <v>2</v>
      </c>
      <c r="S34" s="132">
        <v>2</v>
      </c>
      <c r="T34" s="138">
        <v>0</v>
      </c>
      <c r="U34" s="14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ht="12.75" customHeight="1">
      <c r="A35" s="35">
        <v>11</v>
      </c>
      <c r="B35" s="85" t="s">
        <v>208</v>
      </c>
      <c r="C35" s="125">
        <v>19</v>
      </c>
      <c r="D35" s="26" t="s">
        <v>121</v>
      </c>
      <c r="E35" s="22" t="s">
        <v>177</v>
      </c>
      <c r="F35" s="127">
        <v>4</v>
      </c>
      <c r="G35" s="128">
        <v>0</v>
      </c>
      <c r="H35" s="128">
        <v>0</v>
      </c>
      <c r="I35" s="131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28">
        <v>0</v>
      </c>
      <c r="S35" s="132">
        <v>3</v>
      </c>
      <c r="T35" s="138">
        <v>0</v>
      </c>
      <c r="U35" s="14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ht="12.75" customHeight="1">
      <c r="A36" s="35">
        <v>12</v>
      </c>
      <c r="B36" s="85" t="s">
        <v>209</v>
      </c>
      <c r="C36" s="125" t="s">
        <v>178</v>
      </c>
      <c r="D36" s="26" t="s">
        <v>137</v>
      </c>
      <c r="E36" s="22" t="s">
        <v>177</v>
      </c>
      <c r="F36" s="127">
        <v>4</v>
      </c>
      <c r="G36" s="128">
        <v>0</v>
      </c>
      <c r="H36" s="128">
        <v>0</v>
      </c>
      <c r="I36" s="132">
        <v>0</v>
      </c>
      <c r="J36" s="132">
        <v>0</v>
      </c>
      <c r="K36" s="132">
        <v>0</v>
      </c>
      <c r="L36" s="132">
        <v>0</v>
      </c>
      <c r="M36" s="132">
        <v>0</v>
      </c>
      <c r="N36" s="132">
        <v>0</v>
      </c>
      <c r="O36" s="132">
        <v>0</v>
      </c>
      <c r="P36" s="132">
        <v>0</v>
      </c>
      <c r="Q36" s="132">
        <v>0</v>
      </c>
      <c r="R36" s="132">
        <v>0</v>
      </c>
      <c r="S36" s="132">
        <v>0</v>
      </c>
      <c r="T36" s="138">
        <v>4</v>
      </c>
      <c r="U36" s="14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ht="12.75" customHeight="1">
      <c r="A37" s="35">
        <v>13</v>
      </c>
      <c r="B37" s="85" t="s">
        <v>210</v>
      </c>
      <c r="C37" s="125" t="s">
        <v>178</v>
      </c>
      <c r="D37" s="26" t="s">
        <v>133</v>
      </c>
      <c r="E37" s="22" t="s">
        <v>177</v>
      </c>
      <c r="F37" s="127">
        <v>4</v>
      </c>
      <c r="G37" s="128">
        <v>0</v>
      </c>
      <c r="H37" s="128">
        <v>0</v>
      </c>
      <c r="I37" s="135">
        <v>0</v>
      </c>
      <c r="J37" s="135">
        <v>0</v>
      </c>
      <c r="K37" s="135">
        <v>0</v>
      </c>
      <c r="L37" s="132">
        <v>2</v>
      </c>
      <c r="M37" s="136">
        <v>2</v>
      </c>
      <c r="N37" s="138">
        <v>0</v>
      </c>
      <c r="O37" s="138">
        <v>0</v>
      </c>
      <c r="P37" s="138">
        <v>0</v>
      </c>
      <c r="Q37" s="138">
        <v>0</v>
      </c>
      <c r="R37" s="138">
        <v>0</v>
      </c>
      <c r="S37" s="138">
        <v>0</v>
      </c>
      <c r="T37" s="138">
        <v>0</v>
      </c>
      <c r="U37" s="14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ht="12.75" customHeight="1">
      <c r="A38" s="35">
        <v>14</v>
      </c>
      <c r="B38" s="85" t="s">
        <v>211</v>
      </c>
      <c r="C38" s="125">
        <v>21</v>
      </c>
      <c r="D38" s="126" t="s">
        <v>137</v>
      </c>
      <c r="E38" s="22" t="s">
        <v>177</v>
      </c>
      <c r="F38" s="127">
        <v>3</v>
      </c>
      <c r="G38" s="128">
        <v>0</v>
      </c>
      <c r="H38" s="128">
        <v>0</v>
      </c>
      <c r="I38" s="128">
        <v>0</v>
      </c>
      <c r="J38" s="128">
        <v>0</v>
      </c>
      <c r="K38" s="128">
        <v>0</v>
      </c>
      <c r="L38" s="128">
        <v>0</v>
      </c>
      <c r="M38" s="128">
        <v>0</v>
      </c>
      <c r="N38" s="128">
        <v>0</v>
      </c>
      <c r="O38" s="128">
        <v>0</v>
      </c>
      <c r="P38" s="128">
        <v>0</v>
      </c>
      <c r="Q38" s="128">
        <v>0</v>
      </c>
      <c r="R38" s="128">
        <v>0</v>
      </c>
      <c r="S38" s="132">
        <v>2</v>
      </c>
      <c r="T38" s="138">
        <v>4</v>
      </c>
      <c r="U38" s="14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pans="1:31" ht="12.75" customHeight="1">
      <c r="A39" s="125">
        <v>15</v>
      </c>
      <c r="B39" s="85" t="s">
        <v>221</v>
      </c>
      <c r="C39" s="125">
        <v>20</v>
      </c>
      <c r="D39" s="126" t="s">
        <v>129</v>
      </c>
      <c r="E39" s="22" t="s">
        <v>177</v>
      </c>
      <c r="F39" s="127">
        <v>3</v>
      </c>
      <c r="G39" s="128">
        <v>0</v>
      </c>
      <c r="H39" s="128">
        <v>0</v>
      </c>
      <c r="I39" s="128">
        <v>0</v>
      </c>
      <c r="J39" s="128">
        <v>0</v>
      </c>
      <c r="K39" s="128">
        <v>0</v>
      </c>
      <c r="L39" s="128">
        <v>0</v>
      </c>
      <c r="M39" s="128">
        <v>0</v>
      </c>
      <c r="N39" s="128">
        <v>0</v>
      </c>
      <c r="O39" s="128">
        <v>0</v>
      </c>
      <c r="P39" s="128">
        <v>0</v>
      </c>
      <c r="Q39" s="128">
        <v>0</v>
      </c>
      <c r="R39" s="128">
        <v>0</v>
      </c>
      <c r="S39" s="132">
        <v>2</v>
      </c>
      <c r="T39" s="138">
        <v>4</v>
      </c>
      <c r="U39" s="21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spans="1:31" ht="12.75" customHeight="1">
      <c r="A40" s="2"/>
      <c r="B40" s="113"/>
      <c r="E40" s="13"/>
      <c r="G40" s="139">
        <v>43052</v>
      </c>
      <c r="H40" s="140">
        <v>43053</v>
      </c>
      <c r="I40" s="139">
        <v>43054</v>
      </c>
      <c r="J40" s="140">
        <v>43055</v>
      </c>
      <c r="K40" s="139">
        <v>43056</v>
      </c>
      <c r="L40" s="140">
        <v>43057</v>
      </c>
      <c r="M40" s="139">
        <v>43058</v>
      </c>
      <c r="N40" s="140">
        <v>43059</v>
      </c>
      <c r="O40" s="139">
        <v>43060</v>
      </c>
      <c r="P40" s="140">
        <v>43061</v>
      </c>
      <c r="Q40" s="139">
        <v>43062</v>
      </c>
      <c r="R40" s="140">
        <v>43063</v>
      </c>
      <c r="S40" s="139">
        <v>43064</v>
      </c>
      <c r="T40" s="140">
        <v>43065</v>
      </c>
      <c r="U40" s="140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spans="1:31" ht="12.75" customHeight="1">
      <c r="A41" s="2"/>
      <c r="B41" s="141"/>
      <c r="E41" s="13"/>
      <c r="F41" s="21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1" ht="12.75" customHeight="1">
      <c r="A42" s="2"/>
      <c r="B42" s="113"/>
      <c r="E42" s="13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pans="1:31" ht="12.75" customHeight="1">
      <c r="A43" s="2"/>
      <c r="B43" s="113"/>
      <c r="E43" s="1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spans="1:31" ht="12.75" customHeight="1">
      <c r="A44" s="2"/>
      <c r="B44" s="113"/>
      <c r="E44" s="13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pans="1:31" ht="12.75" customHeight="1">
      <c r="A45" s="2"/>
      <c r="B45" s="1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spans="1:31" ht="12.75" customHeight="1">
      <c r="A46" s="2"/>
      <c r="B46" s="1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spans="1:31" ht="12.75" customHeight="1">
      <c r="A47" s="2"/>
      <c r="B47" s="1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spans="1:31" ht="12.75" customHeight="1">
      <c r="A48" s="2"/>
      <c r="B48" s="1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spans="1:31" ht="12.75" customHeight="1">
      <c r="A49" s="2"/>
      <c r="B49" s="1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spans="1:31" ht="12.75" customHeight="1">
      <c r="A50" s="2"/>
      <c r="B50" s="1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spans="1:31" ht="12.75" customHeight="1">
      <c r="A51" s="2"/>
      <c r="B51" s="1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spans="1:31" ht="12.75" customHeight="1">
      <c r="A52" s="2"/>
      <c r="B52" s="113"/>
      <c r="C52" s="14"/>
      <c r="D52" s="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spans="1:31" ht="12.75" customHeight="1">
      <c r="A53" s="2"/>
      <c r="B53" s="113"/>
      <c r="C53" s="14"/>
      <c r="D53" s="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spans="1:31" ht="12.75" customHeight="1">
      <c r="A54" s="2"/>
      <c r="B54" s="113"/>
      <c r="C54" s="14"/>
      <c r="D54" s="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pans="1:31" ht="12.75" customHeight="1">
      <c r="A55" s="2"/>
      <c r="B55" s="113"/>
      <c r="C55" s="14"/>
      <c r="D55" s="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spans="1:31" ht="12.75" customHeight="1">
      <c r="A56" s="2"/>
      <c r="B56" s="113"/>
      <c r="C56" s="14"/>
      <c r="D56" s="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spans="1:31" ht="12.75" customHeight="1">
      <c r="A57" s="2"/>
      <c r="B57" s="113"/>
      <c r="C57" s="14"/>
      <c r="D57" s="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spans="1:31" ht="12.75" customHeight="1">
      <c r="A58" s="2"/>
      <c r="B58" s="113"/>
      <c r="C58" s="14"/>
      <c r="D58" s="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spans="1:31" ht="12.75" customHeight="1">
      <c r="A59" s="2"/>
      <c r="B59" s="113"/>
      <c r="C59" s="14"/>
      <c r="D59" s="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spans="1:31" ht="12.75" customHeight="1">
      <c r="A60" s="2"/>
      <c r="B60" s="113"/>
      <c r="C60" s="14"/>
      <c r="D60" s="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spans="1:31" ht="12.75" customHeight="1">
      <c r="A61" s="2"/>
      <c r="B61" s="113"/>
      <c r="C61" s="14"/>
      <c r="D61" s="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spans="1:31" ht="12.75" customHeight="1">
      <c r="A62" s="2"/>
      <c r="B62" s="13"/>
      <c r="C62" s="14"/>
      <c r="D62" s="1"/>
      <c r="E62" s="13" t="str">
        <f>IF(B62&lt;&gt;"","Planned","")</f>
        <v/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spans="1:31" ht="12.75" customHeight="1">
      <c r="A63" s="2"/>
      <c r="B63" s="13"/>
      <c r="C63" s="14"/>
      <c r="D63" s="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spans="1:31" ht="12.75" customHeight="1">
      <c r="A64" s="2"/>
      <c r="B64" s="13"/>
      <c r="C64" s="14"/>
      <c r="D64" s="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spans="1:31" ht="12.75" customHeight="1">
      <c r="A65" s="2"/>
      <c r="B65" s="13"/>
      <c r="C65" s="14"/>
      <c r="D65" s="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12.75" customHeight="1">
      <c r="A66" s="2"/>
      <c r="B66" s="13"/>
      <c r="C66" s="14"/>
      <c r="D66" s="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 spans="1:31" ht="12.75" customHeight="1">
      <c r="A67" s="2"/>
      <c r="B67" s="13"/>
      <c r="C67" s="14"/>
      <c r="D67" s="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 spans="1:31" ht="12.75" customHeight="1">
      <c r="A68" s="2"/>
      <c r="B68" s="13"/>
      <c r="C68" s="14"/>
      <c r="D68" s="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pans="1:31" ht="12.75" customHeight="1">
      <c r="A69" s="2"/>
      <c r="B69" s="13"/>
      <c r="C69" s="14"/>
      <c r="D69" s="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spans="1:31" ht="12.75" customHeight="1">
      <c r="A70" s="2"/>
      <c r="B70" s="13"/>
      <c r="C70" s="14"/>
      <c r="D70" s="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 spans="1:31" ht="12.75" customHeight="1">
      <c r="A71" s="2"/>
      <c r="B71" s="13"/>
      <c r="C71" s="14"/>
      <c r="D71" s="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spans="1:31" ht="12.75" customHeight="1">
      <c r="A72" s="2"/>
      <c r="B72" s="13"/>
      <c r="C72" s="14"/>
      <c r="D72" s="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 spans="1:31" ht="12.75" customHeight="1">
      <c r="A73" s="2"/>
      <c r="B73" s="13"/>
      <c r="C73" s="14"/>
      <c r="D73" s="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spans="1:31" ht="12.75" customHeight="1">
      <c r="A74" s="2"/>
      <c r="B74" s="13"/>
      <c r="C74" s="14"/>
      <c r="D74" s="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 spans="1:31" ht="12.75" customHeight="1">
      <c r="A75" s="2"/>
      <c r="B75" s="13"/>
      <c r="C75" s="14"/>
      <c r="D75" s="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spans="1:31" ht="12.75" customHeight="1">
      <c r="A76" s="2"/>
      <c r="B76" s="13"/>
      <c r="C76" s="14"/>
      <c r="D76" s="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 spans="1:31" ht="12.75" customHeight="1">
      <c r="A77" s="2"/>
      <c r="B77" s="13"/>
      <c r="C77" s="13"/>
      <c r="D77" s="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spans="1:31" ht="15" customHeight="1">
      <c r="A78" s="2"/>
      <c r="B78" s="13"/>
      <c r="C78" s="14"/>
      <c r="D78" s="13"/>
      <c r="E78" s="13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</sheetData>
  <conditionalFormatting sqref="F41">
    <cfRule type="expression" dxfId="330" priority="162">
      <formula>$E31="Done"</formula>
    </cfRule>
  </conditionalFormatting>
  <conditionalFormatting sqref="F41">
    <cfRule type="expression" dxfId="329" priority="163">
      <formula>$E31="Ongoing"</formula>
    </cfRule>
  </conditionalFormatting>
  <conditionalFormatting sqref="D26:D27">
    <cfRule type="expression" dxfId="328" priority="164">
      <formula>$E4="Done"</formula>
    </cfRule>
  </conditionalFormatting>
  <conditionalFormatting sqref="D26:D27">
    <cfRule type="expression" dxfId="327" priority="165">
      <formula>$E4="Ongoing"</formula>
    </cfRule>
  </conditionalFormatting>
  <conditionalFormatting sqref="D26:D27">
    <cfRule type="expression" dxfId="326" priority="166">
      <formula>$E4="Ongoing"</formula>
    </cfRule>
  </conditionalFormatting>
  <conditionalFormatting sqref="D26:D27">
    <cfRule type="expression" dxfId="325" priority="167">
      <formula>$E4="Done"</formula>
    </cfRule>
  </conditionalFormatting>
  <conditionalFormatting sqref="D26:D27">
    <cfRule type="expression" dxfId="324" priority="168">
      <formula>$E12="Ongoing"</formula>
    </cfRule>
  </conditionalFormatting>
  <conditionalFormatting sqref="D26:D27">
    <cfRule type="expression" dxfId="323" priority="169">
      <formula>$E12="Done"</formula>
    </cfRule>
  </conditionalFormatting>
  <conditionalFormatting sqref="D33:D35">
    <cfRule type="expression" dxfId="322" priority="170">
      <formula>$E29="Done"</formula>
    </cfRule>
  </conditionalFormatting>
  <conditionalFormatting sqref="D33:D35">
    <cfRule type="expression" dxfId="321" priority="171">
      <formula>$E29="Ongoing"</formula>
    </cfRule>
  </conditionalFormatting>
  <conditionalFormatting sqref="D33:D35">
    <cfRule type="expression" dxfId="320" priority="172">
      <formula>$E29="Ongoing"</formula>
    </cfRule>
  </conditionalFormatting>
  <conditionalFormatting sqref="D33:D35">
    <cfRule type="expression" dxfId="319" priority="173">
      <formula>$E29="Done"</formula>
    </cfRule>
  </conditionalFormatting>
  <conditionalFormatting sqref="D26:D27">
    <cfRule type="expression" dxfId="318" priority="174">
      <formula>$E22="Done"</formula>
    </cfRule>
  </conditionalFormatting>
  <conditionalFormatting sqref="D26:D27">
    <cfRule type="expression" dxfId="317" priority="175">
      <formula>$E22="Ongoing"</formula>
    </cfRule>
  </conditionalFormatting>
  <conditionalFormatting sqref="D26:D27">
    <cfRule type="expression" dxfId="316" priority="176">
      <formula>$E22="Ongoing"</formula>
    </cfRule>
  </conditionalFormatting>
  <conditionalFormatting sqref="D26:D27">
    <cfRule type="expression" dxfId="315" priority="177">
      <formula>$E22="Done"</formula>
    </cfRule>
  </conditionalFormatting>
  <conditionalFormatting sqref="B34:B35">
    <cfRule type="expression" dxfId="314" priority="178">
      <formula>$E30="Removed"</formula>
    </cfRule>
  </conditionalFormatting>
  <conditionalFormatting sqref="B34:B35">
    <cfRule type="expression" dxfId="313" priority="179">
      <formula>$E30="Done"</formula>
    </cfRule>
  </conditionalFormatting>
  <conditionalFormatting sqref="B34:B35">
    <cfRule type="expression" dxfId="312" priority="180">
      <formula>$E30="Ongoing"</formula>
    </cfRule>
  </conditionalFormatting>
  <conditionalFormatting sqref="B34:B35">
    <cfRule type="expression" dxfId="311" priority="181">
      <formula>$E30="Done"</formula>
    </cfRule>
  </conditionalFormatting>
  <conditionalFormatting sqref="B34:B35">
    <cfRule type="expression" dxfId="310" priority="182">
      <formula>$E30="Ongoing"</formula>
    </cfRule>
  </conditionalFormatting>
  <conditionalFormatting sqref="B38">
    <cfRule type="expression" dxfId="309" priority="183">
      <formula>$E33="Removed"</formula>
    </cfRule>
  </conditionalFormatting>
  <conditionalFormatting sqref="B31:B33 D25:D29">
    <cfRule type="expression" dxfId="308" priority="184">
      <formula>$E22="Done"</formula>
    </cfRule>
  </conditionalFormatting>
  <conditionalFormatting sqref="B31:B33 D25:D29">
    <cfRule type="expression" dxfId="307" priority="185">
      <formula>$E22="Ongoing"</formula>
    </cfRule>
  </conditionalFormatting>
  <conditionalFormatting sqref="C31:C38">
    <cfRule type="expression" dxfId="306" priority="186">
      <formula>$E29="Done"</formula>
    </cfRule>
  </conditionalFormatting>
  <conditionalFormatting sqref="C31:C38">
    <cfRule type="expression" dxfId="305" priority="187">
      <formula>$E29="Ongoing"</formula>
    </cfRule>
  </conditionalFormatting>
  <conditionalFormatting sqref="B28">
    <cfRule type="expression" dxfId="304" priority="190">
      <formula>$E27="Removed"</formula>
    </cfRule>
  </conditionalFormatting>
  <conditionalFormatting sqref="B28">
    <cfRule type="expression" dxfId="303" priority="191">
      <formula>$E27="Done"</formula>
    </cfRule>
  </conditionalFormatting>
  <conditionalFormatting sqref="B28">
    <cfRule type="expression" dxfId="302" priority="192">
      <formula>$E27="Ongoing"</formula>
    </cfRule>
  </conditionalFormatting>
  <conditionalFormatting sqref="B36:B37">
    <cfRule type="expression" dxfId="301" priority="195">
      <formula>$E31="Removed"</formula>
    </cfRule>
  </conditionalFormatting>
  <conditionalFormatting sqref="B36:B38">
    <cfRule type="expression" dxfId="300" priority="196">
      <formula>$E31="Done"</formula>
    </cfRule>
  </conditionalFormatting>
  <conditionalFormatting sqref="B36:B38">
    <cfRule type="expression" dxfId="299" priority="197">
      <formula>$E31="Ongoing"</formula>
    </cfRule>
  </conditionalFormatting>
  <conditionalFormatting sqref="B36:B37">
    <cfRule type="expression" dxfId="298" priority="198">
      <formula>$E31="Done"</formula>
    </cfRule>
  </conditionalFormatting>
  <conditionalFormatting sqref="B36:B37">
    <cfRule type="expression" dxfId="297" priority="199">
      <formula>$E31="Ongoing"</formula>
    </cfRule>
  </conditionalFormatting>
  <conditionalFormatting sqref="B31">
    <cfRule type="expression" dxfId="296" priority="200">
      <formula>#REF!="Done"</formula>
    </cfRule>
  </conditionalFormatting>
  <conditionalFormatting sqref="B31">
    <cfRule type="expression" dxfId="295" priority="201">
      <formula>#REF!="Ongoing"</formula>
    </cfRule>
  </conditionalFormatting>
  <conditionalFormatting sqref="B31">
    <cfRule type="expression" dxfId="294" priority="202">
      <formula>#REF!="Removed"</formula>
    </cfRule>
  </conditionalFormatting>
  <conditionalFormatting sqref="B31">
    <cfRule type="expression" dxfId="293" priority="203">
      <formula>#REF!="Done"</formula>
    </cfRule>
  </conditionalFormatting>
  <conditionalFormatting sqref="B31">
    <cfRule type="expression" dxfId="292" priority="204">
      <formula>#REF!="Ongoing"</formula>
    </cfRule>
  </conditionalFormatting>
  <conditionalFormatting sqref="B25:B27">
    <cfRule type="expression" dxfId="291" priority="205">
      <formula>$E25="Removed"</formula>
    </cfRule>
  </conditionalFormatting>
  <conditionalFormatting sqref="B25:B27 F25:F26 B40:B56 G41:K56 F42:F56 C52:D56 L40:U56 F28:F38 G25:U38 C25:C31 E25:E38 E40:E56">
    <cfRule type="expression" dxfId="290" priority="206">
      <formula>$E25="Done"</formula>
    </cfRule>
  </conditionalFormatting>
  <conditionalFormatting sqref="B25:B27 F25:F26 B40:B56 G41:K56 F42:F56 C52:D56 L40:U56 F28:F38 G25:U38 C25:C31 E25:E38 E40:E56">
    <cfRule type="expression" dxfId="289" priority="207">
      <formula>$E25="Ongoing"</formula>
    </cfRule>
  </conditionalFormatting>
  <conditionalFormatting sqref="G27:H27">
    <cfRule type="expression" dxfId="288" priority="208">
      <formula>$E27="Done"</formula>
    </cfRule>
  </conditionalFormatting>
  <conditionalFormatting sqref="G27:H27">
    <cfRule type="expression" dxfId="287" priority="209">
      <formula>$E27="Ongoing"</formula>
    </cfRule>
  </conditionalFormatting>
  <conditionalFormatting sqref="F27">
    <cfRule type="expression" dxfId="286" priority="210">
      <formula>$E27="Done"</formula>
    </cfRule>
  </conditionalFormatting>
  <conditionalFormatting sqref="F27">
    <cfRule type="expression" dxfId="285" priority="211">
      <formula>$E27="Ongoing"</formula>
    </cfRule>
  </conditionalFormatting>
  <conditionalFormatting sqref="M28">
    <cfRule type="expression" dxfId="284" priority="212">
      <formula>$E28="Done"</formula>
    </cfRule>
  </conditionalFormatting>
  <conditionalFormatting sqref="M28">
    <cfRule type="expression" dxfId="283" priority="213">
      <formula>$E28="Ongoing"</formula>
    </cfRule>
  </conditionalFormatting>
  <conditionalFormatting sqref="G27:H27">
    <cfRule type="expression" dxfId="282" priority="214">
      <formula>$E27="Done"</formula>
    </cfRule>
  </conditionalFormatting>
  <conditionalFormatting sqref="G27:H27">
    <cfRule type="expression" dxfId="281" priority="215">
      <formula>$E27="Ongoing"</formula>
    </cfRule>
  </conditionalFormatting>
  <conditionalFormatting sqref="F27">
    <cfRule type="expression" dxfId="280" priority="216">
      <formula>$E27="Done"</formula>
    </cfRule>
  </conditionalFormatting>
  <conditionalFormatting sqref="F27">
    <cfRule type="expression" dxfId="279" priority="217">
      <formula>$E27="Ongoing"</formula>
    </cfRule>
  </conditionalFormatting>
  <conditionalFormatting sqref="G27:H27">
    <cfRule type="expression" dxfId="278" priority="218">
      <formula>$E27="Done"</formula>
    </cfRule>
  </conditionalFormatting>
  <conditionalFormatting sqref="G27:H27">
    <cfRule type="expression" dxfId="277" priority="219">
      <formula>$E27="Ongoing"</formula>
    </cfRule>
  </conditionalFormatting>
  <conditionalFormatting sqref="I28">
    <cfRule type="expression" dxfId="276" priority="220">
      <formula>$E29="Done"</formula>
    </cfRule>
  </conditionalFormatting>
  <conditionalFormatting sqref="I28">
    <cfRule type="expression" dxfId="275" priority="221">
      <formula>$E29="Ongoing"</formula>
    </cfRule>
  </conditionalFormatting>
  <conditionalFormatting sqref="B25:B27">
    <cfRule type="expression" dxfId="274" priority="222">
      <formula>$E25="Done"</formula>
    </cfRule>
  </conditionalFormatting>
  <conditionalFormatting sqref="B25:B27">
    <cfRule type="expression" dxfId="273" priority="223">
      <formula>$E25="Ongoing"</formula>
    </cfRule>
  </conditionalFormatting>
  <conditionalFormatting sqref="G27:H27">
    <cfRule type="expression" dxfId="272" priority="224">
      <formula>$E27="Done"</formula>
    </cfRule>
  </conditionalFormatting>
  <conditionalFormatting sqref="G27:H27">
    <cfRule type="expression" dxfId="271" priority="225">
      <formula>$E27="Ongoing"</formula>
    </cfRule>
  </conditionalFormatting>
  <conditionalFormatting sqref="F27">
    <cfRule type="expression" dxfId="270" priority="226">
      <formula>$E27="Done"</formula>
    </cfRule>
  </conditionalFormatting>
  <conditionalFormatting sqref="F27">
    <cfRule type="expression" dxfId="269" priority="227">
      <formula>$E27="Ongoing"</formula>
    </cfRule>
  </conditionalFormatting>
  <conditionalFormatting sqref="F27">
    <cfRule type="expression" dxfId="268" priority="228">
      <formula>$E27="Done"</formula>
    </cfRule>
  </conditionalFormatting>
  <conditionalFormatting sqref="F27">
    <cfRule type="expression" dxfId="267" priority="229">
      <formula>$E27="Ongoing"</formula>
    </cfRule>
  </conditionalFormatting>
  <conditionalFormatting sqref="F27">
    <cfRule type="expression" dxfId="266" priority="230">
      <formula>$E27="Done"</formula>
    </cfRule>
  </conditionalFormatting>
  <conditionalFormatting sqref="F27">
    <cfRule type="expression" dxfId="265" priority="231">
      <formula>$E27="Ongoing"</formula>
    </cfRule>
  </conditionalFormatting>
  <conditionalFormatting sqref="F27:T27">
    <cfRule type="expression" dxfId="264" priority="232">
      <formula>#REF!="Done"</formula>
    </cfRule>
  </conditionalFormatting>
  <conditionalFormatting sqref="F27:T27 D25:D29">
    <cfRule type="expression" dxfId="263" priority="233">
      <formula>#REF!="Ongoing"</formula>
    </cfRule>
  </conditionalFormatting>
  <conditionalFormatting sqref="I27">
    <cfRule type="expression" dxfId="262" priority="234">
      <formula>$E27="Done"</formula>
    </cfRule>
  </conditionalFormatting>
  <conditionalFormatting sqref="I27">
    <cfRule type="expression" dxfId="261" priority="235">
      <formula>$E27="Ongoing"</formula>
    </cfRule>
  </conditionalFormatting>
  <conditionalFormatting sqref="I27">
    <cfRule type="expression" dxfId="260" priority="236">
      <formula>$E27="Done"</formula>
    </cfRule>
  </conditionalFormatting>
  <conditionalFormatting sqref="I27">
    <cfRule type="expression" dxfId="259" priority="237">
      <formula>$E27="Ongoing"</formula>
    </cfRule>
  </conditionalFormatting>
  <conditionalFormatting sqref="I27">
    <cfRule type="expression" dxfId="258" priority="238">
      <formula>$E27="Done"</formula>
    </cfRule>
  </conditionalFormatting>
  <conditionalFormatting sqref="I27">
    <cfRule type="expression" dxfId="257" priority="239">
      <formula>$E27="Ongoing"</formula>
    </cfRule>
  </conditionalFormatting>
  <conditionalFormatting sqref="I27">
    <cfRule type="expression" dxfId="256" priority="240">
      <formula>$E27="Done"</formula>
    </cfRule>
  </conditionalFormatting>
  <conditionalFormatting sqref="I27">
    <cfRule type="expression" dxfId="255" priority="241">
      <formula>$E27="Ongoing"</formula>
    </cfRule>
  </conditionalFormatting>
  <conditionalFormatting sqref="N28">
    <cfRule type="expression" dxfId="254" priority="242">
      <formula>$E28="Done"</formula>
    </cfRule>
  </conditionalFormatting>
  <conditionalFormatting sqref="N28">
    <cfRule type="expression" dxfId="253" priority="243">
      <formula>$E28="Ongoing"</formula>
    </cfRule>
  </conditionalFormatting>
  <conditionalFormatting sqref="H27">
    <cfRule type="expression" dxfId="252" priority="244">
      <formula>$E27="Done"</formula>
    </cfRule>
  </conditionalFormatting>
  <conditionalFormatting sqref="H27">
    <cfRule type="expression" dxfId="251" priority="245">
      <formula>$E27="Ongoing"</formula>
    </cfRule>
  </conditionalFormatting>
  <conditionalFormatting sqref="H27">
    <cfRule type="expression" dxfId="250" priority="246">
      <formula>$E27="Done"</formula>
    </cfRule>
  </conditionalFormatting>
  <conditionalFormatting sqref="H27">
    <cfRule type="expression" dxfId="249" priority="247">
      <formula>$E27="Ongoing"</formula>
    </cfRule>
  </conditionalFormatting>
  <conditionalFormatting sqref="H27">
    <cfRule type="expression" dxfId="248" priority="248">
      <formula>$E27="Done"</formula>
    </cfRule>
  </conditionalFormatting>
  <conditionalFormatting sqref="H27">
    <cfRule type="expression" dxfId="247" priority="249">
      <formula>$E27="Ongoing"</formula>
    </cfRule>
  </conditionalFormatting>
  <conditionalFormatting sqref="H27">
    <cfRule type="expression" dxfId="246" priority="250">
      <formula>$E27="Done"</formula>
    </cfRule>
  </conditionalFormatting>
  <conditionalFormatting sqref="H27">
    <cfRule type="expression" dxfId="245" priority="251">
      <formula>$E27="Ongoing"</formula>
    </cfRule>
  </conditionalFormatting>
  <conditionalFormatting sqref="F25 G25:H38 I25:U25 B25:D27 D28:D31">
    <cfRule type="expression" dxfId="244" priority="252">
      <formula>#REF!="Done"</formula>
    </cfRule>
  </conditionalFormatting>
  <conditionalFormatting sqref="B26:D27 F25 G25:H38 I25:U25 B25:C25 D30:D31">
    <cfRule type="expression" dxfId="243" priority="253">
      <formula>#REF!="Ongoing"</formula>
    </cfRule>
  </conditionalFormatting>
  <conditionalFormatting sqref="D26:D27 B26:C26 F26:K26 M26:U26 D38 D30:D35">
    <cfRule type="expression" dxfId="242" priority="254">
      <formula>#REF!="Done"</formula>
    </cfRule>
  </conditionalFormatting>
  <conditionalFormatting sqref="D26:D27 B26:C26 F26:K26 M26:U26 D38 D30:D35">
    <cfRule type="expression" dxfId="241" priority="255">
      <formula>#REF!="Ongoing"</formula>
    </cfRule>
  </conditionalFormatting>
  <conditionalFormatting sqref="F29:K29 M29:O29">
    <cfRule type="expression" dxfId="240" priority="256">
      <formula>$M30="Done"</formula>
    </cfRule>
  </conditionalFormatting>
  <conditionalFormatting sqref="F29:K29 M29:O29">
    <cfRule type="expression" dxfId="239" priority="257">
      <formula>$M30="Ongoing"</formula>
    </cfRule>
  </conditionalFormatting>
  <conditionalFormatting sqref="F28:T28">
    <cfRule type="expression" dxfId="238" priority="258">
      <formula>$M31="Done"</formula>
    </cfRule>
  </conditionalFormatting>
  <conditionalFormatting sqref="F28:T28">
    <cfRule type="expression" dxfId="237" priority="259">
      <formula>$M31="Ongoing"</formula>
    </cfRule>
  </conditionalFormatting>
  <conditionalFormatting sqref="L25">
    <cfRule type="expression" dxfId="236" priority="260">
      <formula>#REF!="Done"</formula>
    </cfRule>
  </conditionalFormatting>
  <conditionalFormatting sqref="L25 D25:D29">
    <cfRule type="expression" dxfId="235" priority="261">
      <formula>#REF!="Ongoing"</formula>
    </cfRule>
  </conditionalFormatting>
  <conditionalFormatting sqref="L26 D25:D29">
    <cfRule type="expression" dxfId="234" priority="262">
      <formula>#REF!="Done"</formula>
    </cfRule>
  </conditionalFormatting>
  <conditionalFormatting sqref="L26">
    <cfRule type="expression" dxfId="233" priority="263">
      <formula>#REF!="Ongoing"</formula>
    </cfRule>
  </conditionalFormatting>
  <conditionalFormatting sqref="L29">
    <cfRule type="expression" dxfId="232" priority="264">
      <formula>$M30="Done"</formula>
    </cfRule>
  </conditionalFormatting>
  <conditionalFormatting sqref="L29">
    <cfRule type="expression" dxfId="231" priority="265">
      <formula>$M30="Ongoing"</formula>
    </cfRule>
  </conditionalFormatting>
  <conditionalFormatting sqref="O28">
    <cfRule type="expression" dxfId="230" priority="266">
      <formula>$E28="Done"</formula>
    </cfRule>
  </conditionalFormatting>
  <conditionalFormatting sqref="O28">
    <cfRule type="expression" dxfId="229" priority="267">
      <formula>$E28="Ongoing"</formula>
    </cfRule>
  </conditionalFormatting>
  <conditionalFormatting sqref="P28">
    <cfRule type="expression" dxfId="228" priority="268">
      <formula>$E28="Done"</formula>
    </cfRule>
  </conditionalFormatting>
  <conditionalFormatting sqref="P28">
    <cfRule type="expression" dxfId="227" priority="269">
      <formula>$E28="Ongoing"</formula>
    </cfRule>
  </conditionalFormatting>
  <conditionalFormatting sqref="Q28">
    <cfRule type="expression" dxfId="226" priority="270">
      <formula>$E28="Done"</formula>
    </cfRule>
  </conditionalFormatting>
  <conditionalFormatting sqref="Q28">
    <cfRule type="expression" dxfId="225" priority="271">
      <formula>$E28="Ongoing"</formula>
    </cfRule>
  </conditionalFormatting>
  <conditionalFormatting sqref="R28:S28">
    <cfRule type="expression" dxfId="224" priority="272">
      <formula>$E28="Done"</formula>
    </cfRule>
  </conditionalFormatting>
  <conditionalFormatting sqref="R28:S28">
    <cfRule type="expression" dxfId="223" priority="273">
      <formula>$E28="Ongoing"</formula>
    </cfRule>
  </conditionalFormatting>
  <conditionalFormatting sqref="T28">
    <cfRule type="expression" dxfId="222" priority="274">
      <formula>$E28="Done"</formula>
    </cfRule>
  </conditionalFormatting>
  <conditionalFormatting sqref="T28">
    <cfRule type="expression" dxfId="221" priority="275">
      <formula>$E28="Ongoing"</formula>
    </cfRule>
  </conditionalFormatting>
  <conditionalFormatting sqref="B25:B27 F25:F30 I25:Q30 R25:T31 U25:U30">
    <cfRule type="expression" dxfId="220" priority="276">
      <formula>$E25="Done"</formula>
    </cfRule>
  </conditionalFormatting>
  <conditionalFormatting sqref="B25:B27 F25:F30 I25:Q30 R25:T31 U25:U30">
    <cfRule type="expression" dxfId="219" priority="277">
      <formula>$E25="Ongoing"</formula>
    </cfRule>
  </conditionalFormatting>
  <conditionalFormatting sqref="I28">
    <cfRule type="expression" dxfId="218" priority="278">
      <formula>$E27="Done"</formula>
    </cfRule>
  </conditionalFormatting>
  <conditionalFormatting sqref="I28">
    <cfRule type="expression" dxfId="217" priority="279">
      <formula>$E27="Ongoing"</formula>
    </cfRule>
  </conditionalFormatting>
  <conditionalFormatting sqref="M27:M28">
    <cfRule type="expression" dxfId="216" priority="280">
      <formula>$E27="Done"</formula>
    </cfRule>
  </conditionalFormatting>
  <conditionalFormatting sqref="M27:M28">
    <cfRule type="expression" dxfId="215" priority="281">
      <formula>$E27="Ongoing"</formula>
    </cfRule>
  </conditionalFormatting>
  <conditionalFormatting sqref="I28">
    <cfRule type="expression" dxfId="214" priority="282">
      <formula>$E27="Done"</formula>
    </cfRule>
  </conditionalFormatting>
  <conditionalFormatting sqref="I28">
    <cfRule type="expression" dxfId="213" priority="283">
      <formula>$E27="Ongoing"</formula>
    </cfRule>
  </conditionalFormatting>
  <conditionalFormatting sqref="I27">
    <cfRule type="expression" dxfId="212" priority="284">
      <formula>#REF!="Done"</formula>
    </cfRule>
  </conditionalFormatting>
  <conditionalFormatting sqref="I27">
    <cfRule type="expression" dxfId="211" priority="285">
      <formula>#REF!="Ongoing"</formula>
    </cfRule>
  </conditionalFormatting>
  <conditionalFormatting sqref="B25:B27">
    <cfRule type="expression" dxfId="210" priority="286">
      <formula>$E25="Done"</formula>
    </cfRule>
  </conditionalFormatting>
  <conditionalFormatting sqref="B25:B27">
    <cfRule type="expression" dxfId="209" priority="287">
      <formula>$E25="Ongoing"</formula>
    </cfRule>
  </conditionalFormatting>
  <conditionalFormatting sqref="N27:N28">
    <cfRule type="expression" dxfId="208" priority="288">
      <formula>$E27="Done"</formula>
    </cfRule>
  </conditionalFormatting>
  <conditionalFormatting sqref="N27:N28">
    <cfRule type="expression" dxfId="207" priority="289">
      <formula>$E27="Ongoing"</formula>
    </cfRule>
  </conditionalFormatting>
  <conditionalFormatting sqref="F26:K26 M26:U26">
    <cfRule type="expression" dxfId="206" priority="290">
      <formula>#REF!="Done"</formula>
    </cfRule>
  </conditionalFormatting>
  <conditionalFormatting sqref="F26:K26 M26:U26">
    <cfRule type="expression" dxfId="205" priority="291">
      <formula>#REF!="Ongoing"</formula>
    </cfRule>
  </conditionalFormatting>
  <conditionalFormatting sqref="D26:D27 B26:C26 D38 D30:D35">
    <cfRule type="expression" dxfId="204" priority="292">
      <formula>#REF!="Done"</formula>
    </cfRule>
  </conditionalFormatting>
  <conditionalFormatting sqref="D26:D27 B26:C26 D38 D30:D35">
    <cfRule type="expression" dxfId="203" priority="293">
      <formula>#REF!="Ongoing"</formula>
    </cfRule>
  </conditionalFormatting>
  <conditionalFormatting sqref="F27:T27">
    <cfRule type="expression" dxfId="202" priority="294">
      <formula>$M30="Done"</formula>
    </cfRule>
  </conditionalFormatting>
  <conditionalFormatting sqref="F27:T27">
    <cfRule type="expression" dxfId="201" priority="295">
      <formula>$M30="Ongoing"</formula>
    </cfRule>
  </conditionalFormatting>
  <conditionalFormatting sqref="B26:D27 F25 G25:H38 I25:U25 B25:C25 D30:D31">
    <cfRule type="expression" dxfId="200" priority="296">
      <formula>#REF!="Done"</formula>
    </cfRule>
  </conditionalFormatting>
  <conditionalFormatting sqref="B26:D27 F25 G25:H38 I25:U25 B25:C25 D30:D31">
    <cfRule type="expression" dxfId="199" priority="297">
      <formula>#REF!="Ongoing"</formula>
    </cfRule>
  </conditionalFormatting>
  <conditionalFormatting sqref="L26">
    <cfRule type="expression" dxfId="198" priority="298">
      <formula>#REF!="Done"</formula>
    </cfRule>
  </conditionalFormatting>
  <conditionalFormatting sqref="L26">
    <cfRule type="expression" dxfId="197" priority="299">
      <formula>#REF!="Ongoing"</formula>
    </cfRule>
  </conditionalFormatting>
  <conditionalFormatting sqref="O27:O28">
    <cfRule type="expression" dxfId="196" priority="300">
      <formula>$E27="Done"</formula>
    </cfRule>
  </conditionalFormatting>
  <conditionalFormatting sqref="O27:O28">
    <cfRule type="expression" dxfId="195" priority="301">
      <formula>$E27="Ongoing"</formula>
    </cfRule>
  </conditionalFormatting>
  <conditionalFormatting sqref="P27:P28">
    <cfRule type="expression" dxfId="194" priority="302">
      <formula>$E27="Done"</formula>
    </cfRule>
  </conditionalFormatting>
  <conditionalFormatting sqref="P27:P28">
    <cfRule type="expression" dxfId="193" priority="303">
      <formula>$E27="Ongoing"</formula>
    </cfRule>
  </conditionalFormatting>
  <conditionalFormatting sqref="Q27:Q28">
    <cfRule type="expression" dxfId="192" priority="304">
      <formula>$E27="Done"</formula>
    </cfRule>
  </conditionalFormatting>
  <conditionalFormatting sqref="Q27:Q28">
    <cfRule type="expression" dxfId="191" priority="305">
      <formula>$E27="Ongoing"</formula>
    </cfRule>
  </conditionalFormatting>
  <conditionalFormatting sqref="R27:S28">
    <cfRule type="expression" dxfId="190" priority="306">
      <formula>$E27="Done"</formula>
    </cfRule>
  </conditionalFormatting>
  <conditionalFormatting sqref="R27:S28">
    <cfRule type="expression" dxfId="189" priority="307">
      <formula>$E27="Ongoing"</formula>
    </cfRule>
  </conditionalFormatting>
  <conditionalFormatting sqref="T27:T28">
    <cfRule type="expression" dxfId="188" priority="308">
      <formula>$E27="Done"</formula>
    </cfRule>
  </conditionalFormatting>
  <conditionalFormatting sqref="T27:T28">
    <cfRule type="expression" dxfId="187" priority="309">
      <formula>$E27="Ongoing"</formula>
    </cfRule>
  </conditionalFormatting>
  <conditionalFormatting sqref="F28:T28">
    <cfRule type="expression" dxfId="186" priority="310">
      <formula>#REF!="Done"</formula>
    </cfRule>
  </conditionalFormatting>
  <conditionalFormatting sqref="F28:T28">
    <cfRule type="expression" dxfId="185" priority="311">
      <formula>#REF!="Ongoing"</formula>
    </cfRule>
  </conditionalFormatting>
  <conditionalFormatting sqref="D26:D27 D30:D31">
    <cfRule type="expression" dxfId="184" priority="312">
      <formula>#REF!="Done"</formula>
    </cfRule>
  </conditionalFormatting>
  <conditionalFormatting sqref="D26:D27 D30:D31">
    <cfRule type="expression" dxfId="183" priority="313">
      <formula>#REF!="Ongoing"</formula>
    </cfRule>
  </conditionalFormatting>
  <conditionalFormatting sqref="D26:D27 D30:D31">
    <cfRule type="expression" dxfId="182" priority="314">
      <formula>#REF!="Done"</formula>
    </cfRule>
  </conditionalFormatting>
  <conditionalFormatting sqref="D26:D27 D30:D31">
    <cfRule type="expression" dxfId="181" priority="315">
      <formula>#REF!="Ongoing"</formula>
    </cfRule>
  </conditionalFormatting>
  <conditionalFormatting sqref="G40:U40">
    <cfRule type="expression" dxfId="180" priority="316">
      <formula>$E31="Done"</formula>
    </cfRule>
  </conditionalFormatting>
  <conditionalFormatting sqref="G40:U40">
    <cfRule type="expression" dxfId="179" priority="317">
      <formula>$E31="Ongoing"</formula>
    </cfRule>
  </conditionalFormatting>
  <conditionalFormatting sqref="D25:D27">
    <cfRule type="expression" dxfId="178" priority="339">
      <formula>$E30="Ongoing"</formula>
    </cfRule>
  </conditionalFormatting>
  <conditionalFormatting sqref="D25:D27">
    <cfRule type="expression" dxfId="177" priority="341">
      <formula>$E30="Done"</formula>
    </cfRule>
  </conditionalFormatting>
  <conditionalFormatting sqref="D35 D30:D31">
    <cfRule type="expression" dxfId="176" priority="115">
      <formula>$E14="Ongoing"</formula>
    </cfRule>
  </conditionalFormatting>
  <conditionalFormatting sqref="D35 D30:D31">
    <cfRule type="expression" dxfId="175" priority="116">
      <formula>$E14="Done"</formula>
    </cfRule>
  </conditionalFormatting>
  <conditionalFormatting sqref="D30:D31">
    <cfRule type="expression" dxfId="174" priority="117">
      <formula>#REF!="Ongoing"</formula>
    </cfRule>
  </conditionalFormatting>
  <conditionalFormatting sqref="D30:D31">
    <cfRule type="expression" dxfId="173" priority="118">
      <formula>#REF!="Ongoing"</formula>
    </cfRule>
  </conditionalFormatting>
  <conditionalFormatting sqref="D30:D31">
    <cfRule type="expression" dxfId="172" priority="119">
      <formula>#REF!="Done"</formula>
    </cfRule>
  </conditionalFormatting>
  <conditionalFormatting sqref="D30:D32">
    <cfRule type="expression" dxfId="171" priority="107">
      <formula>$E6="Done"</formula>
    </cfRule>
  </conditionalFormatting>
  <conditionalFormatting sqref="D30:D32">
    <cfRule type="expression" dxfId="170" priority="108">
      <formula>$E6="Ongoing"</formula>
    </cfRule>
  </conditionalFormatting>
  <conditionalFormatting sqref="D32">
    <cfRule type="expression" dxfId="169" priority="109">
      <formula>$E16="Ongoing"</formula>
    </cfRule>
  </conditionalFormatting>
  <conditionalFormatting sqref="D32">
    <cfRule type="expression" dxfId="168" priority="110">
      <formula>$E16="Done"</formula>
    </cfRule>
  </conditionalFormatting>
  <conditionalFormatting sqref="D32">
    <cfRule type="expression" dxfId="167" priority="111">
      <formula>#REF!="Ongoing"</formula>
    </cfRule>
  </conditionalFormatting>
  <conditionalFormatting sqref="D32">
    <cfRule type="expression" dxfId="166" priority="112">
      <formula>#REF!="Done"</formula>
    </cfRule>
  </conditionalFormatting>
  <conditionalFormatting sqref="D32">
    <cfRule type="expression" dxfId="165" priority="113">
      <formula>#REF!="Ongoing"</formula>
    </cfRule>
  </conditionalFormatting>
  <conditionalFormatting sqref="D32">
    <cfRule type="expression" dxfId="164" priority="114">
      <formula>#REF!="Done"</formula>
    </cfRule>
  </conditionalFormatting>
  <conditionalFormatting sqref="D33">
    <cfRule type="expression" dxfId="163" priority="84">
      <formula>$E9="Done"</formula>
    </cfRule>
  </conditionalFormatting>
  <conditionalFormatting sqref="D33">
    <cfRule type="expression" dxfId="162" priority="85">
      <formula>$E9="Ongoing"</formula>
    </cfRule>
  </conditionalFormatting>
  <conditionalFormatting sqref="D33">
    <cfRule type="expression" dxfId="161" priority="86">
      <formula>$E9="Ongoing"</formula>
    </cfRule>
  </conditionalFormatting>
  <conditionalFormatting sqref="D33">
    <cfRule type="expression" dxfId="160" priority="87">
      <formula>$E9="Done"</formula>
    </cfRule>
  </conditionalFormatting>
  <conditionalFormatting sqref="D33">
    <cfRule type="expression" dxfId="159" priority="88">
      <formula>$E17="Ongoing"</formula>
    </cfRule>
  </conditionalFormatting>
  <conditionalFormatting sqref="D33">
    <cfRule type="expression" dxfId="158" priority="89">
      <formula>$E17="Done"</formula>
    </cfRule>
  </conditionalFormatting>
  <conditionalFormatting sqref="D33">
    <cfRule type="expression" dxfId="157" priority="90">
      <formula>$E28="Done"</formula>
    </cfRule>
  </conditionalFormatting>
  <conditionalFormatting sqref="D33">
    <cfRule type="expression" dxfId="156" priority="91">
      <formula>$E28="Ongoing"</formula>
    </cfRule>
  </conditionalFormatting>
  <conditionalFormatting sqref="D33">
    <cfRule type="expression" dxfId="155" priority="92">
      <formula>#REF!="Ongoing"</formula>
    </cfRule>
  </conditionalFormatting>
  <conditionalFormatting sqref="D33">
    <cfRule type="expression" dxfId="154" priority="93">
      <formula>#REF!="Done"</formula>
    </cfRule>
  </conditionalFormatting>
  <conditionalFormatting sqref="D33">
    <cfRule type="expression" dxfId="153" priority="94">
      <formula>#REF!="Ongoing"</formula>
    </cfRule>
  </conditionalFormatting>
  <conditionalFormatting sqref="D33">
    <cfRule type="expression" dxfId="152" priority="95">
      <formula>#REF!="Ongoing"</formula>
    </cfRule>
  </conditionalFormatting>
  <conditionalFormatting sqref="D33">
    <cfRule type="expression" dxfId="151" priority="96">
      <formula>#REF!="Done"</formula>
    </cfRule>
  </conditionalFormatting>
  <conditionalFormatting sqref="D33">
    <cfRule type="expression" dxfId="150" priority="97">
      <formula>#REF!="Done"</formula>
    </cfRule>
  </conditionalFormatting>
  <conditionalFormatting sqref="D33">
    <cfRule type="expression" dxfId="149" priority="98">
      <formula>#REF!="Ongoing"</formula>
    </cfRule>
  </conditionalFormatting>
  <conditionalFormatting sqref="D33">
    <cfRule type="expression" dxfId="148" priority="99">
      <formula>#REF!="Done"</formula>
    </cfRule>
  </conditionalFormatting>
  <conditionalFormatting sqref="D33">
    <cfRule type="expression" dxfId="147" priority="100">
      <formula>#REF!="Ongoing"</formula>
    </cfRule>
  </conditionalFormatting>
  <conditionalFormatting sqref="D33">
    <cfRule type="expression" dxfId="146" priority="101">
      <formula>#REF!="Done"</formula>
    </cfRule>
  </conditionalFormatting>
  <conditionalFormatting sqref="D33">
    <cfRule type="expression" dxfId="145" priority="102">
      <formula>#REF!="Ongoing"</formula>
    </cfRule>
  </conditionalFormatting>
  <conditionalFormatting sqref="D33">
    <cfRule type="expression" dxfId="144" priority="103">
      <formula>$E44="Done"</formula>
    </cfRule>
  </conditionalFormatting>
  <conditionalFormatting sqref="D33">
    <cfRule type="expression" dxfId="143" priority="104">
      <formula>$E44="Ongoing"</formula>
    </cfRule>
  </conditionalFormatting>
  <conditionalFormatting sqref="D33">
    <cfRule type="expression" dxfId="142" priority="105">
      <formula>$E36="Ongoing"</formula>
    </cfRule>
  </conditionalFormatting>
  <conditionalFormatting sqref="D33">
    <cfRule type="expression" dxfId="141" priority="106">
      <formula>$E36="Done"</formula>
    </cfRule>
  </conditionalFormatting>
  <conditionalFormatting sqref="D34:D35">
    <cfRule type="expression" dxfId="140" priority="80">
      <formula>#REF!="Ongoing"</formula>
    </cfRule>
  </conditionalFormatting>
  <conditionalFormatting sqref="D34:D35">
    <cfRule type="expression" dxfId="139" priority="81">
      <formula>#REF!="Done"</formula>
    </cfRule>
  </conditionalFormatting>
  <conditionalFormatting sqref="D34:D35">
    <cfRule type="expression" dxfId="138" priority="82">
      <formula>#REF!="Ongoing"</formula>
    </cfRule>
  </conditionalFormatting>
  <conditionalFormatting sqref="D34:D35">
    <cfRule type="expression" dxfId="137" priority="83">
      <formula>#REF!="Done"</formula>
    </cfRule>
  </conditionalFormatting>
  <conditionalFormatting sqref="D38">
    <cfRule type="expression" dxfId="136" priority="57">
      <formula>$E14="Done"</formula>
    </cfRule>
  </conditionalFormatting>
  <conditionalFormatting sqref="D38">
    <cfRule type="expression" dxfId="135" priority="58">
      <formula>$E14="Ongoing"</formula>
    </cfRule>
  </conditionalFormatting>
  <conditionalFormatting sqref="D38">
    <cfRule type="expression" dxfId="134" priority="59">
      <formula>$E14="Ongoing"</formula>
    </cfRule>
  </conditionalFormatting>
  <conditionalFormatting sqref="D38">
    <cfRule type="expression" dxfId="133" priority="60">
      <formula>$E14="Done"</formula>
    </cfRule>
  </conditionalFormatting>
  <conditionalFormatting sqref="D38">
    <cfRule type="expression" dxfId="132" priority="61">
      <formula>$E22="Ongoing"</formula>
    </cfRule>
  </conditionalFormatting>
  <conditionalFormatting sqref="D38">
    <cfRule type="expression" dxfId="131" priority="62">
      <formula>$E22="Done"</formula>
    </cfRule>
  </conditionalFormatting>
  <conditionalFormatting sqref="D38">
    <cfRule type="expression" dxfId="130" priority="63">
      <formula>$E33="Done"</formula>
    </cfRule>
  </conditionalFormatting>
  <conditionalFormatting sqref="D38">
    <cfRule type="expression" dxfId="129" priority="64">
      <formula>$E33="Ongoing"</formula>
    </cfRule>
  </conditionalFormatting>
  <conditionalFormatting sqref="D38">
    <cfRule type="expression" dxfId="128" priority="65">
      <formula>#REF!="Ongoing"</formula>
    </cfRule>
  </conditionalFormatting>
  <conditionalFormatting sqref="D38">
    <cfRule type="expression" dxfId="127" priority="66">
      <formula>#REF!="Done"</formula>
    </cfRule>
  </conditionalFormatting>
  <conditionalFormatting sqref="D38">
    <cfRule type="expression" dxfId="126" priority="67">
      <formula>#REF!="Ongoing"</formula>
    </cfRule>
  </conditionalFormatting>
  <conditionalFormatting sqref="D38">
    <cfRule type="expression" dxfId="125" priority="68">
      <formula>#REF!="Ongoing"</formula>
    </cfRule>
  </conditionalFormatting>
  <conditionalFormatting sqref="D38">
    <cfRule type="expression" dxfId="124" priority="69">
      <formula>#REF!="Done"</formula>
    </cfRule>
  </conditionalFormatting>
  <conditionalFormatting sqref="D38">
    <cfRule type="expression" dxfId="123" priority="70">
      <formula>#REF!="Done"</formula>
    </cfRule>
  </conditionalFormatting>
  <conditionalFormatting sqref="D38">
    <cfRule type="expression" dxfId="122" priority="71">
      <formula>#REF!="Ongoing"</formula>
    </cfRule>
  </conditionalFormatting>
  <conditionalFormatting sqref="D38">
    <cfRule type="expression" dxfId="121" priority="72">
      <formula>#REF!="Done"</formula>
    </cfRule>
  </conditionalFormatting>
  <conditionalFormatting sqref="D38">
    <cfRule type="expression" dxfId="120" priority="73">
      <formula>#REF!="Ongoing"</formula>
    </cfRule>
  </conditionalFormatting>
  <conditionalFormatting sqref="D38">
    <cfRule type="expression" dxfId="119" priority="74">
      <formula>#REF!="Done"</formula>
    </cfRule>
  </conditionalFormatting>
  <conditionalFormatting sqref="D38">
    <cfRule type="expression" dxfId="118" priority="75">
      <formula>#REF!="Ongoing"</formula>
    </cfRule>
  </conditionalFormatting>
  <conditionalFormatting sqref="D38">
    <cfRule type="expression" dxfId="117" priority="76">
      <formula>$E49="Done"</formula>
    </cfRule>
  </conditionalFormatting>
  <conditionalFormatting sqref="D38">
    <cfRule type="expression" dxfId="116" priority="77">
      <formula>$E49="Ongoing"</formula>
    </cfRule>
  </conditionalFormatting>
  <conditionalFormatting sqref="D36:D37">
    <cfRule type="expression" dxfId="115" priority="49">
      <formula>$E31="Done"</formula>
    </cfRule>
  </conditionalFormatting>
  <conditionalFormatting sqref="D36:D37">
    <cfRule type="expression" dxfId="114" priority="50">
      <formula>$E31="Ongoing"</formula>
    </cfRule>
  </conditionalFormatting>
  <conditionalFormatting sqref="D36:D37">
    <cfRule type="expression" dxfId="113" priority="51">
      <formula>#REF!="Ongoing"</formula>
    </cfRule>
  </conditionalFormatting>
  <conditionalFormatting sqref="D36:D37">
    <cfRule type="expression" dxfId="112" priority="52">
      <formula>#REF!="Done"</formula>
    </cfRule>
  </conditionalFormatting>
  <conditionalFormatting sqref="D36:D37">
    <cfRule type="expression" dxfId="111" priority="53">
      <formula>#REF!="Ongoing"</formula>
    </cfRule>
  </conditionalFormatting>
  <conditionalFormatting sqref="D36:D37">
    <cfRule type="expression" dxfId="110" priority="54">
      <formula>#REF!="Done"</formula>
    </cfRule>
  </conditionalFormatting>
  <conditionalFormatting sqref="D36:D37">
    <cfRule type="expression" dxfId="109" priority="55">
      <formula>$E47="Done"</formula>
    </cfRule>
  </conditionalFormatting>
  <conditionalFormatting sqref="D36:D37">
    <cfRule type="expression" dxfId="108" priority="56">
      <formula>$E47="Ongoing"</formula>
    </cfRule>
  </conditionalFormatting>
  <conditionalFormatting sqref="D30:D35 D38">
    <cfRule type="expression" dxfId="107" priority="348">
      <formula>$E24="Done"</formula>
    </cfRule>
  </conditionalFormatting>
  <conditionalFormatting sqref="D30:D35 D38">
    <cfRule type="expression" dxfId="106" priority="350">
      <formula>$E24="Ongoing"</formula>
    </cfRule>
  </conditionalFormatting>
  <conditionalFormatting sqref="B31:B33">
    <cfRule type="expression" dxfId="105" priority="361">
      <formula>$E28="Removed"</formula>
    </cfRule>
  </conditionalFormatting>
  <conditionalFormatting sqref="D25:D26">
    <cfRule type="expression" dxfId="104" priority="384">
      <formula>#REF!="Done"</formula>
    </cfRule>
  </conditionalFormatting>
  <conditionalFormatting sqref="D27:D29">
    <cfRule type="expression" dxfId="103" priority="385">
      <formula>$E40="Done"</formula>
    </cfRule>
  </conditionalFormatting>
  <conditionalFormatting sqref="D25:D26">
    <cfRule type="expression" dxfId="102" priority="386">
      <formula>#REF!="Ongoing"</formula>
    </cfRule>
  </conditionalFormatting>
  <conditionalFormatting sqref="D27:D29">
    <cfRule type="expression" dxfId="101" priority="387">
      <formula>$E40="Ongoing"</formula>
    </cfRule>
  </conditionalFormatting>
  <conditionalFormatting sqref="D38">
    <cfRule type="expression" dxfId="100" priority="388">
      <formula>#REF!="Ongoing"</formula>
    </cfRule>
  </conditionalFormatting>
  <conditionalFormatting sqref="D38">
    <cfRule type="expression" dxfId="99" priority="389">
      <formula>#REF!="Done"</formula>
    </cfRule>
  </conditionalFormatting>
  <conditionalFormatting sqref="B29:B30">
    <cfRule type="expression" dxfId="98" priority="41">
      <formula>$E26="Done"</formula>
    </cfRule>
  </conditionalFormatting>
  <conditionalFormatting sqref="B29:B30">
    <cfRule type="expression" dxfId="97" priority="42">
      <formula>$E26="Ongoing"</formula>
    </cfRule>
  </conditionalFormatting>
  <conditionalFormatting sqref="B29:B30">
    <cfRule type="expression" dxfId="96" priority="43">
      <formula>#REF!="Done"</formula>
    </cfRule>
  </conditionalFormatting>
  <conditionalFormatting sqref="B29:B30">
    <cfRule type="expression" dxfId="95" priority="44">
      <formula>#REF!="Ongoing"</formula>
    </cfRule>
  </conditionalFormatting>
  <conditionalFormatting sqref="B29:B30">
    <cfRule type="expression" dxfId="94" priority="45">
      <formula>#REF!="Removed"</formula>
    </cfRule>
  </conditionalFormatting>
  <conditionalFormatting sqref="B29:B30">
    <cfRule type="expression" dxfId="93" priority="46">
      <formula>#REF!="Done"</formula>
    </cfRule>
  </conditionalFormatting>
  <conditionalFormatting sqref="B29:B30">
    <cfRule type="expression" dxfId="92" priority="47">
      <formula>#REF!="Ongoing"</formula>
    </cfRule>
  </conditionalFormatting>
  <conditionalFormatting sqref="B29:B30">
    <cfRule type="expression" dxfId="91" priority="48">
      <formula>$E26="Removed"</formula>
    </cfRule>
  </conditionalFormatting>
  <conditionalFormatting sqref="B39">
    <cfRule type="expression" dxfId="90" priority="22">
      <formula>$E34="Removed"</formula>
    </cfRule>
  </conditionalFormatting>
  <conditionalFormatting sqref="C39">
    <cfRule type="expression" dxfId="89" priority="23">
      <formula>$E37="Done"</formula>
    </cfRule>
  </conditionalFormatting>
  <conditionalFormatting sqref="C39">
    <cfRule type="expression" dxfId="88" priority="24">
      <formula>$E37="Ongoing"</formula>
    </cfRule>
  </conditionalFormatting>
  <conditionalFormatting sqref="B39">
    <cfRule type="expression" dxfId="87" priority="25">
      <formula>$E34="Done"</formula>
    </cfRule>
  </conditionalFormatting>
  <conditionalFormatting sqref="B39">
    <cfRule type="expression" dxfId="86" priority="26">
      <formula>$E34="Ongoing"</formula>
    </cfRule>
  </conditionalFormatting>
  <conditionalFormatting sqref="E39:U39">
    <cfRule type="expression" dxfId="85" priority="27">
      <formula>$E39="Done"</formula>
    </cfRule>
  </conditionalFormatting>
  <conditionalFormatting sqref="E39:U39">
    <cfRule type="expression" dxfId="84" priority="28">
      <formula>$E39="Ongoing"</formula>
    </cfRule>
  </conditionalFormatting>
  <conditionalFormatting sqref="G39:H39">
    <cfRule type="expression" dxfId="83" priority="29">
      <formula>#REF!="Done"</formula>
    </cfRule>
  </conditionalFormatting>
  <conditionalFormatting sqref="G39:H39">
    <cfRule type="expression" dxfId="82" priority="30">
      <formula>#REF!="Ongoing"</formula>
    </cfRule>
  </conditionalFormatting>
  <conditionalFormatting sqref="D39">
    <cfRule type="expression" dxfId="81" priority="31">
      <formula>#REF!="Done"</formula>
    </cfRule>
  </conditionalFormatting>
  <conditionalFormatting sqref="D39">
    <cfRule type="expression" dxfId="80" priority="32">
      <formula>#REF!="Ongoing"</formula>
    </cfRule>
  </conditionalFormatting>
  <conditionalFormatting sqref="D39">
    <cfRule type="expression" dxfId="79" priority="33">
      <formula>#REF!="Done"</formula>
    </cfRule>
  </conditionalFormatting>
  <conditionalFormatting sqref="D39">
    <cfRule type="expression" dxfId="78" priority="34">
      <formula>#REF!="Ongoing"</formula>
    </cfRule>
  </conditionalFormatting>
  <conditionalFormatting sqref="G39:H39">
    <cfRule type="expression" dxfId="77" priority="35">
      <formula>#REF!="Done"</formula>
    </cfRule>
  </conditionalFormatting>
  <conditionalFormatting sqref="G39:H39">
    <cfRule type="expression" dxfId="76" priority="36">
      <formula>#REF!="Ongoing"</formula>
    </cfRule>
  </conditionalFormatting>
  <conditionalFormatting sqref="D39">
    <cfRule type="expression" dxfId="75" priority="1">
      <formula>$E15="Done"</formula>
    </cfRule>
  </conditionalFormatting>
  <conditionalFormatting sqref="D39">
    <cfRule type="expression" dxfId="74" priority="2">
      <formula>$E15="Ongoing"</formula>
    </cfRule>
  </conditionalFormatting>
  <conditionalFormatting sqref="D39">
    <cfRule type="expression" dxfId="73" priority="3">
      <formula>$E15="Ongoing"</formula>
    </cfRule>
  </conditionalFormatting>
  <conditionalFormatting sqref="D39">
    <cfRule type="expression" dxfId="72" priority="4">
      <formula>$E15="Done"</formula>
    </cfRule>
  </conditionalFormatting>
  <conditionalFormatting sqref="D39">
    <cfRule type="expression" dxfId="71" priority="5">
      <formula>$E23="Ongoing"</formula>
    </cfRule>
  </conditionalFormatting>
  <conditionalFormatting sqref="D39">
    <cfRule type="expression" dxfId="70" priority="6">
      <formula>$E23="Done"</formula>
    </cfRule>
  </conditionalFormatting>
  <conditionalFormatting sqref="D39">
    <cfRule type="expression" dxfId="69" priority="7">
      <formula>$E34="Done"</formula>
    </cfRule>
  </conditionalFormatting>
  <conditionalFormatting sqref="D39">
    <cfRule type="expression" dxfId="68" priority="8">
      <formula>$E34="Ongoing"</formula>
    </cfRule>
  </conditionalFormatting>
  <conditionalFormatting sqref="D39">
    <cfRule type="expression" dxfId="67" priority="9">
      <formula>#REF!="Ongoing"</formula>
    </cfRule>
  </conditionalFormatting>
  <conditionalFormatting sqref="D39">
    <cfRule type="expression" dxfId="66" priority="10">
      <formula>#REF!="Done"</formula>
    </cfRule>
  </conditionalFormatting>
  <conditionalFormatting sqref="D39">
    <cfRule type="expression" dxfId="65" priority="11">
      <formula>#REF!="Ongoing"</formula>
    </cfRule>
  </conditionalFormatting>
  <conditionalFormatting sqref="D39">
    <cfRule type="expression" dxfId="64" priority="12">
      <formula>#REF!="Ongoing"</formula>
    </cfRule>
  </conditionalFormatting>
  <conditionalFormatting sqref="D39">
    <cfRule type="expression" dxfId="63" priority="13">
      <formula>#REF!="Done"</formula>
    </cfRule>
  </conditionalFormatting>
  <conditionalFormatting sqref="D39">
    <cfRule type="expression" dxfId="62" priority="14">
      <formula>#REF!="Done"</formula>
    </cfRule>
  </conditionalFormatting>
  <conditionalFormatting sqref="D39">
    <cfRule type="expression" dxfId="61" priority="15">
      <formula>#REF!="Ongoing"</formula>
    </cfRule>
  </conditionalFormatting>
  <conditionalFormatting sqref="D39">
    <cfRule type="expression" dxfId="60" priority="16">
      <formula>#REF!="Done"</formula>
    </cfRule>
  </conditionalFormatting>
  <conditionalFormatting sqref="D39">
    <cfRule type="expression" dxfId="59" priority="17">
      <formula>#REF!="Ongoing"</formula>
    </cfRule>
  </conditionalFormatting>
  <conditionalFormatting sqref="D39">
    <cfRule type="expression" dxfId="58" priority="18">
      <formula>#REF!="Done"</formula>
    </cfRule>
  </conditionalFormatting>
  <conditionalFormatting sqref="D39">
    <cfRule type="expression" dxfId="57" priority="19">
      <formula>#REF!="Ongoing"</formula>
    </cfRule>
  </conditionalFormatting>
  <conditionalFormatting sqref="D39">
    <cfRule type="expression" dxfId="56" priority="20">
      <formula>$E50="Done"</formula>
    </cfRule>
  </conditionalFormatting>
  <conditionalFormatting sqref="D39">
    <cfRule type="expression" dxfId="55" priority="21">
      <formula>$E50="Ongoing"</formula>
    </cfRule>
  </conditionalFormatting>
  <conditionalFormatting sqref="D39">
    <cfRule type="expression" dxfId="54" priority="37">
      <formula>$E33="Done"</formula>
    </cfRule>
  </conditionalFormatting>
  <conditionalFormatting sqref="D39">
    <cfRule type="expression" dxfId="53" priority="38">
      <formula>$E33="Ongoing"</formula>
    </cfRule>
  </conditionalFormatting>
  <conditionalFormatting sqref="D39">
    <cfRule type="expression" dxfId="52" priority="39">
      <formula>#REF!="Ongoing"</formula>
    </cfRule>
  </conditionalFormatting>
  <conditionalFormatting sqref="D39">
    <cfRule type="expression" dxfId="51" priority="40">
      <formula>#REF!="Done"</formula>
    </cfRule>
  </conditionalFormatting>
  <dataValidations count="1">
    <dataValidation type="list" allowBlank="1" showInputMessage="1" prompt=" - " sqref="E4:E15 E25:E62">
      <formula1>"Planned,Ongoing,Done"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baseColWidth="10" defaultColWidth="14.42578125" defaultRowHeight="15" customHeight="1"/>
  <cols>
    <col min="1" max="1" width="9.140625" customWidth="1"/>
    <col min="2" max="2" width="30.5703125" customWidth="1"/>
    <col min="3" max="3" width="13.42578125" customWidth="1"/>
    <col min="4" max="4" width="10.85546875" customWidth="1"/>
    <col min="5" max="5" width="9.85546875" customWidth="1"/>
    <col min="6" max="15" width="8" customWidth="1"/>
  </cols>
  <sheetData>
    <row r="1" spans="1:15" ht="12.75" customHeight="1">
      <c r="A1" s="1"/>
      <c r="B1" s="1"/>
      <c r="C1" s="1"/>
      <c r="D1" s="1"/>
      <c r="E1" s="1"/>
    </row>
    <row r="2" spans="1:15" ht="18" customHeight="1">
      <c r="A2" s="1"/>
      <c r="B2" s="155" t="s">
        <v>0</v>
      </c>
      <c r="C2" s="149"/>
      <c r="D2" s="149"/>
      <c r="E2" s="149"/>
    </row>
    <row r="3" spans="1:15" ht="12.75" customHeight="1">
      <c r="A3" s="1"/>
      <c r="B3" s="5"/>
      <c r="C3" s="5"/>
      <c r="D3" s="5"/>
      <c r="E3" s="5"/>
    </row>
    <row r="4" spans="1:15" ht="12.75" customHeight="1">
      <c r="A4" s="6"/>
      <c r="B4" s="7" t="s">
        <v>1</v>
      </c>
      <c r="C4" s="7" t="s">
        <v>3</v>
      </c>
      <c r="D4" s="7" t="s">
        <v>4</v>
      </c>
      <c r="E4" s="7" t="s">
        <v>5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2.75" customHeight="1">
      <c r="A5" s="1"/>
      <c r="B5" s="156">
        <v>1</v>
      </c>
      <c r="C5" s="26" t="s">
        <v>7</v>
      </c>
      <c r="D5" s="28">
        <v>0.83333333333333337</v>
      </c>
      <c r="E5" s="28">
        <v>0.84722222222222221</v>
      </c>
    </row>
    <row r="6" spans="1:15" ht="12.75" customHeight="1">
      <c r="A6" s="1"/>
      <c r="B6" s="151"/>
      <c r="C6" s="26" t="s">
        <v>38</v>
      </c>
      <c r="D6" s="28">
        <v>0.375</v>
      </c>
      <c r="E6" s="28">
        <v>0.38541666666666669</v>
      </c>
    </row>
    <row r="7" spans="1:15" ht="12.75" customHeight="1">
      <c r="A7" s="1"/>
      <c r="B7" s="152"/>
      <c r="C7" s="26" t="s">
        <v>39</v>
      </c>
      <c r="D7" s="28">
        <v>0.83333333333333337</v>
      </c>
      <c r="E7" s="28">
        <v>0.84722222222222221</v>
      </c>
    </row>
    <row r="8" spans="1:15" ht="12.75" customHeight="1">
      <c r="A8" s="1"/>
      <c r="B8" s="156">
        <v>2</v>
      </c>
      <c r="C8" s="26" t="s">
        <v>40</v>
      </c>
      <c r="D8" s="28">
        <v>0.83333333333333337</v>
      </c>
      <c r="E8" s="28">
        <v>0.84722222222222221</v>
      </c>
    </row>
    <row r="9" spans="1:15" ht="12.75" customHeight="1">
      <c r="A9" s="1"/>
      <c r="B9" s="151"/>
      <c r="C9" s="26" t="s">
        <v>41</v>
      </c>
      <c r="D9" s="28">
        <v>0.375</v>
      </c>
      <c r="E9" s="28">
        <v>0.38541666666666669</v>
      </c>
    </row>
    <row r="10" spans="1:15" ht="12.75" customHeight="1">
      <c r="A10" s="1"/>
      <c r="B10" s="152"/>
      <c r="C10" s="26" t="s">
        <v>42</v>
      </c>
      <c r="D10" s="28">
        <v>0.83333333333333337</v>
      </c>
      <c r="E10" s="28">
        <v>0.84722222222222221</v>
      </c>
    </row>
    <row r="11" spans="1:15" ht="12.75" customHeight="1">
      <c r="A11" s="1"/>
      <c r="B11" s="1"/>
      <c r="C11" s="1"/>
      <c r="D11" s="32"/>
      <c r="E11" s="32"/>
    </row>
    <row r="12" spans="1:15" ht="12.75" customHeight="1">
      <c r="A12" s="1"/>
      <c r="B12" s="1"/>
      <c r="C12" s="1"/>
      <c r="D12" s="1"/>
      <c r="E12" s="1"/>
    </row>
    <row r="13" spans="1:15" ht="12.75" customHeight="1">
      <c r="A13" s="6"/>
      <c r="B13" s="7" t="s">
        <v>44</v>
      </c>
      <c r="C13" s="7" t="s">
        <v>45</v>
      </c>
      <c r="D13" s="157" t="s">
        <v>46</v>
      </c>
      <c r="E13" s="154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2.75" customHeight="1">
      <c r="A14" s="1"/>
      <c r="B14" s="35" t="s">
        <v>52</v>
      </c>
      <c r="C14" s="26" t="s">
        <v>56</v>
      </c>
      <c r="D14" s="153">
        <v>15</v>
      </c>
      <c r="E14" s="154"/>
    </row>
    <row r="15" spans="1:15" ht="12.75" customHeight="1">
      <c r="A15" s="1"/>
      <c r="B15" s="35" t="s">
        <v>58</v>
      </c>
      <c r="C15" s="26" t="s">
        <v>59</v>
      </c>
      <c r="D15" s="153">
        <v>20</v>
      </c>
      <c r="E15" s="154"/>
    </row>
    <row r="16" spans="1:15" ht="12.75" customHeight="1">
      <c r="A16" s="1"/>
      <c r="B16" s="1"/>
      <c r="C16" s="1"/>
      <c r="D16" s="1"/>
      <c r="E16" s="1"/>
    </row>
    <row r="17" spans="1:5" ht="12.75" customHeight="1">
      <c r="A17" s="1"/>
      <c r="B17" s="1"/>
      <c r="C17" s="1"/>
      <c r="D17" s="1"/>
      <c r="E17" s="1"/>
    </row>
    <row r="18" spans="1:5" ht="12.75" customHeight="1">
      <c r="A18" s="1"/>
      <c r="B18" s="1"/>
      <c r="C18" s="1"/>
      <c r="D18" s="1"/>
      <c r="E18" s="1"/>
    </row>
    <row r="19" spans="1:5" ht="12.75" customHeight="1">
      <c r="A19" s="1"/>
      <c r="B19" s="1"/>
      <c r="C19" s="1"/>
      <c r="D19" s="1"/>
      <c r="E19" s="1"/>
    </row>
    <row r="20" spans="1:5" ht="12.75" customHeight="1">
      <c r="A20" s="1"/>
      <c r="B20" s="1"/>
      <c r="C20" s="1"/>
      <c r="D20" s="1"/>
      <c r="E20" s="1"/>
    </row>
    <row r="21" spans="1:5" ht="12.75" customHeight="1">
      <c r="A21" s="1"/>
      <c r="B21" s="1"/>
      <c r="C21" s="1"/>
      <c r="D21" s="1"/>
      <c r="E21" s="1"/>
    </row>
  </sheetData>
  <mergeCells count="6">
    <mergeCell ref="D15:E15"/>
    <mergeCell ref="B2:E2"/>
    <mergeCell ref="B5:B7"/>
    <mergeCell ref="B8:B10"/>
    <mergeCell ref="D13:E13"/>
    <mergeCell ref="D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baseColWidth="10" defaultColWidth="14.42578125" defaultRowHeight="15" customHeight="1"/>
  <cols>
    <col min="1" max="1" width="7.140625" customWidth="1"/>
    <col min="2" max="2" width="11.7109375" customWidth="1"/>
    <col min="3" max="3" width="8.140625" customWidth="1"/>
    <col min="4" max="4" width="12" customWidth="1"/>
    <col min="5" max="5" width="10.140625" customWidth="1"/>
    <col min="6" max="6" width="10.42578125" customWidth="1"/>
    <col min="7" max="7" width="23.5703125" customWidth="1"/>
    <col min="8" max="8" width="36.7109375" customWidth="1"/>
    <col min="9" max="18" width="8" customWidth="1"/>
  </cols>
  <sheetData>
    <row r="1" spans="1:18" ht="12.75" customHeight="1">
      <c r="A1" s="1"/>
      <c r="B1" s="1"/>
      <c r="C1" s="1"/>
      <c r="D1" s="1"/>
      <c r="E1" s="1"/>
      <c r="F1" s="1"/>
      <c r="G1" s="40"/>
      <c r="H1" s="1"/>
    </row>
    <row r="2" spans="1:18" ht="18" customHeight="1">
      <c r="A2" s="158" t="s">
        <v>72</v>
      </c>
      <c r="B2" s="149"/>
      <c r="C2" s="149"/>
      <c r="D2" s="149"/>
      <c r="E2" s="149"/>
      <c r="F2" s="149"/>
      <c r="G2" s="149"/>
      <c r="H2" s="149"/>
    </row>
    <row r="3" spans="1:18" ht="12.75" customHeight="1">
      <c r="A3" s="1"/>
      <c r="B3" s="1"/>
      <c r="C3" s="1"/>
      <c r="D3" s="1"/>
      <c r="E3" s="1"/>
      <c r="F3" s="1"/>
      <c r="G3" s="40"/>
      <c r="H3" s="1"/>
    </row>
    <row r="4" spans="1:18" ht="12.75" customHeight="1">
      <c r="A4" s="43" t="s">
        <v>18</v>
      </c>
      <c r="B4" s="45" t="s">
        <v>74</v>
      </c>
      <c r="C4" s="45" t="s">
        <v>50</v>
      </c>
      <c r="D4" s="45" t="s">
        <v>76</v>
      </c>
      <c r="E4" s="45" t="s">
        <v>77</v>
      </c>
      <c r="F4" s="47" t="s">
        <v>11</v>
      </c>
      <c r="G4" s="45" t="s">
        <v>79</v>
      </c>
      <c r="H4" s="48" t="s">
        <v>80</v>
      </c>
      <c r="I4" s="49"/>
    </row>
    <row r="5" spans="1:18" ht="38.25" customHeight="1">
      <c r="A5" s="51">
        <v>1</v>
      </c>
      <c r="B5" s="53">
        <v>40539</v>
      </c>
      <c r="C5" s="51">
        <v>27</v>
      </c>
      <c r="D5" s="53">
        <f t="shared" ref="D5:D6" si="0">IF(AND(B5&lt;&gt;"",C5&lt;&gt;""),B5+C5-1,"")</f>
        <v>40565</v>
      </c>
      <c r="E5" s="51">
        <v>26</v>
      </c>
      <c r="F5" s="51" t="s">
        <v>84</v>
      </c>
      <c r="G5" s="53">
        <v>40565</v>
      </c>
      <c r="H5" s="57" t="s">
        <v>85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63.75" customHeight="1">
      <c r="A6" s="35">
        <v>2</v>
      </c>
      <c r="B6" s="60">
        <f>IF(AND(B5&lt;&gt;"",C5&lt;&gt;"",C6&lt;&gt;""),B5+C5,"")</f>
        <v>40566</v>
      </c>
      <c r="C6" s="35">
        <v>14</v>
      </c>
      <c r="D6" s="60">
        <f t="shared" si="0"/>
        <v>40579</v>
      </c>
      <c r="E6" s="35">
        <v>24</v>
      </c>
      <c r="F6" s="2" t="s">
        <v>62</v>
      </c>
      <c r="G6" s="60">
        <v>40579</v>
      </c>
      <c r="H6" s="61" t="s">
        <v>88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2.75" customHeight="1">
      <c r="A7" s="63"/>
      <c r="B7" s="63"/>
      <c r="C7" s="63"/>
      <c r="D7" s="65" t="s">
        <v>92</v>
      </c>
      <c r="E7" s="66">
        <v>6</v>
      </c>
      <c r="F7" s="63"/>
      <c r="G7" s="66"/>
      <c r="H7" s="63"/>
    </row>
    <row r="8" spans="1:18" ht="12.75" customHeight="1">
      <c r="A8" s="1"/>
      <c r="B8" s="1"/>
      <c r="C8" s="1"/>
      <c r="D8" s="67" t="s">
        <v>96</v>
      </c>
      <c r="E8" s="40">
        <f>E5+E6</f>
        <v>50</v>
      </c>
      <c r="F8" s="1"/>
      <c r="G8" s="40"/>
      <c r="H8" s="1"/>
    </row>
    <row r="9" spans="1:18" ht="12.75" customHeight="1">
      <c r="A9" s="1"/>
      <c r="B9" s="1"/>
      <c r="C9" s="1"/>
      <c r="D9" s="1"/>
      <c r="E9" s="1"/>
      <c r="F9" s="1"/>
      <c r="G9" s="1"/>
      <c r="H9" s="1"/>
    </row>
    <row r="10" spans="1:18" ht="12.75" customHeight="1">
      <c r="A10" s="1"/>
      <c r="B10" s="1"/>
      <c r="C10" s="1"/>
      <c r="D10" s="1"/>
      <c r="E10" s="1"/>
      <c r="F10" s="1"/>
      <c r="G10" s="1"/>
      <c r="H10" s="1"/>
    </row>
    <row r="11" spans="1:18" ht="12.75" customHeight="1">
      <c r="A11" s="1"/>
      <c r="B11" s="1"/>
      <c r="C11" s="1"/>
      <c r="D11" s="1"/>
      <c r="E11" s="1"/>
      <c r="F11" s="1"/>
      <c r="G11" s="1"/>
      <c r="H11" s="1"/>
    </row>
    <row r="12" spans="1:18" ht="12.75" customHeight="1">
      <c r="A12" s="1"/>
      <c r="B12" s="1"/>
      <c r="C12" s="1"/>
      <c r="D12" s="1"/>
      <c r="E12" s="1"/>
      <c r="F12" s="1"/>
      <c r="G12" s="1"/>
      <c r="H12" s="1"/>
    </row>
    <row r="13" spans="1:18" ht="12.75" customHeight="1">
      <c r="A13" s="1"/>
      <c r="B13" s="1"/>
      <c r="C13" s="1"/>
      <c r="D13" s="1"/>
      <c r="E13" s="1"/>
      <c r="F13" s="1"/>
      <c r="G13" s="1"/>
      <c r="H13" s="1"/>
    </row>
    <row r="14" spans="1:18" ht="12.75" customHeight="1">
      <c r="A14" s="1"/>
      <c r="B14" s="1"/>
      <c r="C14" s="1"/>
      <c r="D14" s="1"/>
      <c r="E14" s="1"/>
      <c r="F14" s="1"/>
      <c r="G14" s="1"/>
      <c r="H14" s="1"/>
    </row>
    <row r="15" spans="1:18" ht="12.75" customHeight="1">
      <c r="A15" s="1"/>
      <c r="B15" s="1"/>
      <c r="C15" s="1"/>
      <c r="D15" s="1"/>
      <c r="E15" s="1"/>
      <c r="F15" s="1"/>
      <c r="G15" s="1"/>
      <c r="H15" s="1"/>
    </row>
    <row r="16" spans="1:18" ht="12.75" customHeight="1">
      <c r="A16" s="1"/>
      <c r="B16" s="1"/>
      <c r="C16" s="1"/>
      <c r="D16" s="1"/>
      <c r="E16" s="1"/>
      <c r="F16" s="1"/>
      <c r="G16" s="1"/>
      <c r="H16" s="1"/>
    </row>
    <row r="17" spans="1:8" ht="12.75" customHeight="1">
      <c r="A17" s="1"/>
      <c r="B17" s="1"/>
      <c r="C17" s="1"/>
      <c r="D17" s="1"/>
      <c r="E17" s="1"/>
      <c r="F17" s="1"/>
      <c r="G17" s="1"/>
      <c r="H17" s="1"/>
    </row>
    <row r="18" spans="1:8" ht="12.75" customHeight="1">
      <c r="A18" s="1"/>
      <c r="B18" s="1"/>
      <c r="C18" s="1"/>
      <c r="D18" s="1"/>
      <c r="E18" s="1"/>
      <c r="F18" s="1"/>
      <c r="G18" s="1"/>
      <c r="H18" s="1"/>
    </row>
    <row r="19" spans="1:8" ht="12.75" customHeight="1">
      <c r="A19" s="1"/>
      <c r="B19" s="1"/>
      <c r="C19" s="1"/>
      <c r="D19" s="1"/>
      <c r="E19" s="1"/>
      <c r="F19" s="1"/>
      <c r="G19" s="1"/>
      <c r="H19" s="1"/>
    </row>
    <row r="20" spans="1:8" ht="12.75" customHeight="1">
      <c r="A20" s="1"/>
      <c r="B20" s="1"/>
      <c r="C20" s="1"/>
      <c r="D20" s="1"/>
      <c r="E20" s="1"/>
      <c r="F20" s="1"/>
      <c r="G20" s="1"/>
      <c r="H20" s="1"/>
    </row>
    <row r="21" spans="1:8" ht="12.75" customHeight="1">
      <c r="A21" s="1"/>
      <c r="B21" s="1"/>
      <c r="C21" s="1"/>
      <c r="D21" s="1"/>
      <c r="E21" s="1"/>
      <c r="F21" s="1"/>
      <c r="G21" s="40"/>
      <c r="H21" s="1"/>
    </row>
  </sheetData>
  <mergeCells count="1">
    <mergeCell ref="A2:H2"/>
  </mergeCells>
  <conditionalFormatting sqref="E7">
    <cfRule type="expression" dxfId="50" priority="1">
      <formula>$F7="Planned"</formula>
    </cfRule>
  </conditionalFormatting>
  <conditionalFormatting sqref="E7">
    <cfRule type="expression" dxfId="49" priority="2">
      <formula>$F7="Ongoing"</formula>
    </cfRule>
  </conditionalFormatting>
  <conditionalFormatting sqref="H5 G5:G6 A5:E6">
    <cfRule type="expression" dxfId="48" priority="3">
      <formula>OR($F5="Planned",$F5="Unplanned")</formula>
    </cfRule>
  </conditionalFormatting>
  <conditionalFormatting sqref="H5 G5:G6 A5:E6">
    <cfRule type="expression" dxfId="47" priority="4">
      <formula>$F5="Ongoing"</formula>
    </cfRule>
  </conditionalFormatting>
  <conditionalFormatting sqref="H6">
    <cfRule type="expression" dxfId="46" priority="5">
      <formula>OR($F6="Planned",$F6="Unplanned")</formula>
    </cfRule>
  </conditionalFormatting>
  <conditionalFormatting sqref="H6">
    <cfRule type="expression" dxfId="45" priority="6">
      <formula>$F6="Ongoing"</formula>
    </cfRule>
  </conditionalFormatting>
  <conditionalFormatting sqref="E8">
    <cfRule type="expression" dxfId="44" priority="7">
      <formula>$F8="Planned"</formula>
    </cfRule>
  </conditionalFormatting>
  <conditionalFormatting sqref="E8">
    <cfRule type="expression" dxfId="43" priority="8">
      <formula>$F8="Ongoing"</formula>
    </cfRule>
  </conditionalFormatting>
  <conditionalFormatting sqref="F5">
    <cfRule type="expression" dxfId="42" priority="9">
      <formula>OR($F5="Planned",$F5="Unplanned")</formula>
    </cfRule>
  </conditionalFormatting>
  <conditionalFormatting sqref="F5">
    <cfRule type="expression" dxfId="41" priority="10">
      <formula>$F5="Ongoing"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8"/>
  <sheetViews>
    <sheetView workbookViewId="0"/>
  </sheetViews>
  <sheetFormatPr baseColWidth="10" defaultColWidth="14.42578125" defaultRowHeight="15" customHeight="1"/>
  <cols>
    <col min="1" max="1" width="11.85546875" customWidth="1"/>
    <col min="2" max="2" width="11.42578125" customWidth="1"/>
    <col min="3" max="3" width="9.7109375" customWidth="1"/>
    <col min="4" max="4" width="10.140625" customWidth="1"/>
    <col min="5" max="5" width="14.42578125" customWidth="1"/>
    <col min="6" max="6" width="15.7109375" hidden="1" customWidth="1"/>
    <col min="7" max="8" width="5.5703125" hidden="1" customWidth="1"/>
    <col min="9" max="9" width="7.28515625" hidden="1" customWidth="1"/>
    <col min="10" max="10" width="4.28515625" hidden="1" customWidth="1"/>
    <col min="11" max="13" width="6.85546875" hidden="1" customWidth="1"/>
    <col min="14" max="16" width="9.140625" hidden="1" customWidth="1"/>
    <col min="17" max="17" width="10.5703125" hidden="1" customWidth="1"/>
    <col min="18" max="26" width="8" customWidth="1"/>
  </cols>
  <sheetData>
    <row r="1" spans="1:26" ht="18" customHeight="1">
      <c r="A1" s="158" t="s">
        <v>123</v>
      </c>
      <c r="B1" s="149"/>
      <c r="C1" s="149"/>
      <c r="D1" s="14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ht="12.75" customHeight="1">
      <c r="A3" s="1" t="s">
        <v>124</v>
      </c>
      <c r="B3" s="1"/>
      <c r="C3" s="1"/>
      <c r="D3" s="1">
        <v>50</v>
      </c>
      <c r="E3" s="1"/>
      <c r="F3" s="1" t="s">
        <v>125</v>
      </c>
      <c r="G3" s="83">
        <f>IF(COUNT(B28:B37)=0,1,COUNT(B28:B37))</f>
        <v>2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26" ht="12.75" customHeight="1">
      <c r="A4" s="1" t="s">
        <v>126</v>
      </c>
      <c r="B4" s="1"/>
      <c r="C4" s="1"/>
      <c r="D4" s="1">
        <v>2</v>
      </c>
      <c r="E4" s="1" t="s">
        <v>127</v>
      </c>
      <c r="F4" s="1" t="s">
        <v>128</v>
      </c>
      <c r="G4" s="83">
        <f>IF(COUNT(D28:D37)=0,1,COUNT(D28:D37)+1)</f>
        <v>2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ht="12.75" customHeight="1">
      <c r="A5" s="1"/>
      <c r="B5" s="1"/>
      <c r="C5" s="1"/>
      <c r="D5" s="1"/>
      <c r="E5" s="1"/>
      <c r="F5" s="1" t="s">
        <v>131</v>
      </c>
      <c r="G5" s="83">
        <f>IF(G4&gt;D4,G4-D4,0)</f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Z5" s="86"/>
    </row>
    <row r="6" spans="1:26" ht="12.75" customHeight="1">
      <c r="A6" s="49" t="s">
        <v>134</v>
      </c>
      <c r="B6" s="1"/>
      <c r="C6" s="1"/>
      <c r="D6" s="1"/>
      <c r="E6" s="1"/>
      <c r="F6" s="1" t="s">
        <v>135</v>
      </c>
      <c r="G6" s="83">
        <f>'Release Burndown Chart'!TrendSprintCount-'Release Burndown Chart'!TrendOffset</f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Z6" s="86"/>
    </row>
    <row r="7" spans="1:26" ht="12.75" customHeight="1">
      <c r="A7" s="1" t="s">
        <v>136</v>
      </c>
      <c r="B7" s="1"/>
      <c r="C7" s="1"/>
      <c r="D7" s="1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Z7" s="86"/>
    </row>
    <row r="8" spans="1:26" ht="12.75" customHeight="1">
      <c r="A8" s="159">
        <f>D$4</f>
        <v>2</v>
      </c>
      <c r="B8" s="149"/>
      <c r="C8" s="93"/>
      <c r="D8" s="96">
        <f ca="1">IF(D28="","",AVERAGE(OFFSET(D27,'Release Burndown Chart'!TrendOffset,0,'Release Burndown Chart'!SprintsInTrend,1)))</f>
        <v>26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Z8" s="86"/>
    </row>
    <row r="9" spans="1:26" ht="12.75" customHeight="1">
      <c r="A9" s="1" t="s">
        <v>138</v>
      </c>
      <c r="B9" s="1"/>
      <c r="C9" s="1"/>
      <c r="D9" s="96">
        <f ca="1">IF(D28="","",AVERAGE(OFFSET(D27,1,0,'Release Burndown Chart'!SprintCount,1)))</f>
        <v>26</v>
      </c>
      <c r="E9" s="1"/>
      <c r="F9" s="1" t="s">
        <v>139</v>
      </c>
      <c r="G9" s="83">
        <f ca="1">IF(M28="",1,COUNT(M28:M96))</f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Z9" s="86"/>
    </row>
    <row r="10" spans="1:26" ht="12.75" customHeight="1">
      <c r="A10" s="1" t="s">
        <v>140</v>
      </c>
      <c r="B10" s="1"/>
      <c r="C10" s="1"/>
      <c r="D10" s="96" t="e">
        <f>IF(D28="","",AVERAGE(LastEight))</f>
        <v>#NAME?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Z10" s="86"/>
    </row>
    <row r="11" spans="1:26" ht="12.75" customHeight="1">
      <c r="A11" s="1" t="s">
        <v>141</v>
      </c>
      <c r="B11" s="1"/>
      <c r="C11" s="1"/>
      <c r="D11" s="96" t="e">
        <f>IF(D28="","",IF('Release Burndown Chart'!TrendSprintCount&lt;4,D10,AVERAGE(SMALL(LastEight,1),SMALL(LastEight,2),SMALL(LastEight,3))))</f>
        <v>#NAME?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Z11" s="86"/>
    </row>
    <row r="12" spans="1:26" ht="12.75" customHeight="1">
      <c r="A12" s="1" t="s">
        <v>142</v>
      </c>
      <c r="B12" s="1"/>
      <c r="C12" s="1"/>
      <c r="D12" s="96">
        <f ca="1">IF(M29="","",M28-M29)</f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Z12" s="86"/>
    </row>
    <row r="13" spans="1:26" ht="12.75" customHeight="1">
      <c r="A13" s="1"/>
      <c r="B13" s="1"/>
      <c r="C13" s="1"/>
      <c r="D13" s="1"/>
      <c r="E13" s="1"/>
      <c r="F13" s="70" t="s">
        <v>143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Z13" s="86"/>
    </row>
    <row r="14" spans="1:26" ht="12.75" customHeight="1">
      <c r="A14" s="49" t="s">
        <v>144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6" ht="12.75" customHeight="1">
      <c r="A15" s="1" t="s">
        <v>145</v>
      </c>
      <c r="B15" s="1"/>
      <c r="C15" s="1"/>
      <c r="D15" s="100">
        <f>IF(D7="",0,ROUNDUP(D3/D7*0.6,0))</f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6" ht="12.75" customHeight="1">
      <c r="A16" s="1" t="s">
        <v>146</v>
      </c>
      <c r="B16" s="1"/>
      <c r="C16" s="1"/>
      <c r="D16" s="100">
        <f>IF(D7="",0,ROUNDUP(D3/D7,0))</f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26" ht="12.75" customHeight="1">
      <c r="A17" s="1" t="s">
        <v>147</v>
      </c>
      <c r="B17" s="1"/>
      <c r="C17" s="1"/>
      <c r="D17" s="100">
        <f>IF(D7="",0,ROUNDUP(D3/D7*1.6,0))</f>
        <v>6</v>
      </c>
      <c r="E17" s="1"/>
      <c r="F17" s="1" t="s">
        <v>148</v>
      </c>
      <c r="G17" s="1">
        <f>IF(OR(D28="",D29=""),1,STDEV(D28:D37))</f>
        <v>1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26" ht="12.75" customHeight="1">
      <c r="A18" s="159">
        <f>D$4</f>
        <v>2</v>
      </c>
      <c r="B18" s="149"/>
      <c r="C18" s="1"/>
      <c r="D18" s="100" t="e">
        <f ca="1">IF(D8="","",IF(LastRealized="",ROUNDUP(LastPlanned/D8,0)+'Release Burndown Chart'!SprintCount-1,ROUNDUP((LastPlanned-LastRealized)/D8+'Release Burndown Chart'!SprintCount,0)))</f>
        <v>#NAME?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26" ht="12.75" customHeight="1">
      <c r="A19" s="1" t="s">
        <v>149</v>
      </c>
      <c r="B19" s="1"/>
      <c r="C19" s="1"/>
      <c r="D19" s="100" t="e">
        <f ca="1">IF(D9="","",IF(LastRealized="",ROUNDUP(LastPlanned/D9+'Release Burndown Chart'!SprintCount-1,0),ROUNDUP((LastPlanned-LastRealized)/D9,0)+'Release Burndown Chart'!SprintCount))</f>
        <v>#NAME?</v>
      </c>
      <c r="E19" s="1"/>
      <c r="F19" s="1" t="s">
        <v>150</v>
      </c>
      <c r="G19" s="1" t="e">
        <f>LastPlanned</f>
        <v>#NAME?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26" ht="12.75" customHeight="1">
      <c r="A20" s="1" t="s">
        <v>140</v>
      </c>
      <c r="B20" s="1"/>
      <c r="C20" s="1"/>
      <c r="D20" s="100" t="e">
        <f>IF(D10="","",IF(LastRealized="",ROUNDUP(LastPlanned/D10+'Release Burndown Chart'!SprintCount-1,0),ROUNDUP((LastPlanned-LastRealized)/D10,0)+'Release Burndown Chart'!SprintCount))</f>
        <v>#NAME?</v>
      </c>
      <c r="E20" s="1"/>
      <c r="F20" s="1" t="s">
        <v>151</v>
      </c>
      <c r="G20" s="1" t="e">
        <f>LastRealized</f>
        <v>#NAME?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26" ht="12.75" customHeight="1">
      <c r="A21" s="1" t="s">
        <v>141</v>
      </c>
      <c r="B21" s="1"/>
      <c r="C21" s="1"/>
      <c r="D21" s="100" t="e">
        <f>IF(D11="","",IF(LastRealized="",ROUNDUP(LastPlanned/D11+'Release Burndown Chart'!SprintCount-1,0),ROUNDUP((LastPlanned-LastRealized)/D11,0)+'Release Burndown Chart'!SprintCount))</f>
        <v>#NAME?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26" ht="12.75" customHeight="1">
      <c r="A22" s="1" t="s">
        <v>142</v>
      </c>
      <c r="B22" s="1"/>
      <c r="C22" s="1"/>
      <c r="D22" s="100">
        <f ca="1">IF(COUNT(M28:M37)-1&gt;0,COUNT(M28:M37)-1,"")</f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6" ht="12.75" customHeight="1">
      <c r="A23" s="1" t="s">
        <v>152</v>
      </c>
      <c r="B23" s="1"/>
      <c r="C23" s="1"/>
      <c r="D23" s="100" t="e">
        <f ca="1">IF(D9="","",IF(LastRealized="",ROUNDUP(LastPlanned/(D9+G17)+'Release Burndown Chart'!SprintCount-1,0),ROUNDUP((LastPlanned-LastRealized)/(D9+G17)+'Release Burndown Chart'!SprintCount,0)))</f>
        <v>#NAME?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6" ht="12.75" customHeight="1">
      <c r="A24" s="1" t="s">
        <v>153</v>
      </c>
      <c r="B24" s="1"/>
      <c r="C24" s="1"/>
      <c r="D24" s="100" t="e">
        <f ca="1">IF(D9="","",IF(LastRealized="",ROUNDUP(LastPlanned/(D9-G17)+'Release Burndown Chart'!SprintCount-1,0),ROUNDUP((LastPlanned-LastRealized)/(D9-G17)+'Release Burndown Chart'!SprintCount,0)))</f>
        <v>#NAME?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26" ht="12.75" customHeight="1">
      <c r="A26" s="1"/>
      <c r="B26" s="1"/>
      <c r="C26" s="1"/>
      <c r="D26" s="1"/>
      <c r="E26" s="1"/>
      <c r="F26" s="105" t="s">
        <v>110</v>
      </c>
      <c r="G26" s="105"/>
      <c r="H26" s="105"/>
      <c r="I26" s="105"/>
      <c r="J26" s="105"/>
      <c r="K26" s="105"/>
      <c r="L26" s="105"/>
      <c r="M26" s="105"/>
      <c r="N26" s="105"/>
      <c r="O26" s="162" t="s">
        <v>154</v>
      </c>
      <c r="P26" s="161"/>
      <c r="Q26" s="161"/>
    </row>
    <row r="27" spans="1:26" ht="26.25" customHeight="1">
      <c r="A27" s="106" t="s">
        <v>18</v>
      </c>
      <c r="B27" s="107" t="s">
        <v>155</v>
      </c>
      <c r="C27" s="107" t="s">
        <v>156</v>
      </c>
      <c r="D27" s="108" t="s">
        <v>157</v>
      </c>
      <c r="E27" s="108" t="s">
        <v>158</v>
      </c>
      <c r="F27" s="105" t="s">
        <v>159</v>
      </c>
      <c r="G27" s="160" t="s">
        <v>160</v>
      </c>
      <c r="H27" s="161"/>
      <c r="I27" s="105" t="s">
        <v>161</v>
      </c>
      <c r="J27" s="109"/>
      <c r="K27" s="105" t="s">
        <v>162</v>
      </c>
      <c r="L27" s="105" t="s">
        <v>163</v>
      </c>
      <c r="M27" s="105" t="s">
        <v>164</v>
      </c>
      <c r="N27" s="110" t="s">
        <v>165</v>
      </c>
      <c r="O27" s="105" t="s">
        <v>166</v>
      </c>
      <c r="P27" s="105" t="s">
        <v>167</v>
      </c>
      <c r="Q27" s="105" t="s">
        <v>168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11">
        <v>1</v>
      </c>
      <c r="B28" s="40">
        <f>D3</f>
        <v>50</v>
      </c>
      <c r="C28" s="40">
        <f>('Release Plan'!E$5)</f>
        <v>26</v>
      </c>
      <c r="D28" s="40">
        <v>26</v>
      </c>
      <c r="E28" s="111">
        <f>B28</f>
        <v>50</v>
      </c>
      <c r="F28" s="83">
        <f>B28</f>
        <v>50</v>
      </c>
      <c r="G28" s="83">
        <f t="shared" ref="G28:G37" si="0">F28</f>
        <v>50</v>
      </c>
      <c r="H28" s="83">
        <f t="shared" ref="H28:H37" si="1">I28</f>
        <v>0</v>
      </c>
      <c r="I28" s="83">
        <v>0</v>
      </c>
      <c r="J28" s="1"/>
      <c r="K28" s="1">
        <f t="shared" ref="K28:K37" si="2">IF(F28&lt;I28,I28,F28)</f>
        <v>50</v>
      </c>
      <c r="L28" s="83">
        <f t="array" aca="1" ref="L28" ca="1">IF(TREND(OFFSET($K$27,'Release Burndown Chart'!TrendOffset+1,0,'Release Burndown Chart'!SprintsInTrend,1),OFFSET($A$27,'Release Burndown Chart'!TrendOffset+1,0,'Release Burndown Chart'!SprintsInTrend,1),A28)&lt;N28,N28,TREND(OFFSET($K$27,'Release Burndown Chart'!TrendOffset+1,0,'Release Burndown Chart'!SprintsInTrend,1),OFFSET($A$27,'Release Burndown Chart'!TrendOffset+1,0,'Release Burndown Chart'!SprintsInTrend,1),A28))</f>
        <v>50</v>
      </c>
      <c r="M28" s="83">
        <f ca="1">L28</f>
        <v>50</v>
      </c>
      <c r="N28" s="83">
        <f ca="1">OFFSET($I$27,'Release Burndown Chart'!TrendSprintCount,0,1,1)</f>
        <v>0</v>
      </c>
      <c r="O28" s="112">
        <f t="shared" ref="O28:O37" ca="1" si="3">D$9</f>
        <v>26</v>
      </c>
      <c r="P28" s="112" t="e">
        <f t="shared" ref="P28:P37" si="4">D$10</f>
        <v>#NAME?</v>
      </c>
      <c r="Q28" s="112" t="e">
        <f t="shared" ref="Q28:Q37" si="5">D$11</f>
        <v>#NAME?</v>
      </c>
    </row>
    <row r="29" spans="1:26" ht="12.75" customHeight="1">
      <c r="A29" s="111">
        <v>2</v>
      </c>
      <c r="B29" s="40">
        <f t="shared" ref="B29:B32" si="6">IF(OR(B28="",C28=""),"",IF(D28="",IF(B28-C28&lt;=0,"",B28-C28),IF(B28-D28&lt;=0,"",B28-D28)))</f>
        <v>24</v>
      </c>
      <c r="C29" s="40">
        <f>('Release Plan'!E$6)</f>
        <v>24</v>
      </c>
      <c r="D29" s="40"/>
      <c r="E29" s="111">
        <f t="shared" ref="E29:E37" si="7">IF(B29="","",IF(D28="",E28,B29+SUM(D$28:D28)))</f>
        <v>50</v>
      </c>
      <c r="F29" s="83">
        <f t="shared" ref="F29:F37" si="8">IF(B29="",IF(B28="","",IF(D28="","",I28)),IF(AND(D28="",C28=""),"",IF(AND(D28="",C28&lt;&gt;""),IF(I28&gt;F28,F28,I28),F28-D28)))</f>
        <v>24</v>
      </c>
      <c r="G29" s="83">
        <f t="shared" si="0"/>
        <v>24</v>
      </c>
      <c r="H29" s="83">
        <f t="shared" si="1"/>
        <v>0</v>
      </c>
      <c r="I29" s="83">
        <f t="shared" ref="I29:I37" si="9">IF(B29="",IF(B28="","",IF(D28="","",F28-D28)),IF(AND(C28="",D28=""),"",IF(AND(D28="",C28&lt;&gt;""),IF(I28&gt;F28,I28-C28,F28-C28),B$28-B29-SUM(D$28:D28))))</f>
        <v>0</v>
      </c>
      <c r="J29" s="1"/>
      <c r="K29" s="1">
        <f t="shared" si="2"/>
        <v>24</v>
      </c>
      <c r="L29" s="83">
        <f t="array" aca="1" ref="L29" ca="1">IF(TREND(OFFSET($K$27,'Release Burndown Chart'!TrendOffset+1,0,'Release Burndown Chart'!SprintsInTrend,1),OFFSET($A$27,'Release Burndown Chart'!TrendOffset+1,0,'Release Burndown Chart'!SprintsInTrend,1),A29)&lt;N29,N29,TREND(OFFSET($K$27,'Release Burndown Chart'!TrendOffset+1,0,'Release Burndown Chart'!SprintsInTrend,1),OFFSET($A$27,'Release Burndown Chart'!TrendOffset+1,0,'Release Burndown Chart'!SprintsInTrend,1),A29))</f>
        <v>24</v>
      </c>
      <c r="M29" s="83">
        <f t="shared" ref="M29:M37" ca="1" si="10">IF(L29=L28,"",L29)</f>
        <v>24</v>
      </c>
      <c r="N29" s="83">
        <f ca="1">OFFSET($I$27,'Release Burndown Chart'!TrendSprintCount,0,1,1)</f>
        <v>0</v>
      </c>
      <c r="O29" s="112">
        <f t="shared" ca="1" si="3"/>
        <v>26</v>
      </c>
      <c r="P29" s="112" t="e">
        <f t="shared" si="4"/>
        <v>#NAME?</v>
      </c>
      <c r="Q29" s="112" t="e">
        <f t="shared" si="5"/>
        <v>#NAME?</v>
      </c>
    </row>
    <row r="30" spans="1:26" ht="12.75" customHeight="1">
      <c r="A30" s="111">
        <v>3</v>
      </c>
      <c r="B30" s="40" t="str">
        <f t="shared" si="6"/>
        <v/>
      </c>
      <c r="C30" s="40"/>
      <c r="D30" s="40"/>
      <c r="E30" s="111" t="str">
        <f t="shared" si="7"/>
        <v/>
      </c>
      <c r="F30" s="83" t="str">
        <f t="shared" si="8"/>
        <v/>
      </c>
      <c r="G30" s="83" t="str">
        <f t="shared" si="0"/>
        <v/>
      </c>
      <c r="H30" s="83" t="str">
        <f t="shared" si="1"/>
        <v/>
      </c>
      <c r="I30" s="83" t="str">
        <f t="shared" si="9"/>
        <v/>
      </c>
      <c r="J30" s="1"/>
      <c r="K30" s="1" t="str">
        <f t="shared" si="2"/>
        <v/>
      </c>
      <c r="L30" s="83">
        <f t="array" aca="1" ref="L30" ca="1">IF(TREND(OFFSET($K$27,'Release Burndown Chart'!TrendOffset+1,0,'Release Burndown Chart'!SprintsInTrend,1),OFFSET($A$27,'Release Burndown Chart'!TrendOffset+1,0,'Release Burndown Chart'!SprintsInTrend,1),A30)&lt;N30,N30,TREND(OFFSET($K$27,'Release Burndown Chart'!TrendOffset+1,0,'Release Burndown Chart'!SprintsInTrend,1),OFFSET($A$27,'Release Burndown Chart'!TrendOffset+1,0,'Release Burndown Chart'!SprintsInTrend,1),A30))</f>
        <v>0</v>
      </c>
      <c r="M30" s="83">
        <f t="shared" ca="1" si="10"/>
        <v>0</v>
      </c>
      <c r="N30" s="83">
        <f ca="1">OFFSET($I$27,'Release Burndown Chart'!TrendSprintCount,0,1,1)</f>
        <v>0</v>
      </c>
      <c r="O30" s="112">
        <f t="shared" ca="1" si="3"/>
        <v>26</v>
      </c>
      <c r="P30" s="112" t="e">
        <f t="shared" si="4"/>
        <v>#NAME?</v>
      </c>
      <c r="Q30" s="112" t="e">
        <f t="shared" si="5"/>
        <v>#NAME?</v>
      </c>
    </row>
    <row r="31" spans="1:26" ht="12.75" customHeight="1">
      <c r="A31" s="111">
        <v>4</v>
      </c>
      <c r="B31" s="40" t="str">
        <f t="shared" si="6"/>
        <v/>
      </c>
      <c r="C31" s="40"/>
      <c r="D31" s="40"/>
      <c r="E31" s="111" t="str">
        <f t="shared" si="7"/>
        <v/>
      </c>
      <c r="F31" s="83" t="str">
        <f t="shared" si="8"/>
        <v/>
      </c>
      <c r="G31" s="83" t="str">
        <f t="shared" si="0"/>
        <v/>
      </c>
      <c r="H31" s="83" t="str">
        <f t="shared" si="1"/>
        <v/>
      </c>
      <c r="I31" s="83" t="str">
        <f t="shared" si="9"/>
        <v/>
      </c>
      <c r="J31" s="1"/>
      <c r="K31" s="1" t="str">
        <f t="shared" si="2"/>
        <v/>
      </c>
      <c r="L31" s="83">
        <f t="array" aca="1" ref="L31" ca="1">IF(TREND(OFFSET($K$27,'Release Burndown Chart'!TrendOffset+1,0,'Release Burndown Chart'!SprintsInTrend,1),OFFSET($A$27,'Release Burndown Chart'!TrendOffset+1,0,'Release Burndown Chart'!SprintsInTrend,1),A31)&lt;N31,N31,TREND(OFFSET($K$27,'Release Burndown Chart'!TrendOffset+1,0,'Release Burndown Chart'!SprintsInTrend,1),OFFSET($A$27,'Release Burndown Chart'!TrendOffset+1,0,'Release Burndown Chart'!SprintsInTrend,1),A31))</f>
        <v>0</v>
      </c>
      <c r="M31" s="83" t="str">
        <f t="shared" ca="1" si="10"/>
        <v/>
      </c>
      <c r="N31" s="83">
        <f ca="1">OFFSET($I$27,'Release Burndown Chart'!TrendSprintCount,0,1,1)</f>
        <v>0</v>
      </c>
      <c r="O31" s="112">
        <f t="shared" ca="1" si="3"/>
        <v>26</v>
      </c>
      <c r="P31" s="112" t="e">
        <f t="shared" si="4"/>
        <v>#NAME?</v>
      </c>
      <c r="Q31" s="112" t="e">
        <f t="shared" si="5"/>
        <v>#NAME?</v>
      </c>
    </row>
    <row r="32" spans="1:26" ht="12.75" customHeight="1">
      <c r="A32" s="111">
        <v>5</v>
      </c>
      <c r="B32" s="40" t="str">
        <f t="shared" si="6"/>
        <v/>
      </c>
      <c r="C32" s="40"/>
      <c r="D32" s="40"/>
      <c r="E32" s="111" t="str">
        <f t="shared" si="7"/>
        <v/>
      </c>
      <c r="F32" s="83" t="str">
        <f t="shared" si="8"/>
        <v/>
      </c>
      <c r="G32" s="83" t="str">
        <f t="shared" si="0"/>
        <v/>
      </c>
      <c r="H32" s="83" t="str">
        <f t="shared" si="1"/>
        <v/>
      </c>
      <c r="I32" s="83" t="str">
        <f t="shared" si="9"/>
        <v/>
      </c>
      <c r="J32" s="1"/>
      <c r="K32" s="1" t="str">
        <f t="shared" si="2"/>
        <v/>
      </c>
      <c r="L32" s="83">
        <f t="array" aca="1" ref="L32" ca="1">IF(TREND(OFFSET($K$27,'Release Burndown Chart'!TrendOffset+1,0,'Release Burndown Chart'!SprintsInTrend,1),OFFSET($A$27,'Release Burndown Chart'!TrendOffset+1,0,'Release Burndown Chart'!SprintsInTrend,1),A32)&lt;N32,N32,TREND(OFFSET($K$27,'Release Burndown Chart'!TrendOffset+1,0,'Release Burndown Chart'!SprintsInTrend,1),OFFSET($A$27,'Release Burndown Chart'!TrendOffset+1,0,'Release Burndown Chart'!SprintsInTrend,1),A32))</f>
        <v>0</v>
      </c>
      <c r="M32" s="83" t="str">
        <f t="shared" ca="1" si="10"/>
        <v/>
      </c>
      <c r="N32" s="83">
        <f ca="1">OFFSET($I$27,'Release Burndown Chart'!TrendSprintCount,0,1,1)</f>
        <v>0</v>
      </c>
      <c r="O32" s="112">
        <f t="shared" ca="1" si="3"/>
        <v>26</v>
      </c>
      <c r="P32" s="112" t="e">
        <f t="shared" si="4"/>
        <v>#NAME?</v>
      </c>
      <c r="Q32" s="112" t="e">
        <f t="shared" si="5"/>
        <v>#NAME?</v>
      </c>
    </row>
    <row r="33" spans="1:17" ht="12.75" customHeight="1">
      <c r="A33" s="111">
        <v>6</v>
      </c>
      <c r="B33" s="40"/>
      <c r="C33" s="40"/>
      <c r="D33" s="40"/>
      <c r="E33" s="111" t="str">
        <f t="shared" si="7"/>
        <v/>
      </c>
      <c r="F33" s="83" t="str">
        <f t="shared" si="8"/>
        <v/>
      </c>
      <c r="G33" s="83" t="str">
        <f t="shared" si="0"/>
        <v/>
      </c>
      <c r="H33" s="83" t="str">
        <f t="shared" si="1"/>
        <v/>
      </c>
      <c r="I33" s="83" t="str">
        <f t="shared" si="9"/>
        <v/>
      </c>
      <c r="J33" s="1"/>
      <c r="K33" s="1" t="str">
        <f t="shared" si="2"/>
        <v/>
      </c>
      <c r="L33" s="83">
        <f t="array" aca="1" ref="L33" ca="1">IF(TREND(OFFSET($K$27,'Release Burndown Chart'!TrendOffset+1,0,'Release Burndown Chart'!SprintsInTrend,1),OFFSET($A$27,'Release Burndown Chart'!TrendOffset+1,0,'Release Burndown Chart'!SprintsInTrend,1),A33)&lt;N33,N33,TREND(OFFSET($K$27,'Release Burndown Chart'!TrendOffset+1,0,'Release Burndown Chart'!SprintsInTrend,1),OFFSET($A$27,'Release Burndown Chart'!TrendOffset+1,0,'Release Burndown Chart'!SprintsInTrend,1),A33))</f>
        <v>0</v>
      </c>
      <c r="M33" s="83" t="str">
        <f t="shared" ca="1" si="10"/>
        <v/>
      </c>
      <c r="N33" s="83">
        <f ca="1">OFFSET($I$27,'Release Burndown Chart'!TrendSprintCount,0,1,1)</f>
        <v>0</v>
      </c>
      <c r="O33" s="112">
        <f t="shared" ca="1" si="3"/>
        <v>26</v>
      </c>
      <c r="P33" s="112" t="e">
        <f t="shared" si="4"/>
        <v>#NAME?</v>
      </c>
      <c r="Q33" s="112" t="e">
        <f t="shared" si="5"/>
        <v>#NAME?</v>
      </c>
    </row>
    <row r="34" spans="1:17" ht="12.75" customHeight="1">
      <c r="A34" s="111">
        <v>7</v>
      </c>
      <c r="B34" s="40" t="str">
        <f t="shared" ref="B34:B37" si="11">IF(OR(B33="",C33=""),"",IF(D33="",IF(B33-C33&lt;=0,"",B33-C33),IF(B33-D33&lt;=0,"",B33-D33)))</f>
        <v/>
      </c>
      <c r="C34" s="40"/>
      <c r="D34" s="40"/>
      <c r="E34" s="111" t="str">
        <f t="shared" si="7"/>
        <v/>
      </c>
      <c r="F34" s="83" t="str">
        <f t="shared" si="8"/>
        <v/>
      </c>
      <c r="G34" s="83" t="str">
        <f t="shared" si="0"/>
        <v/>
      </c>
      <c r="H34" s="83" t="str">
        <f t="shared" si="1"/>
        <v/>
      </c>
      <c r="I34" s="83" t="str">
        <f t="shared" si="9"/>
        <v/>
      </c>
      <c r="J34" s="1"/>
      <c r="K34" s="1" t="str">
        <f t="shared" si="2"/>
        <v/>
      </c>
      <c r="L34" s="83">
        <f t="array" aca="1" ref="L34" ca="1">IF(TREND(OFFSET($K$27,'Release Burndown Chart'!TrendOffset+1,0,'Release Burndown Chart'!SprintsInTrend,1),OFFSET($A$27,'Release Burndown Chart'!TrendOffset+1,0,'Release Burndown Chart'!SprintsInTrend,1),A34)&lt;N34,N34,TREND(OFFSET($K$27,'Release Burndown Chart'!TrendOffset+1,0,'Release Burndown Chart'!SprintsInTrend,1),OFFSET($A$27,'Release Burndown Chart'!TrendOffset+1,0,'Release Burndown Chart'!SprintsInTrend,1),A34))</f>
        <v>0</v>
      </c>
      <c r="M34" s="83" t="str">
        <f t="shared" ca="1" si="10"/>
        <v/>
      </c>
      <c r="N34" s="83">
        <f ca="1">OFFSET($I$27,'Release Burndown Chart'!TrendSprintCount,0,1,1)</f>
        <v>0</v>
      </c>
      <c r="O34" s="112">
        <f t="shared" ca="1" si="3"/>
        <v>26</v>
      </c>
      <c r="P34" s="112" t="e">
        <f t="shared" si="4"/>
        <v>#NAME?</v>
      </c>
      <c r="Q34" s="112" t="e">
        <f t="shared" si="5"/>
        <v>#NAME?</v>
      </c>
    </row>
    <row r="35" spans="1:17" ht="12.75" customHeight="1">
      <c r="A35" s="111">
        <v>8</v>
      </c>
      <c r="B35" s="40" t="str">
        <f t="shared" si="11"/>
        <v/>
      </c>
      <c r="C35" s="40"/>
      <c r="D35" s="40"/>
      <c r="E35" s="111" t="str">
        <f t="shared" si="7"/>
        <v/>
      </c>
      <c r="F35" s="83" t="str">
        <f t="shared" si="8"/>
        <v/>
      </c>
      <c r="G35" s="83" t="str">
        <f t="shared" si="0"/>
        <v/>
      </c>
      <c r="H35" s="83" t="str">
        <f t="shared" si="1"/>
        <v/>
      </c>
      <c r="I35" s="83" t="str">
        <f t="shared" si="9"/>
        <v/>
      </c>
      <c r="J35" s="1"/>
      <c r="K35" s="1" t="str">
        <f t="shared" si="2"/>
        <v/>
      </c>
      <c r="L35" s="83">
        <f t="array" aca="1" ref="L35" ca="1">IF(TREND(OFFSET($K$27,'Release Burndown Chart'!TrendOffset+1,0,'Release Burndown Chart'!SprintsInTrend,1),OFFSET($A$27,'Release Burndown Chart'!TrendOffset+1,0,'Release Burndown Chart'!SprintsInTrend,1),A35)&lt;N35,N35,TREND(OFFSET($K$27,'Release Burndown Chart'!TrendOffset+1,0,'Release Burndown Chart'!SprintsInTrend,1),OFFSET($A$27,'Release Burndown Chart'!TrendOffset+1,0,'Release Burndown Chart'!SprintsInTrend,1),A35))</f>
        <v>0</v>
      </c>
      <c r="M35" s="83" t="str">
        <f t="shared" ca="1" si="10"/>
        <v/>
      </c>
      <c r="N35" s="83">
        <f ca="1">OFFSET($I$27,'Release Burndown Chart'!TrendSprintCount,0,1,1)</f>
        <v>0</v>
      </c>
      <c r="O35" s="112">
        <f t="shared" ca="1" si="3"/>
        <v>26</v>
      </c>
      <c r="P35" s="112" t="e">
        <f t="shared" si="4"/>
        <v>#NAME?</v>
      </c>
      <c r="Q35" s="112" t="e">
        <f t="shared" si="5"/>
        <v>#NAME?</v>
      </c>
    </row>
    <row r="36" spans="1:17" ht="12.75" customHeight="1">
      <c r="A36" s="111">
        <v>9</v>
      </c>
      <c r="B36" s="40" t="str">
        <f t="shared" si="11"/>
        <v/>
      </c>
      <c r="C36" s="40"/>
      <c r="D36" s="40"/>
      <c r="E36" s="111" t="str">
        <f t="shared" si="7"/>
        <v/>
      </c>
      <c r="F36" s="83" t="str">
        <f t="shared" si="8"/>
        <v/>
      </c>
      <c r="G36" s="83" t="str">
        <f t="shared" si="0"/>
        <v/>
      </c>
      <c r="H36" s="83" t="str">
        <f t="shared" si="1"/>
        <v/>
      </c>
      <c r="I36" s="83" t="str">
        <f t="shared" si="9"/>
        <v/>
      </c>
      <c r="J36" s="1"/>
      <c r="K36" s="1" t="str">
        <f t="shared" si="2"/>
        <v/>
      </c>
      <c r="L36" s="83">
        <f t="array" aca="1" ref="L36" ca="1">IF(TREND(OFFSET($K$27,'Release Burndown Chart'!TrendOffset+1,0,'Release Burndown Chart'!SprintsInTrend,1),OFFSET($A$27,'Release Burndown Chart'!TrendOffset+1,0,'Release Burndown Chart'!SprintsInTrend,1),A36)&lt;N36,N36,TREND(OFFSET($K$27,'Release Burndown Chart'!TrendOffset+1,0,'Release Burndown Chart'!SprintsInTrend,1),OFFSET($A$27,'Release Burndown Chart'!TrendOffset+1,0,'Release Burndown Chart'!SprintsInTrend,1),A36))</f>
        <v>0</v>
      </c>
      <c r="M36" s="83" t="str">
        <f t="shared" ca="1" si="10"/>
        <v/>
      </c>
      <c r="N36" s="83">
        <f ca="1">OFFSET($I$27,'Release Burndown Chart'!TrendSprintCount,0,1,1)</f>
        <v>0</v>
      </c>
      <c r="O36" s="112">
        <f t="shared" ca="1" si="3"/>
        <v>26</v>
      </c>
      <c r="P36" s="112" t="e">
        <f t="shared" si="4"/>
        <v>#NAME?</v>
      </c>
      <c r="Q36" s="112" t="e">
        <f t="shared" si="5"/>
        <v>#NAME?</v>
      </c>
    </row>
    <row r="37" spans="1:17" ht="12.75" customHeight="1">
      <c r="A37" s="111">
        <v>10</v>
      </c>
      <c r="B37" s="40" t="str">
        <f t="shared" si="11"/>
        <v/>
      </c>
      <c r="C37" s="40"/>
      <c r="D37" s="40"/>
      <c r="E37" s="111" t="str">
        <f t="shared" si="7"/>
        <v/>
      </c>
      <c r="F37" s="83" t="str">
        <f t="shared" si="8"/>
        <v/>
      </c>
      <c r="G37" s="83" t="str">
        <f t="shared" si="0"/>
        <v/>
      </c>
      <c r="H37" s="83" t="str">
        <f t="shared" si="1"/>
        <v/>
      </c>
      <c r="I37" s="83" t="str">
        <f t="shared" si="9"/>
        <v/>
      </c>
      <c r="J37" s="1"/>
      <c r="K37" s="1" t="str">
        <f t="shared" si="2"/>
        <v/>
      </c>
      <c r="L37" s="83">
        <f t="array" aca="1" ref="L37" ca="1">IF(TREND(OFFSET($K$27,'Release Burndown Chart'!TrendOffset+1,0,'Release Burndown Chart'!SprintsInTrend,1),OFFSET($A$27,'Release Burndown Chart'!TrendOffset+1,0,'Release Burndown Chart'!SprintsInTrend,1),A37)&lt;N37,N37,TREND(OFFSET($K$27,'Release Burndown Chart'!TrendOffset+1,0,'Release Burndown Chart'!SprintsInTrend,1),OFFSET($A$27,'Release Burndown Chart'!TrendOffset+1,0,'Release Burndown Chart'!SprintsInTrend,1),A37))</f>
        <v>0</v>
      </c>
      <c r="M37" s="83" t="str">
        <f t="shared" ca="1" si="10"/>
        <v/>
      </c>
      <c r="N37" s="83">
        <f ca="1">OFFSET($I$27,'Release Burndown Chart'!TrendSprintCount,0,1,1)</f>
        <v>0</v>
      </c>
      <c r="O37" s="112">
        <f t="shared" ca="1" si="3"/>
        <v>26</v>
      </c>
      <c r="P37" s="112" t="e">
        <f t="shared" si="4"/>
        <v>#NAME?</v>
      </c>
      <c r="Q37" s="112" t="e">
        <f t="shared" si="5"/>
        <v>#NAME?</v>
      </c>
    </row>
    <row r="38" spans="1:17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</sheetData>
  <mergeCells count="5">
    <mergeCell ref="A8:B8"/>
    <mergeCell ref="A18:B18"/>
    <mergeCell ref="G27:H27"/>
    <mergeCell ref="O26:Q26"/>
    <mergeCell ref="A1:D1"/>
  </mergeCells>
  <conditionalFormatting sqref="K27:N27 A27:G27 F26 I27 O26:O27 P27:Q27">
    <cfRule type="expression" dxfId="40" priority="1">
      <formula>$D27="Done"</formula>
    </cfRule>
  </conditionalFormatting>
  <conditionalFormatting sqref="K27:N27 A27:G27 F26 I27 O26:O27 P27:Q27">
    <cfRule type="expression" dxfId="39" priority="2">
      <formula>$D27="Ongoing"</formula>
    </cfRule>
  </conditionalFormatting>
  <conditionalFormatting sqref="K27:N27 A27:G27 F26 I27 O26:O27 P27:Q27">
    <cfRule type="expression" dxfId="38" priority="3">
      <formula>$D27="Removed"</formula>
    </cfRule>
  </conditionalFormatting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/>
  </sheetViews>
  <sheetFormatPr baseColWidth="10" defaultColWidth="14.42578125" defaultRowHeight="15" customHeight="1"/>
  <cols>
    <col min="1" max="1" width="40.28515625" customWidth="1"/>
    <col min="2" max="2" width="10.28515625" customWidth="1"/>
    <col min="3" max="3" width="12.140625" customWidth="1"/>
    <col min="4" max="4" width="8.7109375" customWidth="1"/>
    <col min="5" max="5" width="11.42578125" customWidth="1"/>
    <col min="6" max="6" width="3.42578125" customWidth="1"/>
    <col min="7" max="19" width="3" customWidth="1"/>
    <col min="20" max="38" width="9.140625" customWidth="1"/>
  </cols>
  <sheetData>
    <row r="1" spans="1:38" ht="12.75" customHeight="1">
      <c r="A1" s="113"/>
      <c r="B1" s="14"/>
      <c r="C1" s="13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spans="1:38" ht="18" customHeight="1">
      <c r="A2" s="114">
        <v>1</v>
      </c>
      <c r="B2" s="16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 spans="1:38" ht="12.75" customHeight="1">
      <c r="A3" s="113"/>
      <c r="B3" s="1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1:38" ht="12.75" customHeight="1">
      <c r="A4" s="113"/>
      <c r="B4" s="14"/>
      <c r="C4" s="13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ht="12.75" customHeight="1">
      <c r="A5" s="113"/>
      <c r="B5" s="14"/>
      <c r="C5" s="13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12.75" customHeight="1">
      <c r="A6" s="113"/>
      <c r="B6" s="14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12.75" customHeight="1">
      <c r="A7" s="113"/>
      <c r="B7" s="14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12.75" customHeight="1">
      <c r="A8" s="113"/>
      <c r="B8" s="14"/>
      <c r="C8" s="13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12.75" customHeight="1">
      <c r="A9" s="113"/>
      <c r="B9" s="14"/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12.75" customHeight="1">
      <c r="A10" s="113"/>
      <c r="B10" s="14"/>
      <c r="C10" s="13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12.75" customHeight="1">
      <c r="A11" s="113"/>
      <c r="B11" s="14"/>
      <c r="C11" s="13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12.75" customHeight="1">
      <c r="A12" s="113"/>
      <c r="B12" s="14"/>
      <c r="C12" s="13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12.75" customHeight="1">
      <c r="A13" s="115" t="s">
        <v>43</v>
      </c>
      <c r="B13" s="116">
        <v>14</v>
      </c>
      <c r="C13" s="117"/>
      <c r="D13" s="118"/>
      <c r="E13" s="117" t="s">
        <v>47</v>
      </c>
      <c r="F13" s="117" t="s">
        <v>169</v>
      </c>
      <c r="G13" s="117"/>
      <c r="H13" s="117"/>
      <c r="I13" s="117"/>
      <c r="J13" s="117"/>
      <c r="K13" s="117"/>
      <c r="L13" s="117"/>
      <c r="M13" s="118"/>
      <c r="N13" s="118"/>
      <c r="O13" s="118"/>
      <c r="P13" s="118"/>
      <c r="Q13" s="118"/>
      <c r="R13" s="118"/>
      <c r="S13" s="118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25.5" customHeight="1">
      <c r="A14" s="115" t="s">
        <v>49</v>
      </c>
      <c r="B14" s="116">
        <v>14</v>
      </c>
      <c r="C14" s="117" t="s">
        <v>50</v>
      </c>
      <c r="D14" s="117" t="s">
        <v>51</v>
      </c>
      <c r="E14" s="119">
        <f ca="1">SUM(OFFSET(E18,1,0,B15,1))</f>
        <v>63</v>
      </c>
      <c r="F14" s="119">
        <f ca="1">IF(AND(SUM(OFFSET(F18,1,0,TaskRows,1))=0),0,SUM(OFFSET(F18,1,0,TaskRows,1)))</f>
        <v>63</v>
      </c>
      <c r="G14" s="119" t="str">
        <f t="shared" ref="G14:X14" ca="1" si="0">IF(AND(SUM(OFFSET(G18,1,0,TaskRows,1))=0),"",SUM(OFFSET(G18,1,0,TaskRows,1)))</f>
        <v/>
      </c>
      <c r="H14" s="119" t="str">
        <f t="shared" ca="1" si="0"/>
        <v/>
      </c>
      <c r="I14" s="119" t="str">
        <f t="shared" ca="1" si="0"/>
        <v/>
      </c>
      <c r="J14" s="119" t="str">
        <f t="shared" ca="1" si="0"/>
        <v/>
      </c>
      <c r="K14" s="119" t="str">
        <f t="shared" ca="1" si="0"/>
        <v/>
      </c>
      <c r="L14" s="119" t="str">
        <f t="shared" ca="1" si="0"/>
        <v/>
      </c>
      <c r="M14" s="119" t="str">
        <f t="shared" ca="1" si="0"/>
        <v/>
      </c>
      <c r="N14" s="119" t="str">
        <f t="shared" ca="1" si="0"/>
        <v/>
      </c>
      <c r="O14" s="119" t="str">
        <f t="shared" ca="1" si="0"/>
        <v/>
      </c>
      <c r="P14" s="119" t="str">
        <f t="shared" ca="1" si="0"/>
        <v/>
      </c>
      <c r="Q14" s="119" t="str">
        <f t="shared" ca="1" si="0"/>
        <v/>
      </c>
      <c r="R14" s="119" t="str">
        <f t="shared" ca="1" si="0"/>
        <v/>
      </c>
      <c r="S14" s="119" t="str">
        <f t="shared" ca="1" si="0"/>
        <v/>
      </c>
      <c r="T14" s="119" t="str">
        <f t="shared" ca="1" si="0"/>
        <v/>
      </c>
      <c r="U14" s="119" t="str">
        <f t="shared" ca="1" si="0"/>
        <v/>
      </c>
      <c r="V14" s="119" t="str">
        <f t="shared" ca="1" si="0"/>
        <v/>
      </c>
      <c r="W14" s="119" t="str">
        <f t="shared" ca="1" si="0"/>
        <v/>
      </c>
      <c r="X14" s="119" t="str">
        <f t="shared" ca="1" si="0"/>
        <v/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12.75" customHeight="1">
      <c r="A15" s="120" t="s">
        <v>81</v>
      </c>
      <c r="B15" s="121">
        <f>IF(COUNTA(A19:A249)=0,1,COUNTA(A19:A249))</f>
        <v>11</v>
      </c>
      <c r="C15" s="122" t="s">
        <v>86</v>
      </c>
      <c r="D15" s="121">
        <f ca="1">IF(COUNTIF(F14:S14,"&gt;0")=0,1,COUNTIF(F14:S14,"&gt;0"))</f>
        <v>1</v>
      </c>
      <c r="E15" s="121"/>
      <c r="F15" s="121">
        <f ca="1">IF(F18="","",$E14-$E14/($B13-1)*(F18-1))</f>
        <v>63</v>
      </c>
      <c r="G15" s="121">
        <f t="shared" ref="G15:AB15" ca="1" si="1">IF(G18="","",TotalEffort-TotalEffort/(ImplementationDays)*(G18-1))</f>
        <v>58.5</v>
      </c>
      <c r="H15" s="121">
        <f t="shared" ca="1" si="1"/>
        <v>54</v>
      </c>
      <c r="I15" s="121">
        <f t="shared" ca="1" si="1"/>
        <v>49.5</v>
      </c>
      <c r="J15" s="121">
        <f t="shared" ca="1" si="1"/>
        <v>45</v>
      </c>
      <c r="K15" s="121">
        <f t="shared" ca="1" si="1"/>
        <v>40.5</v>
      </c>
      <c r="L15" s="121">
        <f t="shared" ca="1" si="1"/>
        <v>36</v>
      </c>
      <c r="M15" s="121">
        <f t="shared" ca="1" si="1"/>
        <v>31.5</v>
      </c>
      <c r="N15" s="121">
        <f t="shared" ca="1" si="1"/>
        <v>27</v>
      </c>
      <c r="O15" s="121">
        <f t="shared" ca="1" si="1"/>
        <v>22.5</v>
      </c>
      <c r="P15" s="121">
        <f t="shared" ca="1" si="1"/>
        <v>18</v>
      </c>
      <c r="Q15" s="121">
        <f t="shared" ca="1" si="1"/>
        <v>13.5</v>
      </c>
      <c r="R15" s="121">
        <f t="shared" ca="1" si="1"/>
        <v>9</v>
      </c>
      <c r="S15" s="121">
        <f t="shared" ca="1" si="1"/>
        <v>4.5</v>
      </c>
      <c r="T15" s="121" t="str">
        <f t="shared" si="1"/>
        <v/>
      </c>
      <c r="U15" s="121" t="str">
        <f t="shared" si="1"/>
        <v/>
      </c>
      <c r="V15" s="121" t="str">
        <f t="shared" si="1"/>
        <v/>
      </c>
      <c r="W15" s="121" t="str">
        <f t="shared" si="1"/>
        <v/>
      </c>
      <c r="X15" s="121" t="str">
        <f t="shared" si="1"/>
        <v/>
      </c>
      <c r="Y15" s="40" t="str">
        <f t="shared" si="1"/>
        <v/>
      </c>
      <c r="Z15" s="40" t="str">
        <f t="shared" si="1"/>
        <v/>
      </c>
      <c r="AA15" s="40" t="str">
        <f t="shared" si="1"/>
        <v/>
      </c>
      <c r="AB15" s="40" t="str">
        <f t="shared" si="1"/>
        <v/>
      </c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2.75" customHeight="1">
      <c r="A16" s="123" t="s">
        <v>170</v>
      </c>
      <c r="B16" s="122"/>
      <c r="C16" s="122" t="s">
        <v>110</v>
      </c>
      <c r="D16" s="121"/>
      <c r="E16" s="121"/>
      <c r="F16" s="121">
        <f t="array" aca="1" ref="F16" ca="1">IF(TREND(OFFSET($F14,0,DoneDays-TrendDays,1,TrendDays),OFFSET($F17,0,DoneDays-TrendDays,1,TrendDays),F17)&lt;0,"",TREND(OFFSET($F14,0,DoneDays-TrendDays,1,TrendDays),OFFSET($F17,0,DoneDays-TrendDays,1,TrendDays),F17))</f>
        <v>63</v>
      </c>
      <c r="G16" s="121">
        <f t="array" aca="1" ref="G16" ca="1">IF(TREND(OFFSET($F14,0,DoneDays-TrendDays,1,TrendDays),OFFSET($F17,0,DoneDays-TrendDays,1,TrendDays),G17)&lt;0,"",TREND(OFFSET($F14,0,DoneDays-TrendDays,1,TrendDays),OFFSET($F17,0,DoneDays-TrendDays,1,TrendDays),G17))</f>
        <v>63</v>
      </c>
      <c r="H16" s="121">
        <f t="array" aca="1" ref="H16" ca="1">IF(TREND(OFFSET($F14,0,DoneDays-TrendDays,1,TrendDays),OFFSET($F17,0,DoneDays-TrendDays,1,TrendDays),H17)&lt;0,"",TREND(OFFSET($F14,0,DoneDays-TrendDays,1,TrendDays),OFFSET($F17,0,DoneDays-TrendDays,1,TrendDays),H17))</f>
        <v>63</v>
      </c>
      <c r="I16" s="121">
        <f t="array" aca="1" ref="I16" ca="1">IF(TREND(OFFSET($F14,0,DoneDays-TrendDays,1,TrendDays),OFFSET($F17,0,DoneDays-TrendDays,1,TrendDays),I17)&lt;0,"",TREND(OFFSET($F14,0,DoneDays-TrendDays,1,TrendDays),OFFSET($F17,0,DoneDays-TrendDays,1,TrendDays),I17))</f>
        <v>63</v>
      </c>
      <c r="J16" s="121">
        <f t="array" aca="1" ref="J16" ca="1">IF(TREND(OFFSET($F14,0,DoneDays-TrendDays,1,TrendDays),OFFSET($F17,0,DoneDays-TrendDays,1,TrendDays),J17)&lt;0,"",TREND(OFFSET($F14,0,DoneDays-TrendDays,1,TrendDays),OFFSET($F17,0,DoneDays-TrendDays,1,TrendDays),J17))</f>
        <v>63</v>
      </c>
      <c r="K16" s="121">
        <f t="array" aca="1" ref="K16" ca="1">IF(TREND(OFFSET($F14,0,DoneDays-TrendDays,1,TrendDays),OFFSET($F17,0,DoneDays-TrendDays,1,TrendDays),K17)&lt;0,"",TREND(OFFSET($F14,0,DoneDays-TrendDays,1,TrendDays),OFFSET($F17,0,DoneDays-TrendDays,1,TrendDays),K17))</f>
        <v>63</v>
      </c>
      <c r="L16" s="121">
        <f t="array" aca="1" ref="L16" ca="1">IF(TREND(OFFSET($F14,0,DoneDays-TrendDays,1,TrendDays),OFFSET($F17,0,DoneDays-TrendDays,1,TrendDays),L17)&lt;0,"",TREND(OFFSET($F14,0,DoneDays-TrendDays,1,TrendDays),OFFSET($F17,0,DoneDays-TrendDays,1,TrendDays),L17))</f>
        <v>63</v>
      </c>
      <c r="M16" s="121">
        <f t="array" aca="1" ref="M16" ca="1">IF(TREND(OFFSET($F14,0,DoneDays-TrendDays,1,TrendDays),OFFSET($F17,0,DoneDays-TrendDays,1,TrendDays),M17)&lt;0,"",TREND(OFFSET($F14,0,DoneDays-TrendDays,1,TrendDays),OFFSET($F17,0,DoneDays-TrendDays,1,TrendDays),M17))</f>
        <v>63</v>
      </c>
      <c r="N16" s="121">
        <f t="array" aca="1" ref="N16" ca="1">IF(TREND(OFFSET($F14,0,DoneDays-TrendDays,1,TrendDays),OFFSET($F17,0,DoneDays-TrendDays,1,TrendDays),N17)&lt;0,"",TREND(OFFSET($F14,0,DoneDays-TrendDays,1,TrendDays),OFFSET($F17,0,DoneDays-TrendDays,1,TrendDays),N17))</f>
        <v>63</v>
      </c>
      <c r="O16" s="121">
        <f t="array" aca="1" ref="O16" ca="1">IF(TREND(OFFSET($F14,0,DoneDays-TrendDays,1,TrendDays),OFFSET($F17,0,DoneDays-TrendDays,1,TrendDays),O17)&lt;0,"",TREND(OFFSET($F14,0,DoneDays-TrendDays,1,TrendDays),OFFSET($F17,0,DoneDays-TrendDays,1,TrendDays),O17))</f>
        <v>63</v>
      </c>
      <c r="P16" s="121">
        <f t="array" aca="1" ref="P16" ca="1">IF(TREND(OFFSET($F14,0,DoneDays-TrendDays,1,TrendDays),OFFSET($F17,0,DoneDays-TrendDays,1,TrendDays),P17)&lt;0,"",TREND(OFFSET($F14,0,DoneDays-TrendDays,1,TrendDays),OFFSET($F17,0,DoneDays-TrendDays,1,TrendDays),P17))</f>
        <v>63</v>
      </c>
      <c r="Q16" s="121">
        <f t="array" aca="1" ref="Q16" ca="1">IF(TREND(OFFSET($F14,0,DoneDays-TrendDays,1,TrendDays),OFFSET($F17,0,DoneDays-TrendDays,1,TrendDays),Q17)&lt;0,"",TREND(OFFSET($F14,0,DoneDays-TrendDays,1,TrendDays),OFFSET($F17,0,DoneDays-TrendDays,1,TrendDays),Q17))</f>
        <v>63</v>
      </c>
      <c r="R16" s="121">
        <f t="array" aca="1" ref="R16" ca="1">IF(TREND(OFFSET($F14,0,DoneDays-TrendDays,1,TrendDays),OFFSET($F17,0,DoneDays-TrendDays,1,TrendDays),R17)&lt;0,"",TREND(OFFSET($F14,0,DoneDays-TrendDays,1,TrendDays),OFFSET($F17,0,DoneDays-TrendDays,1,TrendDays),R17))</f>
        <v>63</v>
      </c>
      <c r="S16" s="121">
        <f t="array" aca="1" ref="S16" ca="1">IF(TREND(OFFSET($F14,0,DoneDays-TrendDays,1,TrendDays),OFFSET($F17,0,DoneDays-TrendDays,1,TrendDays),S17)&lt;0,"",TREND(OFFSET($F14,0,DoneDays-TrendDays,1,TrendDays),OFFSET($F17,0,DoneDays-TrendDays,1,TrendDays),S17))</f>
        <v>63</v>
      </c>
      <c r="T16" s="121">
        <f t="array" aca="1" ref="T16" ca="1">IF(TREND(OFFSET($F14,0,DoneDays-TrendDays,1,TrendDays),OFFSET($F17,0,DoneDays-TrendDays,1,TrendDays),T17)&lt;0,"",TREND(OFFSET($F14,0,DoneDays-TrendDays,1,TrendDays),OFFSET($F17,0,DoneDays-TrendDays,1,TrendDays),T17))</f>
        <v>63</v>
      </c>
      <c r="U16" s="121">
        <f t="array" aca="1" ref="U16" ca="1">IF(TREND(OFFSET($F14,0,DoneDays-TrendDays,1,TrendDays),OFFSET($F17,0,DoneDays-TrendDays,1,TrendDays),U17)&lt;0,"",TREND(OFFSET($F14,0,DoneDays-TrendDays,1,TrendDays),OFFSET($F17,0,DoneDays-TrendDays,1,TrendDays),U17))</f>
        <v>63</v>
      </c>
      <c r="V16" s="121">
        <f t="array" aca="1" ref="V16" ca="1">IF(TREND(OFFSET($F14,0,DoneDays-TrendDays,1,TrendDays),OFFSET($F17,0,DoneDays-TrendDays,1,TrendDays),V17)&lt;0,"",TREND(OFFSET($F14,0,DoneDays-TrendDays,1,TrendDays),OFFSET($F17,0,DoneDays-TrendDays,1,TrendDays),V17))</f>
        <v>63</v>
      </c>
      <c r="W16" s="121">
        <f t="array" aca="1" ref="W16" ca="1">IF(TREND(OFFSET($F14,0,DoneDays-TrendDays,1,TrendDays),OFFSET($F17,0,DoneDays-TrendDays,1,TrendDays),W17)&lt;0,"",TREND(OFFSET($F14,0,DoneDays-TrendDays,1,TrendDays),OFFSET($F17,0,DoneDays-TrendDays,1,TrendDays),W17))</f>
        <v>63</v>
      </c>
      <c r="X16" s="121">
        <f t="array" aca="1" ref="X16" ca="1">IF(TREND(OFFSET($F14,0,DoneDays-TrendDays,1,TrendDays),OFFSET($F17,0,DoneDays-TrendDays,1,TrendDays),X17)&lt;0,"",TREND(OFFSET($F14,0,DoneDays-TrendDays,1,TrendDays),OFFSET($F17,0,DoneDays-TrendDays,1,TrendDays),X17))</f>
        <v>63</v>
      </c>
      <c r="Y16" s="40"/>
      <c r="Z16" s="40"/>
      <c r="AA16" s="40"/>
      <c r="AB16" s="40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2.75" customHeight="1">
      <c r="A17" s="123" t="s">
        <v>179</v>
      </c>
      <c r="B17" s="122"/>
      <c r="C17" s="122" t="s">
        <v>171</v>
      </c>
      <c r="D17" s="121">
        <f ca="1">IF(DoneDays&gt;B14,B14,DoneDays)</f>
        <v>1</v>
      </c>
      <c r="E17" s="121"/>
      <c r="F17" s="121">
        <f ca="1">IF(D15&gt;E17,E17+1,"")</f>
        <v>1</v>
      </c>
      <c r="G17" s="121">
        <v>2</v>
      </c>
      <c r="H17" s="121">
        <v>3</v>
      </c>
      <c r="I17" s="121">
        <v>4</v>
      </c>
      <c r="J17" s="121">
        <v>5</v>
      </c>
      <c r="K17" s="121">
        <v>6</v>
      </c>
      <c r="L17" s="121">
        <v>7</v>
      </c>
      <c r="M17" s="121">
        <v>8</v>
      </c>
      <c r="N17" s="121">
        <v>9</v>
      </c>
      <c r="O17" s="121">
        <v>10</v>
      </c>
      <c r="P17" s="121">
        <v>11</v>
      </c>
      <c r="Q17" s="121">
        <v>12</v>
      </c>
      <c r="R17" s="121">
        <v>13</v>
      </c>
      <c r="S17" s="121">
        <v>14</v>
      </c>
      <c r="T17" s="121">
        <v>15</v>
      </c>
      <c r="U17" s="121">
        <v>16</v>
      </c>
      <c r="V17" s="121">
        <v>17</v>
      </c>
      <c r="W17" s="121">
        <v>18</v>
      </c>
      <c r="X17" s="121">
        <v>19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2.75" customHeight="1">
      <c r="A18" s="115" t="s">
        <v>173</v>
      </c>
      <c r="B18" s="142" t="s">
        <v>174</v>
      </c>
      <c r="C18" s="117" t="s">
        <v>175</v>
      </c>
      <c r="D18" s="117" t="s">
        <v>11</v>
      </c>
      <c r="E18" s="142" t="s">
        <v>180</v>
      </c>
      <c r="F18" s="142">
        <v>1</v>
      </c>
      <c r="G18" s="142">
        <f t="shared" ref="G18:X18" si="2">IF($B$13&gt;F18,F18+1,"")</f>
        <v>2</v>
      </c>
      <c r="H18" s="142">
        <f t="shared" si="2"/>
        <v>3</v>
      </c>
      <c r="I18" s="142">
        <f t="shared" si="2"/>
        <v>4</v>
      </c>
      <c r="J18" s="142">
        <f t="shared" si="2"/>
        <v>5</v>
      </c>
      <c r="K18" s="142">
        <f t="shared" si="2"/>
        <v>6</v>
      </c>
      <c r="L18" s="142">
        <f t="shared" si="2"/>
        <v>7</v>
      </c>
      <c r="M18" s="142">
        <f t="shared" si="2"/>
        <v>8</v>
      </c>
      <c r="N18" s="142">
        <f t="shared" si="2"/>
        <v>9</v>
      </c>
      <c r="O18" s="142">
        <f t="shared" si="2"/>
        <v>10</v>
      </c>
      <c r="P18" s="142">
        <f t="shared" si="2"/>
        <v>11</v>
      </c>
      <c r="Q18" s="142">
        <f t="shared" si="2"/>
        <v>12</v>
      </c>
      <c r="R18" s="142">
        <f t="shared" si="2"/>
        <v>13</v>
      </c>
      <c r="S18" s="142">
        <f t="shared" si="2"/>
        <v>14</v>
      </c>
      <c r="T18" s="142" t="str">
        <f t="shared" si="2"/>
        <v/>
      </c>
      <c r="U18" s="142" t="str">
        <f t="shared" si="2"/>
        <v/>
      </c>
      <c r="V18" s="142" t="str">
        <f t="shared" si="2"/>
        <v/>
      </c>
      <c r="W18" s="142" t="str">
        <f t="shared" si="2"/>
        <v/>
      </c>
      <c r="X18" s="142" t="str">
        <f t="shared" si="2"/>
        <v/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12.75" customHeight="1">
      <c r="A19" s="80" t="s">
        <v>181</v>
      </c>
      <c r="B19" s="35">
        <v>1</v>
      </c>
      <c r="C19" s="26" t="s">
        <v>182</v>
      </c>
      <c r="D19" s="26" t="s">
        <v>62</v>
      </c>
      <c r="E19" s="35">
        <v>7</v>
      </c>
      <c r="F19" s="35">
        <v>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12.75" customHeight="1">
      <c r="A20" s="80" t="s">
        <v>183</v>
      </c>
      <c r="B20" s="35">
        <v>1</v>
      </c>
      <c r="C20" s="26" t="s">
        <v>184</v>
      </c>
      <c r="D20" s="26" t="s">
        <v>62</v>
      </c>
      <c r="E20" s="35">
        <v>4</v>
      </c>
      <c r="F20" s="35">
        <v>4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12.75" customHeight="1">
      <c r="A21" s="80" t="s">
        <v>185</v>
      </c>
      <c r="B21" s="35">
        <v>1</v>
      </c>
      <c r="C21" s="26" t="s">
        <v>186</v>
      </c>
      <c r="D21" s="26" t="s">
        <v>62</v>
      </c>
      <c r="E21" s="35">
        <v>6</v>
      </c>
      <c r="F21" s="35">
        <v>6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12.75" customHeight="1">
      <c r="A22" s="80" t="s">
        <v>187</v>
      </c>
      <c r="B22" s="35">
        <v>1</v>
      </c>
      <c r="C22" s="26" t="s">
        <v>188</v>
      </c>
      <c r="D22" s="26" t="s">
        <v>62</v>
      </c>
      <c r="E22" s="35">
        <v>5</v>
      </c>
      <c r="F22" s="35">
        <v>5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12.75" customHeight="1">
      <c r="A23" s="80" t="s">
        <v>189</v>
      </c>
      <c r="B23" s="35">
        <v>1</v>
      </c>
      <c r="C23" s="26" t="s">
        <v>190</v>
      </c>
      <c r="D23" s="26" t="s">
        <v>62</v>
      </c>
      <c r="E23" s="35">
        <v>6</v>
      </c>
      <c r="F23" s="35">
        <v>6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25.5" customHeight="1">
      <c r="A24" s="80" t="s">
        <v>191</v>
      </c>
      <c r="B24" s="35">
        <v>5</v>
      </c>
      <c r="C24" s="26" t="s">
        <v>192</v>
      </c>
      <c r="D24" s="26" t="s">
        <v>62</v>
      </c>
      <c r="E24" s="35">
        <v>9</v>
      </c>
      <c r="F24" s="35">
        <v>9</v>
      </c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25.5" customHeight="1">
      <c r="A25" s="80" t="s">
        <v>193</v>
      </c>
      <c r="B25" s="35">
        <v>5</v>
      </c>
      <c r="C25" s="26" t="s">
        <v>182</v>
      </c>
      <c r="D25" s="26" t="s">
        <v>62</v>
      </c>
      <c r="E25" s="35">
        <v>8</v>
      </c>
      <c r="F25" s="35">
        <v>8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12.75" customHeight="1">
      <c r="A26" s="80" t="s">
        <v>194</v>
      </c>
      <c r="B26" s="35">
        <v>5</v>
      </c>
      <c r="C26" s="26" t="s">
        <v>188</v>
      </c>
      <c r="D26" s="26" t="s">
        <v>62</v>
      </c>
      <c r="E26" s="35">
        <v>4</v>
      </c>
      <c r="F26" s="35">
        <v>4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25.5" customHeight="1">
      <c r="A27" s="80" t="s">
        <v>195</v>
      </c>
      <c r="B27" s="35">
        <v>5</v>
      </c>
      <c r="C27" s="26" t="s">
        <v>186</v>
      </c>
      <c r="D27" s="26" t="s">
        <v>62</v>
      </c>
      <c r="E27" s="35">
        <v>6</v>
      </c>
      <c r="F27" s="35">
        <v>6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12.75" customHeight="1">
      <c r="A28" s="80" t="s">
        <v>196</v>
      </c>
      <c r="B28" s="35">
        <v>5</v>
      </c>
      <c r="C28" s="26" t="s">
        <v>190</v>
      </c>
      <c r="D28" s="26" t="s">
        <v>62</v>
      </c>
      <c r="E28" s="35">
        <v>4</v>
      </c>
      <c r="F28" s="35">
        <v>4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12.75" customHeight="1">
      <c r="A29" s="80" t="s">
        <v>197</v>
      </c>
      <c r="B29" s="35">
        <v>5</v>
      </c>
      <c r="C29" s="26" t="s">
        <v>192</v>
      </c>
      <c r="D29" s="26" t="s">
        <v>62</v>
      </c>
      <c r="E29" s="35">
        <v>4</v>
      </c>
      <c r="F29" s="35">
        <v>4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15" customHeight="1">
      <c r="A30" s="113"/>
      <c r="B30" s="14"/>
      <c r="C30" s="1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 spans="1:38" ht="12.75" customHeight="1">
      <c r="A31" s="113"/>
      <c r="B31" s="14"/>
      <c r="C31" s="1"/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</row>
    <row r="32" spans="1:38" ht="12.75" customHeight="1">
      <c r="A32" s="113"/>
      <c r="B32" s="14"/>
      <c r="C32" s="1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</row>
    <row r="33" spans="1:38" ht="12.75" customHeight="1">
      <c r="A33" s="113"/>
      <c r="B33" s="14"/>
      <c r="C33" s="1"/>
      <c r="D33" s="13"/>
      <c r="E33" s="14"/>
      <c r="F33" s="14" t="str">
        <f t="shared" ref="F33:F47" si="3">IF(OR(F$18="",$E33=""),"",E33)</f>
        <v/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</row>
    <row r="34" spans="1:38" ht="12.75" customHeight="1">
      <c r="A34" s="113"/>
      <c r="B34" s="14"/>
      <c r="C34" s="1"/>
      <c r="D34" s="13"/>
      <c r="E34" s="14"/>
      <c r="F34" s="14" t="str">
        <f t="shared" si="3"/>
        <v/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</row>
    <row r="35" spans="1:38" ht="12.75" customHeight="1">
      <c r="A35" s="113"/>
      <c r="B35" s="14"/>
      <c r="C35" s="1"/>
      <c r="D35" s="13"/>
      <c r="E35" s="14"/>
      <c r="F35" s="14" t="str">
        <f t="shared" si="3"/>
        <v/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</row>
    <row r="36" spans="1:38" ht="12.75" customHeight="1">
      <c r="A36" s="113"/>
      <c r="B36" s="14"/>
      <c r="C36" s="1"/>
      <c r="D36" s="13"/>
      <c r="E36" s="14"/>
      <c r="F36" s="14" t="str">
        <f t="shared" si="3"/>
        <v/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</row>
    <row r="37" spans="1:38" ht="12.75" customHeight="1">
      <c r="A37" s="113"/>
      <c r="B37" s="14"/>
      <c r="C37" s="1"/>
      <c r="D37" s="13"/>
      <c r="E37" s="14"/>
      <c r="F37" s="14" t="str">
        <f t="shared" si="3"/>
        <v/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</row>
    <row r="38" spans="1:38" ht="12.75" customHeight="1">
      <c r="A38" s="113"/>
      <c r="B38" s="14"/>
      <c r="C38" s="1"/>
      <c r="D38" s="13"/>
      <c r="E38" s="14"/>
      <c r="F38" s="14" t="str">
        <f t="shared" si="3"/>
        <v/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</row>
    <row r="39" spans="1:38" ht="12.75" customHeight="1">
      <c r="A39" s="113"/>
      <c r="B39" s="14"/>
      <c r="C39" s="1"/>
      <c r="D39" s="13"/>
      <c r="E39" s="14"/>
      <c r="F39" s="14" t="str">
        <f t="shared" si="3"/>
        <v/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38" ht="12.75" customHeight="1">
      <c r="A40" s="113"/>
      <c r="B40" s="14"/>
      <c r="C40" s="1"/>
      <c r="D40" s="13"/>
      <c r="E40" s="14"/>
      <c r="F40" s="14" t="str">
        <f t="shared" si="3"/>
        <v/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</row>
    <row r="41" spans="1:38" ht="12.75" customHeight="1">
      <c r="A41" s="113"/>
      <c r="B41" s="14"/>
      <c r="C41" s="1"/>
      <c r="D41" s="13"/>
      <c r="E41" s="14"/>
      <c r="F41" s="14" t="str">
        <f t="shared" si="3"/>
        <v/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</row>
    <row r="42" spans="1:38" ht="12.75" customHeight="1">
      <c r="A42" s="113"/>
      <c r="B42" s="14"/>
      <c r="C42" s="1"/>
      <c r="D42" s="13"/>
      <c r="E42" s="14"/>
      <c r="F42" s="14" t="str">
        <f t="shared" si="3"/>
        <v/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</row>
    <row r="43" spans="1:38" ht="12.75" customHeight="1">
      <c r="A43" s="113"/>
      <c r="B43" s="14"/>
      <c r="C43" s="1"/>
      <c r="D43" s="13"/>
      <c r="E43" s="14"/>
      <c r="F43" s="14" t="str">
        <f t="shared" si="3"/>
        <v/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</row>
    <row r="44" spans="1:38" ht="12.75" customHeight="1">
      <c r="A44" s="113"/>
      <c r="B44" s="14"/>
      <c r="C44" s="1"/>
      <c r="D44" s="13"/>
      <c r="E44" s="14"/>
      <c r="F44" s="14" t="str">
        <f t="shared" si="3"/>
        <v/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</row>
    <row r="45" spans="1:38" ht="12.75" customHeight="1">
      <c r="A45" s="113"/>
      <c r="B45" s="14"/>
      <c r="C45" s="1"/>
      <c r="D45" s="13"/>
      <c r="E45" s="14"/>
      <c r="F45" s="14" t="str">
        <f t="shared" si="3"/>
        <v/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</row>
    <row r="46" spans="1:38" ht="12.75" customHeight="1">
      <c r="A46" s="113"/>
      <c r="B46" s="14"/>
      <c r="C46" s="1"/>
      <c r="D46" s="13"/>
      <c r="E46" s="14"/>
      <c r="F46" s="14" t="str">
        <f t="shared" si="3"/>
        <v/>
      </c>
      <c r="G46" s="14" t="str">
        <f t="shared" ref="G46:S46" si="4">IF(OR(G$18="",$E46=""),"",F46)</f>
        <v/>
      </c>
      <c r="H46" s="14" t="str">
        <f t="shared" si="4"/>
        <v/>
      </c>
      <c r="I46" s="14" t="str">
        <f t="shared" si="4"/>
        <v/>
      </c>
      <c r="J46" s="14" t="str">
        <f t="shared" si="4"/>
        <v/>
      </c>
      <c r="K46" s="14" t="str">
        <f t="shared" si="4"/>
        <v/>
      </c>
      <c r="L46" s="14" t="str">
        <f t="shared" si="4"/>
        <v/>
      </c>
      <c r="M46" s="14" t="str">
        <f t="shared" si="4"/>
        <v/>
      </c>
      <c r="N46" s="14" t="str">
        <f t="shared" si="4"/>
        <v/>
      </c>
      <c r="O46" s="14" t="str">
        <f t="shared" si="4"/>
        <v/>
      </c>
      <c r="P46" s="14" t="str">
        <f t="shared" si="4"/>
        <v/>
      </c>
      <c r="Q46" s="14" t="str">
        <f t="shared" si="4"/>
        <v/>
      </c>
      <c r="R46" s="14" t="str">
        <f t="shared" si="4"/>
        <v/>
      </c>
      <c r="S46" s="14" t="str">
        <f t="shared" si="4"/>
        <v/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</row>
    <row r="47" spans="1:38" ht="12.75" customHeight="1">
      <c r="A47" s="113"/>
      <c r="B47" s="14"/>
      <c r="C47" s="1"/>
      <c r="D47" s="13"/>
      <c r="E47" s="14"/>
      <c r="F47" s="14" t="str">
        <f t="shared" si="3"/>
        <v/>
      </c>
      <c r="G47" s="14" t="str">
        <f t="shared" ref="G47:S47" si="5">IF(OR(G$18="",$E47=""),"",F47)</f>
        <v/>
      </c>
      <c r="H47" s="14" t="str">
        <f t="shared" si="5"/>
        <v/>
      </c>
      <c r="I47" s="14" t="str">
        <f t="shared" si="5"/>
        <v/>
      </c>
      <c r="J47" s="14" t="str">
        <f t="shared" si="5"/>
        <v/>
      </c>
      <c r="K47" s="14" t="str">
        <f t="shared" si="5"/>
        <v/>
      </c>
      <c r="L47" s="14" t="str">
        <f t="shared" si="5"/>
        <v/>
      </c>
      <c r="M47" s="14" t="str">
        <f t="shared" si="5"/>
        <v/>
      </c>
      <c r="N47" s="14" t="str">
        <f t="shared" si="5"/>
        <v/>
      </c>
      <c r="O47" s="14" t="str">
        <f t="shared" si="5"/>
        <v/>
      </c>
      <c r="P47" s="14" t="str">
        <f t="shared" si="5"/>
        <v/>
      </c>
      <c r="Q47" s="14" t="str">
        <f t="shared" si="5"/>
        <v/>
      </c>
      <c r="R47" s="14" t="str">
        <f t="shared" si="5"/>
        <v/>
      </c>
      <c r="S47" s="14" t="str">
        <f t="shared" si="5"/>
        <v/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</row>
    <row r="48" spans="1:38" ht="12.75" customHeight="1">
      <c r="A48" s="113"/>
      <c r="B48" s="14"/>
      <c r="C48" s="13"/>
      <c r="D48" s="13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</row>
    <row r="49" spans="1:38" ht="12.75" customHeight="1">
      <c r="A49" s="113"/>
      <c r="B49" s="14"/>
      <c r="C49" s="1"/>
      <c r="D49" s="13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spans="1:38" ht="12.75" customHeight="1">
      <c r="A50" s="113"/>
      <c r="B50" s="14"/>
      <c r="C50" s="13"/>
      <c r="D50" s="13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</row>
  </sheetData>
  <conditionalFormatting sqref="E27:S1000 J21:J22 E21:G26 H21:I25 A20:C1000 E21:F29 T27:X29 K21:X25 H26:X26">
    <cfRule type="expression" dxfId="37" priority="1">
      <formula>$D27="Done"</formula>
    </cfRule>
  </conditionalFormatting>
  <conditionalFormatting sqref="E27:S1000 J21:J22 E21:G26 H21:I25 A20:C1000 E21:F29 T27:X29 K21:X25 H26:X26">
    <cfRule type="expression" dxfId="36" priority="2">
      <formula>$D27="Ongoing"</formula>
    </cfRule>
  </conditionalFormatting>
  <conditionalFormatting sqref="F20">
    <cfRule type="expression" dxfId="35" priority="3">
      <formula>$D20="Done"</formula>
    </cfRule>
  </conditionalFormatting>
  <conditionalFormatting sqref="F20">
    <cfRule type="expression" dxfId="34" priority="4">
      <formula>$D20="Ongoing"</formula>
    </cfRule>
  </conditionalFormatting>
  <conditionalFormatting sqref="E20">
    <cfRule type="expression" dxfId="33" priority="5">
      <formula>$D20="Done"</formula>
    </cfRule>
  </conditionalFormatting>
  <conditionalFormatting sqref="E20">
    <cfRule type="expression" dxfId="32" priority="6">
      <formula>$D20="Ongoing"</formula>
    </cfRule>
  </conditionalFormatting>
  <conditionalFormatting sqref="G20:X20">
    <cfRule type="expression" dxfId="31" priority="7">
      <formula>$D20="Done"</formula>
    </cfRule>
  </conditionalFormatting>
  <conditionalFormatting sqref="G20:X20">
    <cfRule type="expression" dxfId="30" priority="8">
      <formula>$D20="Ongoing"</formula>
    </cfRule>
  </conditionalFormatting>
  <conditionalFormatting sqref="G22">
    <cfRule type="expression" dxfId="29" priority="9">
      <formula>$D21="Done"</formula>
    </cfRule>
  </conditionalFormatting>
  <conditionalFormatting sqref="G22">
    <cfRule type="expression" dxfId="28" priority="10">
      <formula>$D21="Ongoing"</formula>
    </cfRule>
  </conditionalFormatting>
  <conditionalFormatting sqref="A19:C19 E19:X19">
    <cfRule type="expression" dxfId="27" priority="11">
      <formula>$J23="Done"</formula>
    </cfRule>
  </conditionalFormatting>
  <conditionalFormatting sqref="A19:C19 E19:X19">
    <cfRule type="expression" dxfId="26" priority="12">
      <formula>$J23="Ongoing"</formula>
    </cfRule>
  </conditionalFormatting>
  <conditionalFormatting sqref="E21:J25">
    <cfRule type="expression" dxfId="25" priority="13">
      <formula>$J29="Done"</formula>
    </cfRule>
  </conditionalFormatting>
  <conditionalFormatting sqref="E21:J25">
    <cfRule type="expression" dxfId="24" priority="14">
      <formula>$J29="Ongoing"</formula>
    </cfRule>
  </conditionalFormatting>
  <conditionalFormatting sqref="E20:M20">
    <cfRule type="expression" dxfId="23" priority="15">
      <formula>$J27="Done"</formula>
    </cfRule>
  </conditionalFormatting>
  <conditionalFormatting sqref="E20:M20">
    <cfRule type="expression" dxfId="22" priority="16">
      <formula>$J27="Ongoing"</formula>
    </cfRule>
  </conditionalFormatting>
  <conditionalFormatting sqref="E26:M26">
    <cfRule type="expression" dxfId="21" priority="17">
      <formula>$J28="Done"</formula>
    </cfRule>
  </conditionalFormatting>
  <conditionalFormatting sqref="E26:M26">
    <cfRule type="expression" dxfId="20" priority="18">
      <formula>$J28="Ongoing"</formula>
    </cfRule>
  </conditionalFormatting>
  <conditionalFormatting sqref="J21:M21">
    <cfRule type="expression" dxfId="19" priority="19">
      <formula>$J29="Done"</formula>
    </cfRule>
  </conditionalFormatting>
  <conditionalFormatting sqref="J21:M21">
    <cfRule type="expression" dxfId="18" priority="20">
      <formula>$J29="Ongoing"</formula>
    </cfRule>
  </conditionalFormatting>
  <conditionalFormatting sqref="J22:M22">
    <cfRule type="expression" dxfId="17" priority="21">
      <formula>$J30="Done"</formula>
    </cfRule>
  </conditionalFormatting>
  <conditionalFormatting sqref="J22:M22">
    <cfRule type="expression" dxfId="16" priority="22">
      <formula>$J30="Ongoing"</formula>
    </cfRule>
  </conditionalFormatting>
  <conditionalFormatting sqref="H23:M25">
    <cfRule type="expression" dxfId="15" priority="23">
      <formula>$J31="Done"</formula>
    </cfRule>
  </conditionalFormatting>
  <conditionalFormatting sqref="H23:M25">
    <cfRule type="expression" dxfId="14" priority="24">
      <formula>$J31="Ongoing"</formula>
    </cfRule>
  </conditionalFormatting>
  <conditionalFormatting sqref="F20">
    <cfRule type="expression" dxfId="13" priority="25">
      <formula>$D20="Done"</formula>
    </cfRule>
  </conditionalFormatting>
  <conditionalFormatting sqref="F20">
    <cfRule type="expression" dxfId="12" priority="26">
      <formula>$D20="Ongoing"</formula>
    </cfRule>
  </conditionalFormatting>
  <conditionalFormatting sqref="G21">
    <cfRule type="expression" dxfId="11" priority="27">
      <formula>$D26="Done"</formula>
    </cfRule>
  </conditionalFormatting>
  <conditionalFormatting sqref="G21">
    <cfRule type="expression" dxfId="10" priority="28">
      <formula>$D26="Ongoing"</formula>
    </cfRule>
  </conditionalFormatting>
  <conditionalFormatting sqref="A19">
    <cfRule type="expression" dxfId="9" priority="29">
      <formula>$D19="Done"</formula>
    </cfRule>
  </conditionalFormatting>
  <conditionalFormatting sqref="A19">
    <cfRule type="expression" dxfId="8" priority="30">
      <formula>$D19="Ongoing"</formula>
    </cfRule>
  </conditionalFormatting>
  <conditionalFormatting sqref="F20">
    <cfRule type="expression" dxfId="7" priority="31">
      <formula>$D20="Done"</formula>
    </cfRule>
  </conditionalFormatting>
  <conditionalFormatting sqref="F20">
    <cfRule type="expression" dxfId="6" priority="32">
      <formula>$D20="Ongoing"</formula>
    </cfRule>
  </conditionalFormatting>
  <conditionalFormatting sqref="E20">
    <cfRule type="expression" dxfId="5" priority="33">
      <formula>$D20="Done"</formula>
    </cfRule>
  </conditionalFormatting>
  <conditionalFormatting sqref="E20">
    <cfRule type="expression" dxfId="4" priority="34">
      <formula>$D20="Ongoing"</formula>
    </cfRule>
  </conditionalFormatting>
  <conditionalFormatting sqref="E20">
    <cfRule type="expression" dxfId="3" priority="35">
      <formula>$D20="Done"</formula>
    </cfRule>
  </conditionalFormatting>
  <conditionalFormatting sqref="E20">
    <cfRule type="expression" dxfId="2" priority="36">
      <formula>$D20="Ongoing"</formula>
    </cfRule>
  </conditionalFormatting>
  <conditionalFormatting sqref="E20">
    <cfRule type="expression" dxfId="1" priority="37">
      <formula>$D20="Done"</formula>
    </cfRule>
  </conditionalFormatting>
  <conditionalFormatting sqref="E20">
    <cfRule type="expression" dxfId="0" priority="38">
      <formula>$D20="Ongoing"</formula>
    </cfRule>
  </conditionalFormatting>
  <dataValidations count="1">
    <dataValidation type="list" allowBlank="1" showInputMessage="1" prompt=" - " sqref="D4:D12">
      <formula1>"Planned,Ongoing,Done"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21</vt:i4>
      </vt:variant>
    </vt:vector>
  </HeadingPairs>
  <TitlesOfParts>
    <vt:vector size="27" baseType="lpstr">
      <vt:lpstr>Product Backlog - Sprint backlo</vt:lpstr>
      <vt:lpstr>Sprint_Backlog_Burdown_Chart</vt:lpstr>
      <vt:lpstr>Daily Scrum</vt:lpstr>
      <vt:lpstr>Release Plan</vt:lpstr>
      <vt:lpstr>Release Burndown Chart</vt:lpstr>
      <vt:lpstr>Sprint Backlog</vt:lpstr>
      <vt:lpstr>Sprint_Backlog_Burdown_Chart!DoneDays</vt:lpstr>
      <vt:lpstr>DoneDays</vt:lpstr>
      <vt:lpstr>Sprint_Backlog_Burdown_Chart!ImplementationDays</vt:lpstr>
      <vt:lpstr>ImplementationDays</vt:lpstr>
      <vt:lpstr>ProductBacklog</vt:lpstr>
      <vt:lpstr>Sprint</vt:lpstr>
      <vt:lpstr>'Release Burndown Chart'!SprintCount</vt:lpstr>
      <vt:lpstr>'Release Burndown Chart'!SprintsInTrend</vt:lpstr>
      <vt:lpstr>Sprint_Backlog_Burdown_Chart!SprintTasks</vt:lpstr>
      <vt:lpstr>Status</vt:lpstr>
      <vt:lpstr>StoryName</vt:lpstr>
      <vt:lpstr>Sprint_Backlog_Burdown_Chart!TaskRows</vt:lpstr>
      <vt:lpstr>TaskRows</vt:lpstr>
      <vt:lpstr>Sprint_Backlog_Burdown_Chart!TaskStatus</vt:lpstr>
      <vt:lpstr>Sprint_Backlog_Burdown_Chart!TaskStoryID</vt:lpstr>
      <vt:lpstr>Sprint_Backlog_Burdown_Chart!TotalEffort</vt:lpstr>
      <vt:lpstr>TotalEffort</vt:lpstr>
      <vt:lpstr>Sprint_Backlog_Burdown_Chart!TrendDays</vt:lpstr>
      <vt:lpstr>TrendDays</vt:lpstr>
      <vt:lpstr>'Release Burndown Chart'!TrendOffset</vt:lpstr>
      <vt:lpstr>'Release Burndown Chart'!TrendSprintCount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Mitchelli</dc:creator>
  <cp:lastModifiedBy>DUIS</cp:lastModifiedBy>
  <dcterms:created xsi:type="dcterms:W3CDTF">2017-11-27T07:56:01Z</dcterms:created>
  <dcterms:modified xsi:type="dcterms:W3CDTF">2017-11-27T11:54:41Z</dcterms:modified>
</cp:coreProperties>
</file>