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duct Backlog - Sprint backlo" sheetId="1" r:id="rId3"/>
    <sheet state="visible" name="Daily Scrum" sheetId="2" r:id="rId4"/>
    <sheet state="visible" name="Sprint_Backlog_Burdown_Chart" sheetId="3" r:id="rId5"/>
    <sheet state="hidden" name="Release Plan" sheetId="4" r:id="rId6"/>
    <sheet state="hidden" name="Release Burndown Chart" sheetId="5" r:id="rId7"/>
    <sheet state="hidden" name="Sprint Backlog" sheetId="6" r:id="rId8"/>
  </sheets>
  <definedNames>
    <definedName name="TotalEffort">'Sprint Backlog'!$E$14</definedName>
    <definedName name="DoneDays">'Sprint Backlog'!$D$15</definedName>
    <definedName localSheetId="2" name="TaskStatus">Sprint_Backlog_Burdown_Chart!$E$24:$E$58</definedName>
    <definedName localSheetId="4" name="SprintCount">'Release Burndown Chart'!$G$3</definedName>
    <definedName localSheetId="4" name="SprintsInTrend">'Release Burndown Chart'!$G$6</definedName>
    <definedName localSheetId="4" name="TrendOffset">'Release Burndown Chart'!$G$5</definedName>
    <definedName localSheetId="4" name="TrendSprintCount">'Release Burndown Chart'!$G$4</definedName>
    <definedName name="StoryName">'Product Backlog - Sprint backlo'!$B$7:$B$171</definedName>
    <definedName name="ProductBacklog">'Product Backlog - Sprint backlo'!$A$5:$P$174</definedName>
    <definedName localSheetId="2" name="ImplementationDays">Sprint_Backlog_Burdown_Chart!$C$19</definedName>
    <definedName localSheetId="2" name="SprintTasks">Sprint_Backlog_Burdown_Chart!$B$24:$U$63</definedName>
    <definedName localSheetId="2" name="TrendDays">Sprint_Backlog_Burdown_Chart!$E$23</definedName>
    <definedName name="Sprint">'Product Backlog - Sprint backlo'!$M$7:$M$173</definedName>
    <definedName name="Status">'Product Backlog - Sprint backlo'!$E$7:$E$171</definedName>
    <definedName name="TaskRows">'Sprint Backlog'!$B$15</definedName>
    <definedName localSheetId="2" name="TotalEffort">Sprint_Backlog_Burdown_Chart!$F$20</definedName>
    <definedName name="TrendDays">'Sprint Backlog'!$D$17</definedName>
    <definedName localSheetId="2" name="TaskStoryID">Sprint_Backlog_Burdown_Chart!$C$24:$C$53</definedName>
    <definedName name="ImplementationDays">'Sprint Backlog'!$B$13</definedName>
    <definedName localSheetId="2" name="DoneDays">Sprint_Backlog_Burdown_Chart!$E$21</definedName>
    <definedName localSheetId="2" name="TaskRows">Sprint_Backlog_Burdown_Chart!$C$21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3">
      <text>
        <t xml:space="preserve">Centor:
La estimación planeada.</t>
      </text>
    </comment>
    <comment authorId="0" ref="D4">
      <text>
        <t xml:space="preserve">Centor:
Ingresar el número Sprint que se desea predecir.</t>
      </text>
    </comment>
    <comment authorId="0" ref="B15">
      <text>
        <t xml:space="preserve">Average estimate * 0,6</t>
      </text>
    </comment>
    <comment authorId="0" ref="B17">
      <text>
        <t xml:space="preserve">Average estimate * 1,6</t>
      </text>
    </comment>
    <comment authorId="0" ref="B19">
      <text>
        <t xml:space="preserve">As of latest Product Backlog estimate</t>
      </text>
    </comment>
  </commentList>
</comments>
</file>

<file path=xl/sharedStrings.xml><?xml version="1.0" encoding="utf-8"?>
<sst xmlns="http://schemas.openxmlformats.org/spreadsheetml/2006/main" count="343" uniqueCount="215">
  <si>
    <t>Daily Scrum:Alta de Usuario GroupM</t>
  </si>
  <si>
    <t>Semanas</t>
  </si>
  <si>
    <t xml:space="preserve">Medieval Brawler: Product Backlog </t>
  </si>
  <si>
    <t>Día</t>
  </si>
  <si>
    <t>Hora Inicio</t>
  </si>
  <si>
    <t>Hora Fin</t>
  </si>
  <si>
    <t>ID de la Historia</t>
  </si>
  <si>
    <t>Viernes 30/06</t>
  </si>
  <si>
    <t>Nombre de la Historia</t>
  </si>
  <si>
    <t>Connextra</t>
  </si>
  <si>
    <t>Gherkin</t>
  </si>
  <si>
    <t>Estado</t>
  </si>
  <si>
    <t>Cesar</t>
  </si>
  <si>
    <t>Ivan</t>
  </si>
  <si>
    <t>Mitchelli</t>
  </si>
  <si>
    <t>Seiji</t>
  </si>
  <si>
    <t>Gabriel</t>
  </si>
  <si>
    <t>Story points</t>
  </si>
  <si>
    <t>Sprint</t>
  </si>
  <si>
    <t>Importancia
(1-10)</t>
  </si>
  <si>
    <t>Total</t>
  </si>
  <si>
    <t>Completado</t>
  </si>
  <si>
    <t>Interactuar con la guía rápida de controles antes de empezar la partida</t>
  </si>
  <si>
    <t>Yo como jugador deseo poder ver la guía rápida de controles en la pantalla de inicio</t>
  </si>
  <si>
    <r>
      <rPr/>
      <t xml:space="preserve"> </t>
    </r>
    <r>
      <rPr>
        <b/>
      </rPr>
      <t>Scenario</t>
    </r>
    <r>
      <rPr/>
      <t xml:space="preserve">: Interactuar con la guía rápida de controles antes de empezar la partida
    </t>
    </r>
    <r>
      <rPr>
        <b/>
      </rPr>
      <t>Given</t>
    </r>
    <r>
      <rPr/>
      <t xml:space="preserve">: Haber ejecutado el juego
      </t>
    </r>
    <r>
      <rPr>
        <b/>
      </rPr>
      <t>And</t>
    </r>
    <r>
      <rPr/>
      <t xml:space="preserve">: Tener un teclado conectado al pc
    </t>
    </r>
    <r>
      <rPr>
        <b/>
      </rPr>
      <t>When</t>
    </r>
    <r>
      <rPr/>
      <t xml:space="preserve">: el usuario lee la guía rápida de controles y presiona space
    </t>
    </r>
    <r>
      <rPr>
        <b/>
      </rPr>
      <t>Then</t>
    </r>
    <r>
      <rPr/>
      <t>: Se cargará la pantalla de selección de personaje</t>
    </r>
  </si>
  <si>
    <t>Realizado</t>
  </si>
  <si>
    <t>Comenzar una partida</t>
  </si>
  <si>
    <t>Yo como jugador deseo 
poder iniciar un juego ya 
que es una 
funcionalidad necesaria para 
el comienzo y uso del juego en sí.</t>
  </si>
  <si>
    <r>
      <rPr>
        <b/>
      </rPr>
      <t>Scenario</t>
    </r>
    <r>
      <rPr/>
      <t xml:space="preserve">: Comenzar a jugar el nivel
    </t>
    </r>
    <r>
      <rPr>
        <b/>
      </rPr>
      <t>Given</t>
    </r>
    <r>
      <rPr/>
      <t xml:space="preserve">: Haber configurado el personaje y nivel
      </t>
    </r>
    <r>
      <rPr>
        <b/>
      </rPr>
      <t>And</t>
    </r>
    <r>
      <rPr/>
      <t xml:space="preserve">: Haber iniciado el juego
    </t>
    </r>
    <r>
      <rPr>
        <b/>
      </rPr>
      <t>When</t>
    </r>
    <r>
      <rPr/>
      <t xml:space="preserve">: El usuario de clic en comenzar partida
    </t>
    </r>
    <r>
      <rPr>
        <b/>
      </rPr>
      <t>Then</t>
    </r>
    <r>
      <rPr/>
      <t>: Se mostrará el primer nivel del juego</t>
    </r>
  </si>
  <si>
    <t>Controlar a un personaje mediante 
las teclas predeterminadas</t>
  </si>
  <si>
    <t>Yo como jugador, deseo tomar 
control del personaje jugable, 
ya que así puedo interactuar 
con el juego y disfrutar de su jugabilidad.</t>
  </si>
  <si>
    <r>
      <rPr>
        <b/>
      </rPr>
      <t>Scenario</t>
    </r>
    <r>
      <rPr/>
      <t xml:space="preserve">: Usar controles para el juego
    </t>
    </r>
    <r>
      <rPr>
        <b/>
      </rPr>
      <t>Given</t>
    </r>
    <r>
      <rPr/>
      <t xml:space="preserve">: Haber conectado un teclado a la pc
      </t>
    </r>
    <r>
      <rPr>
        <b/>
      </rPr>
      <t>And</t>
    </r>
    <r>
      <rPr/>
      <t xml:space="preserve">: Haber iniciado el juego
    </t>
    </r>
    <r>
      <rPr>
        <b/>
      </rPr>
      <t>When</t>
    </r>
    <r>
      <rPr/>
      <t xml:space="preserve">: El usuario de clic en “iniciar partida”
    </t>
    </r>
    <r>
      <rPr>
        <b/>
      </rPr>
      <t>Then</t>
    </r>
    <r>
      <rPr/>
      <t>: Se mostrará automáticamente la interfaz de jugabilidad donde el usuario puede mover con los controles al personaje del juego</t>
    </r>
  </si>
  <si>
    <t>Completar una partida</t>
  </si>
  <si>
    <t>Yo como jugador deseo que se pueda 
completar una partida al lograr el objetivo 
propuesto, ya que esto permite proseguir 
con el transcurso del juego, pasar al 
siguiente nivel y superar el actual.</t>
  </si>
  <si>
    <r>
      <rPr>
        <b/>
      </rPr>
      <t>Scenario</t>
    </r>
    <r>
      <rPr/>
      <t xml:space="preserve">: Completar una partida
    </t>
    </r>
    <r>
      <rPr>
        <b/>
      </rPr>
      <t>Given</t>
    </r>
    <r>
      <rPr/>
      <t xml:space="preserve">: Haber comenzado un nivel      
    </t>
    </r>
    <r>
      <rPr>
        <b/>
      </rPr>
      <t>When</t>
    </r>
    <r>
      <rPr/>
      <t xml:space="preserve">: El usuario haya completado todos los objetivos del nivel
    </t>
    </r>
    <r>
      <rPr>
        <b/>
      </rPr>
      <t>Then</t>
    </r>
    <r>
      <rPr/>
      <t xml:space="preserve">: Interfaz de nivel completado con éxito y se invita al usuario a seguir con el siguiente
</t>
    </r>
  </si>
  <si>
    <t>Disparar proyectiles por el personaje</t>
  </si>
  <si>
    <t>Yo como jugador deseo poder realizar disparos de proyectiles a través de mi jugador ya que, este es el método mediante el cual se derrotan a los enemigos presentes, con lo que se logra avanzar al objetivo final de pasar el juego</t>
  </si>
  <si>
    <r>
      <rPr>
        <b/>
      </rPr>
      <t>Scenario</t>
    </r>
    <r>
      <rPr/>
      <t xml:space="preserve">: Disparar proyectiles hacia el enemigo
    </t>
    </r>
    <r>
      <rPr>
        <b/>
      </rPr>
      <t>Given</t>
    </r>
    <r>
      <rPr/>
      <t xml:space="preserve">: Haber iniciado el juego
      </t>
    </r>
    <r>
      <rPr>
        <b/>
      </rPr>
      <t>And</t>
    </r>
    <r>
      <rPr/>
      <t xml:space="preserve">: Haber empezado una partida
      </t>
    </r>
    <r>
      <rPr>
        <b/>
      </rPr>
      <t>And</t>
    </r>
    <r>
      <rPr/>
      <t xml:space="preserve">: Haber configurado y conectado correctamente el teclado y mouse
    </t>
    </r>
    <r>
      <rPr>
        <b/>
      </rPr>
      <t>When</t>
    </r>
    <r>
      <rPr/>
      <t xml:space="preserve">: El usuario apunte y presione space en medio de la partida
    </t>
    </r>
    <r>
      <rPr>
        <b/>
      </rPr>
      <t>Then</t>
    </r>
    <r>
      <rPr/>
      <t>: Saldrán bolas del arma a modo de disparos que bajarán vida al rival</t>
    </r>
  </si>
  <si>
    <t>Domingo 02/07</t>
  </si>
  <si>
    <t>Martes 04/07</t>
  </si>
  <si>
    <t>Jueves 06/07</t>
  </si>
  <si>
    <t>Sabado 08/07</t>
  </si>
  <si>
    <t>Lunes 10/07</t>
  </si>
  <si>
    <t>Dias de Implementación del Sprint</t>
  </si>
  <si>
    <t>Modo</t>
  </si>
  <si>
    <t>Días</t>
  </si>
  <si>
    <t>Duración (minutos)</t>
  </si>
  <si>
    <t>Esfuerzo</t>
  </si>
  <si>
    <t>Dias Restantes</t>
  </si>
  <si>
    <t>Dias calculados basado en el último Sprint</t>
  </si>
  <si>
    <t>Dias</t>
  </si>
  <si>
    <t>Totales</t>
  </si>
  <si>
    <t>Presencial (casa del Scrum Master)</t>
  </si>
  <si>
    <t>Los escenarios presentan cobertura/obstáculos</t>
  </si>
  <si>
    <t>Yo como jugador deseo poder utilizar los objetos como cobertura ya que me permite tener una ventaja interactiva en el juego.</t>
  </si>
  <si>
    <r>
      <rPr>
        <b/>
      </rPr>
      <t>Scenario</t>
    </r>
    <r>
      <rPr/>
      <t xml:space="preserve">: Escenarios presentan coberturas y/o obstáculos
    </t>
    </r>
    <r>
      <rPr>
        <b/>
      </rPr>
      <t>Given</t>
    </r>
    <r>
      <rPr/>
      <t>:</t>
    </r>
    <r>
      <rPr>
        <b/>
      </rPr>
      <t xml:space="preserve"> </t>
    </r>
    <r>
      <rPr/>
      <t xml:space="preserve">el usuario ha entrado ha iniciado un juego
      </t>
    </r>
    <r>
      <rPr>
        <b/>
      </rPr>
      <t>And</t>
    </r>
    <r>
      <rPr/>
      <t xml:space="preserve">: el mapa seleccionado cuenta con obstáculos
    </t>
    </r>
    <r>
      <rPr>
        <b/>
      </rPr>
      <t>When</t>
    </r>
    <r>
      <rPr/>
      <t>:</t>
    </r>
    <r>
      <rPr>
        <b/>
      </rPr>
      <t xml:space="preserve"> </t>
    </r>
    <r>
      <rPr/>
      <t xml:space="preserve">el jugador se sitúa al lado de un obstáculo
    </t>
    </r>
    <r>
      <rPr>
        <b/>
      </rPr>
      <t>Then</t>
    </r>
    <r>
      <rPr/>
      <t>: se mostrará un drop-down con los datos de la función</t>
    </r>
  </si>
  <si>
    <t>Fin de Semana</t>
  </si>
  <si>
    <t>Los escenarios presentan enemigos</t>
  </si>
  <si>
    <t>Skype (online)</t>
  </si>
  <si>
    <t>Dia de Semana</t>
  </si>
  <si>
    <t>Yo como jugador , deseo que existan enemigos pues estos son una parte fundamental de la funcionalidad del juego, y sin una oposición seria y desafiante, la aplicación pierde bastante de su atractivo.</t>
  </si>
  <si>
    <r>
      <rPr/>
      <t xml:space="preserve"> </t>
    </r>
    <r>
      <rPr>
        <b/>
      </rPr>
      <t>Scenario</t>
    </r>
    <r>
      <rPr/>
      <t xml:space="preserve">: Los escenarios presentan enemigos
    </t>
    </r>
    <r>
      <rPr>
        <b/>
      </rPr>
      <t>Given</t>
    </r>
    <r>
      <rPr/>
      <t xml:space="preserve">: El usuario ha iniciado una partida
    </t>
    </r>
    <r>
      <rPr>
        <b/>
      </rPr>
      <t>When</t>
    </r>
    <r>
      <rPr/>
      <t xml:space="preserve">: El juego inicie
    </t>
    </r>
    <r>
      <rPr>
        <b/>
      </rPr>
      <t>Then</t>
    </r>
    <r>
      <rPr/>
      <t>: El mapa contara con enemigos</t>
    </r>
  </si>
  <si>
    <t>Planeado</t>
  </si>
  <si>
    <t>Los enemigos son destruidos por disparos</t>
  </si>
  <si>
    <t>Yo como jugador deseo que los disparos de proyectiles puedan hacer daño y eliminar a los enemigos para poder continuar con el juego.</t>
  </si>
  <si>
    <r>
      <rPr/>
      <t xml:space="preserve"> </t>
    </r>
    <r>
      <rPr>
        <b/>
      </rPr>
      <t>Scenario</t>
    </r>
    <r>
      <rPr/>
      <t xml:space="preserve">: Los enemigos son destruidos por disparos
    </t>
    </r>
    <r>
      <rPr>
        <b/>
      </rPr>
      <t>Given</t>
    </r>
    <r>
      <rPr/>
      <t xml:space="preserve">: El usuario ha iniciado una partida
    </t>
    </r>
    <r>
      <rPr>
        <b/>
      </rPr>
      <t>When</t>
    </r>
    <r>
      <rPr/>
      <t xml:space="preserve">: Un proyectil disparado por el jugador impacte a un enemigo
    </t>
    </r>
    <r>
      <rPr>
        <b/>
      </rPr>
      <t>Then</t>
    </r>
    <r>
      <rPr/>
      <t>: El enemigo sera destruido-desaparecera del mapa</t>
    </r>
  </si>
  <si>
    <t>Los enemigos disparan contra el jugador</t>
  </si>
  <si>
    <t>Yo Como jugador deseo que los enemigos puedan disparar proyectiles hacia mi ya que espero un reto del juego lo que aumenta el atractivo de este.</t>
  </si>
  <si>
    <r>
      <rPr/>
      <t xml:space="preserve"> </t>
    </r>
    <r>
      <rPr>
        <b/>
      </rPr>
      <t>Scenario</t>
    </r>
    <r>
      <rPr/>
      <t xml:space="preserve">: Los enemigos disparan contra el jugador
    </t>
    </r>
    <r>
      <rPr>
        <b/>
      </rPr>
      <t>Given</t>
    </r>
    <r>
      <rPr/>
      <t xml:space="preserve">: El usuario ha iniciado una partida
    </t>
    </r>
    <r>
      <rPr>
        <b/>
      </rPr>
      <t>When</t>
    </r>
    <r>
      <rPr/>
      <t xml:space="preserve">: El juego inicie y los enemigos tegan una vista sobre el jugador
    </t>
    </r>
    <r>
      <rPr>
        <b/>
      </rPr>
      <t>Then</t>
    </r>
    <r>
      <rPr/>
      <t>: Los enemigos dispararan proyectiles al jugador</t>
    </r>
  </si>
  <si>
    <t>Las banderas son obtenidas al contacto</t>
  </si>
  <si>
    <t>Yo como jugador deseo que al momento de tocar la bandera, esta misma sea obtenida por mi personaje, ya que esto me permite alcanzar el objetivo del juego.</t>
  </si>
  <si>
    <r>
      <t xml:space="preserve"> </t>
    </r>
    <r>
      <rPr>
        <b/>
      </rPr>
      <t>Scenario</t>
    </r>
    <r>
      <t xml:space="preserve">: Las banderas son obtenidas al contacto
    </t>
    </r>
    <r>
      <rPr>
        <b/>
      </rPr>
      <t>Given</t>
    </r>
    <r>
      <t xml:space="preserve">: El usuario ha iniciado una partida
    </t>
    </r>
    <r>
      <rPr>
        <b/>
      </rPr>
      <t>When</t>
    </r>
    <r>
      <t xml:space="preserve">: El jugador pase por encima de una bandera
   </t>
    </r>
    <r>
      <rPr>
        <b/>
      </rPr>
      <t xml:space="preserve"> Then</t>
    </r>
    <r>
      <t>: El jugador habrá culminado el escenario</t>
    </r>
  </si>
  <si>
    <t>Plan de la Lanzamiento</t>
  </si>
  <si>
    <t>Completar juego</t>
  </si>
  <si>
    <t>Inicio</t>
  </si>
  <si>
    <t>Yo como jugador deseo que al momento de terminar todas las partidas, salga el mensaje de juego completado, ya que esto me indica que pude acabar con todas las dificultades</t>
  </si>
  <si>
    <t>Fin</t>
  </si>
  <si>
    <t>Tamaño</t>
  </si>
  <si>
    <r>
      <t xml:space="preserve"> </t>
    </r>
    <r>
      <rPr>
        <b/>
      </rPr>
      <t>Scenario</t>
    </r>
    <r>
      <t xml:space="preserve">: Completar juego
    </t>
    </r>
    <r>
      <rPr>
        <b/>
      </rPr>
      <t>Given</t>
    </r>
    <r>
      <t xml:space="preserve">: El usuario se encuentra en el último escenario de la partida
    </t>
    </r>
    <r>
      <rPr>
        <b/>
      </rPr>
      <t>When</t>
    </r>
    <r>
      <t xml:space="preserve">: El usuario captura la última bandera
   </t>
    </r>
    <r>
      <rPr>
        <b/>
      </rPr>
      <t xml:space="preserve"> Then</t>
    </r>
    <r>
      <t>: Se completa el juego y sale el mensaje de 'game completed'</t>
    </r>
  </si>
  <si>
    <t>Fecha de Lanzamiento</t>
  </si>
  <si>
    <t>Objetivo</t>
  </si>
  <si>
    <t>Task rows</t>
  </si>
  <si>
    <t>Seleccionar personaje</t>
  </si>
  <si>
    <t>Yo como jugador deseo poder seleccionar un personaje, ya que deseo poder entrar al juego con el personaje de mi eleccion.</t>
  </si>
  <si>
    <t>Terminado</t>
  </si>
  <si>
    <t>Loguearse con cuenta de Facebook y Jugar Damasking en modo single player sin preguntas.</t>
  </si>
  <si>
    <t>Done days</t>
  </si>
  <si>
    <r>
      <rPr/>
      <t xml:space="preserve"> </t>
    </r>
    <r>
      <rPr>
        <b/>
      </rPr>
      <t>Scenario</t>
    </r>
    <r>
      <rPr/>
      <t xml:space="preserve">: Seleccionar un personaje
    </t>
    </r>
    <r>
      <rPr>
        <b/>
      </rPr>
      <t>Given</t>
    </r>
    <r>
      <rPr/>
      <t xml:space="preserve">: Haber iniciado el juego
    </t>
    </r>
    <r>
      <rPr>
        <b/>
      </rPr>
      <t>When</t>
    </r>
    <r>
      <rPr/>
      <t xml:space="preserve">: el usuario haga clic en el personaje que desee
    </t>
    </r>
    <r>
      <rPr>
        <b/>
      </rPr>
      <t>Then</t>
    </r>
    <r>
      <rPr/>
      <t>: Se mostrará el nombre del personaje elegido</t>
    </r>
  </si>
  <si>
    <t>Integrar el juego con el logueo de facebook, jugar Damasking en modo single player con preguntas y Registrar preguntas y alternativas múltiples por categoría.</t>
  </si>
  <si>
    <t>Salir del juego</t>
  </si>
  <si>
    <t>Yo como jugador deseo poder salir del juego en cualquier instancia del juego ya que deseo poder tener la opción de dejar de jugar cuando lo desee.</t>
  </si>
  <si>
    <r>
      <rPr/>
      <t xml:space="preserve"> </t>
    </r>
    <r>
      <rPr>
        <b/>
      </rPr>
      <t>Scenario</t>
    </r>
    <r>
      <rPr/>
      <t xml:space="preserve">: Salir del juego
    </t>
    </r>
    <r>
      <rPr>
        <b/>
      </rPr>
      <t>Given</t>
    </r>
    <r>
      <rPr/>
      <t xml:space="preserve">: Desear salir del juego
    </t>
    </r>
    <r>
      <rPr>
        <b/>
      </rPr>
      <t>When</t>
    </r>
    <r>
      <rPr/>
      <t xml:space="preserve">: El usuario haga presiona la tecla ESC
    </t>
    </r>
    <r>
      <rPr>
        <b/>
      </rPr>
      <t>Then</t>
    </r>
    <r>
      <rPr/>
      <t>: El juego finalizará y la ventana sera cerrada</t>
    </r>
  </si>
  <si>
    <t>Historias sin asignar</t>
  </si>
  <si>
    <t>Correcciones del Entregable 2</t>
  </si>
  <si>
    <t>Yo como alumno deseo visualizar las correcciones ya realizadas para dar por levantadas las observaciones indicadas en la presentacion del entregable 2</t>
  </si>
  <si>
    <r>
      <rPr/>
      <t xml:space="preserve"> </t>
    </r>
    <r>
      <rPr>
        <b/>
      </rPr>
      <t>Scenario</t>
    </r>
    <r>
      <rPr/>
      <t xml:space="preserve">: Correcciones del Entregable 2
    </t>
    </r>
    <r>
      <rPr>
        <b/>
      </rPr>
      <t>Given</t>
    </r>
    <r>
      <rPr/>
      <t xml:space="preserve">: Estar en fecha de entregable 3
    </t>
    </r>
    <r>
      <rPr>
        <b/>
      </rPr>
      <t>When</t>
    </r>
    <r>
      <rPr/>
      <t xml:space="preserve">: El grupo deba presentar el trabajo
    </t>
    </r>
    <r>
      <rPr>
        <b/>
      </rPr>
      <t>Then</t>
    </r>
    <r>
      <rPr/>
      <t>: El trabajo tenga levantadas las observaciones del entregable 2</t>
    </r>
  </si>
  <si>
    <t>Dias Planeados</t>
  </si>
  <si>
    <t>Realizar diagrama de despliegue</t>
  </si>
  <si>
    <t>Yo como product owner deseo visualizar el diagrama de despliegue ya que me permite identificar componentes y sus relaciones</t>
  </si>
  <si>
    <t xml:space="preserve"> Scenario: Realizar diagrama de despligue
    Given: Estar en fecha de entregable 4
    When: El grupo deba presentar el trabajo
    Then: Presentar diagrama de despliegue terminado</t>
  </si>
  <si>
    <t>Correcciones del Entregable 3</t>
  </si>
  <si>
    <t>Yo como alumno deseo visualizar las correcciones ya realizadas para dar por levantadas las observaciones indicadas en la presentacion del entregable 3</t>
  </si>
  <si>
    <t xml:space="preserve"> Scenario: Correcciones del Entregable 3
    Given: Estar en fecha de entregable 4
    When: El grupo deba presentar el trabajo
    Then: El trabajo tenga levantadas las observaciones del entregable 3</t>
  </si>
  <si>
    <t>Realizar el mapeo del juego</t>
  </si>
  <si>
    <t>yo como programador deseo tener el mapa con el grid establecido, que me permitira insertar obstaculos y representar el agua correctamente</t>
  </si>
  <si>
    <t>Scenario: Relizar el mapeo del juego
  Given: El programador ha seleccionado un mapa
  When: Se inicie el mapa
  Then: Se pueda representar el grid del y usarlo para seguir con la construccion de este</t>
  </si>
  <si>
    <t>Correcciones del Entregable 4</t>
  </si>
  <si>
    <t>Yo como alumno deseo visualizar las correcciones ya realizadas para dar por levantadas las observaciones indicadas en la presentacion del entregable 4</t>
  </si>
  <si>
    <t>Scenario: Correcciones del Entregable 4
  Given: Estar en fecha de entregable 5
  When: El grupo deba presentar el trabajo
  Then: El trabajo tenga levantadas las observaciones del entregable 4</t>
  </si>
  <si>
    <t>Porcentaje completado</t>
  </si>
  <si>
    <t>Trend</t>
  </si>
  <si>
    <t>1 dia = 5 horas</t>
  </si>
  <si>
    <t>SPRINT PLANNING CHART</t>
  </si>
  <si>
    <t>Integrantes:</t>
  </si>
  <si>
    <t>Rol</t>
  </si>
  <si>
    <t>Dias Disponibles para el presente Sprint</t>
  </si>
  <si>
    <t>Historia de Usuario</t>
  </si>
  <si>
    <t>Puntos Historia de Usuario</t>
  </si>
  <si>
    <t>Tiempo Estimado (Semanas)</t>
  </si>
  <si>
    <t>Tiempo Estimado (Dias)</t>
  </si>
  <si>
    <t>Tiempo Estimado (Horas)</t>
  </si>
  <si>
    <t>Ivan Palomares</t>
  </si>
  <si>
    <t>(Scrum Master)</t>
  </si>
  <si>
    <t>Realease Burndown Chart</t>
  </si>
  <si>
    <t>Tamaño original planeado</t>
  </si>
  <si>
    <t>Sprint count</t>
  </si>
  <si>
    <t>Count trend from last</t>
  </si>
  <si>
    <t>sprints</t>
  </si>
  <si>
    <t>Trend sprint count</t>
  </si>
  <si>
    <t>Cesar Del Castillo</t>
  </si>
  <si>
    <t>(Scrum Team)</t>
  </si>
  <si>
    <t>Trend offset</t>
  </si>
  <si>
    <t>Mitchelli Murgueytio</t>
  </si>
  <si>
    <t>Seiji Fujii</t>
  </si>
  <si>
    <t>Velocidad (puntos por Sprint)</t>
  </si>
  <si>
    <t>Sprints in Trend</t>
  </si>
  <si>
    <t>Estimación Original</t>
  </si>
  <si>
    <t>Gabriel Garaycochea</t>
  </si>
  <si>
    <t>Promedio total realizado</t>
  </si>
  <si>
    <t>Trend count</t>
  </si>
  <si>
    <t>Promedio de los ultimos 8</t>
  </si>
  <si>
    <t>Avg. worst 3 in last 8</t>
  </si>
  <si>
    <t>Tendencia</t>
  </si>
  <si>
    <t>These hidden cells are used to draw the graph on this page. DO NOT DELETE!</t>
  </si>
  <si>
    <t>Predicciones- Completar al finalizar cada Sprint</t>
  </si>
  <si>
    <t>Estimación Original - Min</t>
  </si>
  <si>
    <t>Estimación Original - Avg</t>
  </si>
  <si>
    <t>Estimación Original - Max</t>
  </si>
  <si>
    <t>Standard Dev.</t>
  </si>
  <si>
    <t>Promedio realizado</t>
  </si>
  <si>
    <t>LastPlanned</t>
  </si>
  <si>
    <t>LastRealized</t>
  </si>
  <si>
    <t>Realized + St. Dev</t>
  </si>
  <si>
    <t>Realized - St. Dev</t>
  </si>
  <si>
    <t>Average Speeds</t>
  </si>
  <si>
    <t>Trabajo Restante</t>
  </si>
  <si>
    <t>Trabajo Planeado</t>
  </si>
  <si>
    <t>Trabajo Realizado</t>
  </si>
  <si>
    <t>Tamaño Total Actual</t>
  </si>
  <si>
    <t>Col top</t>
  </si>
  <si>
    <t>Do not delete…</t>
  </si>
  <si>
    <t>Col bottom</t>
  </si>
  <si>
    <t>Trend Help</t>
  </si>
  <si>
    <t>Raw Trend</t>
  </si>
  <si>
    <t>Real Trend</t>
  </si>
  <si>
    <t>Current Bottom</t>
  </si>
  <si>
    <t>Realized</t>
  </si>
  <si>
    <t>Last 8</t>
  </si>
  <si>
    <t>Worst 3 in Last 8</t>
  </si>
  <si>
    <t>Dias Restantes de Implementación …</t>
  </si>
  <si>
    <t>Warning! These are necessary</t>
  </si>
  <si>
    <t>Trend Days</t>
  </si>
  <si>
    <t>Item</t>
  </si>
  <si>
    <t>Nombre de la Tarea</t>
  </si>
  <si>
    <t>ID Historia</t>
  </si>
  <si>
    <t>Responsable</t>
  </si>
  <si>
    <t>Est. (en horas)</t>
  </si>
  <si>
    <t>Hacer que el personaje dispare</t>
  </si>
  <si>
    <t>Done</t>
  </si>
  <si>
    <t>Actualizar Product Backlog y Burndown Chart</t>
  </si>
  <si>
    <t>-</t>
  </si>
  <si>
    <t>Mejorar sprites de personajes</t>
  </si>
  <si>
    <t>Encontrar proyectiles en internet para usarlas como sprites</t>
  </si>
  <si>
    <t>Mejorar movimientos del personaje</t>
  </si>
  <si>
    <t>Aplicar nuevo refactoring al código</t>
  </si>
  <si>
    <t>Volver asíncrono servicio backend</t>
  </si>
  <si>
    <t>Modificar estructura de json en mlab</t>
  </si>
  <si>
    <t>Delimitar zonas en mapas</t>
  </si>
  <si>
    <t>Pasar la delimitación al código</t>
  </si>
  <si>
    <t>Cambiar tipos de proyectiles por personajes</t>
  </si>
  <si>
    <t>Realizar testing del código</t>
  </si>
  <si>
    <t>Igualar tamaño de interfaces del juego</t>
  </si>
  <si>
    <t>Aplicar rotación a los proyectiles</t>
  </si>
  <si>
    <t>Aplicar rotación a los personajes</t>
  </si>
  <si>
    <t>Hacer que el proyectil siga hasta el borde del mapa</t>
  </si>
  <si>
    <t>Hacer que el proyectil desaparezca cuando choque con un objeto</t>
  </si>
  <si>
    <t>template rows</t>
  </si>
  <si>
    <t>Est. (Horas)</t>
  </si>
  <si>
    <t>Codificación de ingreso al sistema</t>
  </si>
  <si>
    <t>Luis</t>
  </si>
  <si>
    <t>Diseño de la Base de datos (hasta logueo)</t>
  </si>
  <si>
    <t>Carlos</t>
  </si>
  <si>
    <t>Documentación de logueo</t>
  </si>
  <si>
    <t>Ricardo</t>
  </si>
  <si>
    <t>Pruebas de logueo</t>
  </si>
  <si>
    <t>Angelo</t>
  </si>
  <si>
    <t>Diseño de la Interfaz de logueo</t>
  </si>
  <si>
    <t>Andrea</t>
  </si>
  <si>
    <t>Codificación del juego Damasking sin preguntas</t>
  </si>
  <si>
    <t>Daniel</t>
  </si>
  <si>
    <t>Codificación de sonido del juego Damasking sin preguntas</t>
  </si>
  <si>
    <t>Diseño de la interfaz de Damasking</t>
  </si>
  <si>
    <t>Diseño de la Base de datos (hasta damasking)</t>
  </si>
  <si>
    <t>Pruebas de Damasking</t>
  </si>
  <si>
    <t>Documentación de Damasking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</si>
</sst>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_-* #,##0\ _m_k_-;\-* #,##0\ _m_k_-;_-* &quot;-&quot;??\ _m_k_-;_-@"/>
    <numFmt numFmtId="165" formatCode="&quot;Sprint &quot;#&quot; Backlog&quot;"/>
    <numFmt numFmtId="166" formatCode="0.0"/>
    <numFmt numFmtId="167" formatCode="&quot;Last &quot;###&quot; sprints&quot;"/>
    <numFmt numFmtId="168" formatCode="d/m/yyyy"/>
    <numFmt numFmtId="169" formatCode="dd/mm/yyyy"/>
  </numFmts>
  <fonts count="12">
    <font>
      <sz val="10.0"/>
      <color rgb="FF000000"/>
      <name val="Arial"/>
    </font>
    <font>
      <sz val="10.0"/>
      <name val="Arial"/>
    </font>
    <font>
      <sz val="14.0"/>
      <name val="Arial"/>
    </font>
    <font>
      <b/>
      <sz val="10.0"/>
      <name val="Arial"/>
    </font>
    <font>
      <b/>
      <sz val="14.0"/>
      <name val="Arial"/>
    </font>
    <font>
      <name val="Arial"/>
    </font>
    <font>
      <sz val="11.0"/>
      <color rgb="FF000000"/>
      <name val="Inconsolata"/>
    </font>
    <font/>
    <font>
      <color rgb="FF000000"/>
      <name val="Arial"/>
    </font>
    <font>
      <b/>
      <sz val="10.0"/>
      <color rgb="FFFF0000"/>
      <name val="Arial"/>
    </font>
    <font>
      <i/>
      <sz val="10.0"/>
      <color rgb="FF0000FF"/>
      <name val="Arial"/>
    </font>
    <font>
      <sz val="10.0"/>
      <color rgb="FFFF0000"/>
      <name val="Arial"/>
    </font>
  </fonts>
  <fills count="25">
    <fill>
      <patternFill patternType="none"/>
    </fill>
    <fill>
      <patternFill patternType="lightGray"/>
    </fill>
    <fill>
      <patternFill patternType="solid">
        <fgColor rgb="FFB6DDE8"/>
        <bgColor rgb="FFB6DDE8"/>
      </patternFill>
    </fill>
    <fill>
      <patternFill patternType="solid">
        <fgColor rgb="FFFFCC99"/>
        <bgColor rgb="FFFFCC99"/>
      </patternFill>
    </fill>
    <fill>
      <patternFill patternType="solid">
        <fgColor rgb="FF93C47D"/>
        <bgColor rgb="FF93C47D"/>
      </patternFill>
    </fill>
    <fill>
      <patternFill patternType="solid">
        <fgColor rgb="FF8E7CC3"/>
        <bgColor rgb="FF8E7CC3"/>
      </patternFill>
    </fill>
    <fill>
      <patternFill patternType="solid">
        <fgColor rgb="FF674EA7"/>
        <bgColor rgb="FF674EA7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A9D08E"/>
        <bgColor rgb="FFA9D08E"/>
      </patternFill>
    </fill>
    <fill>
      <patternFill patternType="solid">
        <fgColor rgb="FF99CC00"/>
        <bgColor rgb="FF99CC00"/>
      </patternFill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C6D9F0"/>
        <bgColor rgb="FFC6D9F0"/>
      </patternFill>
    </fill>
    <fill>
      <patternFill patternType="solid">
        <fgColor rgb="FFEAF1DD"/>
        <bgColor rgb="FFEAF1DD"/>
      </patternFill>
    </fill>
    <fill>
      <patternFill patternType="solid">
        <fgColor rgb="FFCCC0D9"/>
        <bgColor rgb="FFCCC0D9"/>
      </patternFill>
    </fill>
    <fill>
      <patternFill patternType="solid">
        <fgColor rgb="FFC4BD97"/>
        <bgColor rgb="FFC4BD97"/>
      </patternFill>
    </fill>
    <fill>
      <patternFill patternType="solid">
        <fgColor rgb="FFB8CCE4"/>
        <bgColor rgb="FFB8CCE4"/>
      </patternFill>
    </fill>
    <fill>
      <patternFill patternType="solid">
        <fgColor rgb="FFE5DFEC"/>
        <bgColor rgb="FFE5DFEC"/>
      </patternFill>
    </fill>
    <fill>
      <patternFill patternType="solid">
        <fgColor rgb="FFDAEEF3"/>
        <bgColor rgb="FFDAEEF3"/>
      </patternFill>
    </fill>
    <fill>
      <patternFill patternType="solid">
        <fgColor rgb="FFDDD9C3"/>
        <bgColor rgb="FFDDD9C3"/>
      </patternFill>
    </fill>
    <fill>
      <patternFill patternType="solid">
        <fgColor rgb="FFD6E3BC"/>
        <bgColor rgb="FFD6E3BC"/>
      </patternFill>
    </fill>
    <fill>
      <patternFill patternType="solid">
        <fgColor rgb="FFE5B8B7"/>
        <bgColor rgb="FFE5B8B7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/>
      <top/>
      <bottom/>
    </border>
    <border>
      <top/>
      <bottom/>
    </border>
    <border>
      <left/>
      <right/>
      <top/>
      <bottom style="medium">
        <color rgb="FF000000"/>
      </bottom>
    </border>
  </borders>
  <cellStyleXfs count="1">
    <xf borderId="0" fillId="0" fontId="0" numFmtId="0" applyAlignment="1" applyFont="1"/>
  </cellStyleXfs>
  <cellXfs count="17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wrapText="0"/>
    </xf>
    <xf borderId="0" fillId="0" fontId="1" numFmtId="164" xfId="0" applyAlignment="1" applyFont="1" applyNumberFormat="1">
      <alignment horizontal="center" shrinkToFit="0" vertical="center" wrapText="0"/>
    </xf>
    <xf borderId="0" fillId="0" fontId="1" numFmtId="0" xfId="0" applyAlignment="1" applyFont="1">
      <alignment shrinkToFit="0" vertical="center" wrapText="0"/>
    </xf>
    <xf borderId="0" fillId="0" fontId="3" numFmtId="0" xfId="0" applyAlignment="1" applyFont="1">
      <alignment horizontal="center" shrinkToFit="0" wrapText="0"/>
    </xf>
    <xf borderId="1" fillId="2" fontId="3" numFmtId="0" xfId="0" applyAlignment="1" applyBorder="1" applyFill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0"/>
    </xf>
    <xf borderId="1" fillId="3" fontId="3" numFmtId="0" xfId="0" applyAlignment="1" applyBorder="1" applyFill="1" applyFont="1">
      <alignment horizontal="center" shrinkToFit="0" vertical="center" wrapText="1"/>
    </xf>
    <xf borderId="1" fillId="3" fontId="3" numFmtId="0" xfId="0" applyAlignment="1" applyBorder="1" applyFont="1">
      <alignment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1" fillId="4" fontId="1" numFmtId="0" xfId="0" applyAlignment="1" applyBorder="1" applyFill="1" applyFont="1">
      <alignment horizontal="center" shrinkToFit="0" vertical="center" wrapText="0"/>
    </xf>
    <xf borderId="1" fillId="4" fontId="1" numFmtId="0" xfId="0" applyAlignment="1" applyBorder="1" applyFont="1">
      <alignment horizontal="center" shrinkToFit="0" vertical="center" wrapText="1"/>
    </xf>
    <xf borderId="3" fillId="4" fontId="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vertical="top" wrapText="0"/>
    </xf>
    <xf borderId="0" fillId="0" fontId="1" numFmtId="0" xfId="0" applyAlignment="1" applyFont="1">
      <alignment horizontal="center" shrinkToFit="0" vertical="top" wrapText="0"/>
    </xf>
    <xf borderId="0" fillId="0" fontId="2" numFmtId="165" xfId="0" applyAlignment="1" applyFont="1" applyNumberFormat="1">
      <alignment horizontal="left" readingOrder="0" shrinkToFit="0" vertical="top" wrapText="0"/>
    </xf>
    <xf borderId="0" fillId="0" fontId="2" numFmtId="165" xfId="0" applyAlignment="1" applyFont="1" applyNumberFormat="1">
      <alignment horizontal="center" shrinkToFit="0" vertical="top" wrapText="0"/>
    </xf>
    <xf borderId="1" fillId="4" fontId="1" numFmtId="164" xfId="0" applyAlignment="1" applyBorder="1" applyFont="1" applyNumberFormat="1">
      <alignment horizontal="center" shrinkToFit="0" vertical="center" wrapText="0"/>
    </xf>
    <xf borderId="0" fillId="4" fontId="6" numFmtId="0" xfId="0" applyFont="1"/>
    <xf borderId="1" fillId="4" fontId="1" numFmtId="0" xfId="0" applyAlignment="1" applyBorder="1" applyFont="1">
      <alignment horizontal="center" readingOrder="0" shrinkToFit="0" vertical="center" wrapText="0"/>
    </xf>
    <xf borderId="1" fillId="5" fontId="1" numFmtId="0" xfId="0" applyAlignment="1" applyBorder="1" applyFill="1" applyFont="1">
      <alignment horizontal="center" shrinkToFit="0" vertical="center" wrapText="0"/>
    </xf>
    <xf borderId="1" fillId="5" fontId="1" numFmtId="0" xfId="0" applyAlignment="1" applyBorder="1" applyFont="1">
      <alignment horizontal="center" readingOrder="0" shrinkToFit="0" vertical="center" wrapText="0"/>
    </xf>
    <xf borderId="0" fillId="0" fontId="1" numFmtId="0" xfId="0" applyAlignment="1" applyFont="1">
      <alignment horizontal="center" readingOrder="0" shrinkToFit="0" vertical="top" wrapText="0"/>
    </xf>
    <xf borderId="0" fillId="6" fontId="6" numFmtId="0" xfId="0" applyFill="1" applyFont="1"/>
    <xf borderId="0" fillId="0" fontId="1" numFmtId="0" xfId="0" applyAlignment="1" applyFont="1">
      <alignment readingOrder="0" shrinkToFit="0" vertical="top" wrapText="0"/>
    </xf>
    <xf borderId="1" fillId="7" fontId="1" numFmtId="0" xfId="0" applyAlignment="1" applyBorder="1" applyFill="1" applyFont="1">
      <alignment horizontal="center" shrinkToFit="0" vertical="center" wrapText="0"/>
    </xf>
    <xf borderId="0" fillId="0" fontId="7" numFmtId="0" xfId="0" applyFont="1"/>
    <xf borderId="1" fillId="7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0"/>
    </xf>
    <xf borderId="3" fillId="7" fontId="5" numFmtId="0" xfId="0" applyAlignment="1" applyBorder="1" applyFont="1">
      <alignment horizontal="center" shrinkToFit="0" vertical="center" wrapText="1"/>
    </xf>
    <xf borderId="1" fillId="0" fontId="1" numFmtId="18" xfId="0" applyAlignment="1" applyBorder="1" applyFont="1" applyNumberFormat="1">
      <alignment shrinkToFit="0" vertical="center" wrapText="0"/>
    </xf>
    <xf borderId="1" fillId="7" fontId="1" numFmtId="0" xfId="0" applyAlignment="1" applyBorder="1" applyFont="1">
      <alignment horizontal="center" readingOrder="0" shrinkToFit="0" vertical="center" wrapText="0"/>
    </xf>
    <xf borderId="4" fillId="0" fontId="7" numFmtId="0" xfId="0" applyBorder="1" applyFont="1"/>
    <xf borderId="1" fillId="7" fontId="1" numFmtId="164" xfId="0" applyAlignment="1" applyBorder="1" applyFont="1" applyNumberFormat="1">
      <alignment horizontal="center" shrinkToFit="0" vertical="center" wrapText="0"/>
    </xf>
    <xf borderId="5" fillId="0" fontId="7" numFmtId="0" xfId="0" applyBorder="1" applyFont="1"/>
    <xf borderId="1" fillId="8" fontId="1" numFmtId="0" xfId="0" applyAlignment="1" applyBorder="1" applyFill="1" applyFont="1">
      <alignment horizontal="center" shrinkToFit="0" vertical="center" wrapText="0"/>
    </xf>
    <xf borderId="6" fillId="3" fontId="3" numFmtId="0" xfId="0" applyAlignment="1" applyBorder="1" applyFont="1">
      <alignment horizontal="center" shrinkToFit="0" vertical="center" wrapText="0"/>
    </xf>
    <xf borderId="0" fillId="0" fontId="1" numFmtId="18" xfId="0" applyAlignment="1" applyFont="1" applyNumberFormat="1">
      <alignment shrinkToFit="0" wrapText="0"/>
    </xf>
    <xf borderId="6" fillId="3" fontId="3" numFmtId="0" xfId="0" applyAlignment="1" applyBorder="1" applyFont="1">
      <alignment shrinkToFit="0" vertical="top" wrapText="0"/>
    </xf>
    <xf borderId="7" fillId="2" fontId="3" numFmtId="0" xfId="0" applyAlignment="1" applyBorder="1" applyFont="1">
      <alignment horizontal="center" shrinkToFit="0" vertical="center" wrapText="0"/>
    </xf>
    <xf borderId="6" fillId="3" fontId="1" numFmtId="0" xfId="0" applyAlignment="1" applyBorder="1" applyFont="1">
      <alignment shrinkToFit="0" vertical="top" wrapText="0"/>
    </xf>
    <xf borderId="3" fillId="0" fontId="7" numFmtId="0" xfId="0" applyBorder="1" applyFont="1"/>
    <xf borderId="0" fillId="8" fontId="6" numFmtId="0" xfId="0" applyFont="1"/>
    <xf borderId="1" fillId="0" fontId="1" numFmtId="0" xfId="0" applyAlignment="1" applyBorder="1" applyFont="1">
      <alignment horizontal="center" shrinkToFit="0" vertical="center" wrapText="0"/>
    </xf>
    <xf borderId="1" fillId="7" fontId="1" numFmtId="164" xfId="0" applyAlignment="1" applyBorder="1" applyFont="1" applyNumberFormat="1">
      <alignment horizontal="center" readingOrder="0" shrinkToFit="0" vertical="center" wrapText="0"/>
    </xf>
    <xf borderId="0" fillId="0" fontId="3" numFmtId="0" xfId="0" applyAlignment="1" applyFont="1">
      <alignment horizontal="center" shrinkToFit="0" vertical="top" wrapText="0"/>
    </xf>
    <xf borderId="7" fillId="0" fontId="1" numFmtId="0" xfId="0" applyAlignment="1" applyBorder="1" applyFont="1">
      <alignment horizontal="center" shrinkToFit="0" vertical="center" wrapText="0"/>
    </xf>
    <xf borderId="1" fillId="0" fontId="1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1" fillId="0" fontId="1" numFmtId="164" xfId="0" applyAlignment="1" applyBorder="1" applyFont="1" applyNumberFormat="1">
      <alignment horizontal="center" shrinkToFit="0" vertical="center" wrapText="0"/>
    </xf>
    <xf borderId="1" fillId="9" fontId="1" numFmtId="0" xfId="0" applyAlignment="1" applyBorder="1" applyFill="1" applyFont="1">
      <alignment horizontal="center" shrinkToFit="0" vertical="center" wrapText="0"/>
    </xf>
    <xf borderId="0" fillId="9" fontId="6" numFmtId="0" xfId="0" applyFont="1"/>
    <xf borderId="1" fillId="0" fontId="1" numFmtId="164" xfId="0" applyAlignment="1" applyBorder="1" applyFont="1" applyNumberFormat="1">
      <alignment horizontal="center" readingOrder="0" shrinkToFit="0" vertical="center" wrapText="0"/>
    </xf>
    <xf borderId="1" fillId="5" fontId="1" numFmtId="0" xfId="0" applyAlignment="1" applyBorder="1" applyFont="1">
      <alignment horizontal="center" shrinkToFit="0" vertical="center" wrapText="1"/>
    </xf>
    <xf borderId="3" fillId="5" fontId="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wrapText="0"/>
    </xf>
    <xf borderId="3" fillId="5" fontId="5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5" fontId="1" numFmtId="164" xfId="0" applyAlignment="1" applyBorder="1" applyFont="1" applyNumberFormat="1">
      <alignment horizontal="center" readingOrder="0" shrinkToFit="0" vertical="center" wrapText="0"/>
    </xf>
    <xf borderId="7" fillId="0" fontId="3" numFmtId="0" xfId="0" applyAlignment="1" applyBorder="1" applyFont="1">
      <alignment horizontal="center" shrinkToFit="0" vertical="center" wrapText="0"/>
    </xf>
    <xf borderId="1" fillId="5" fontId="1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shrinkToFit="0" vertical="center" wrapText="0"/>
    </xf>
    <xf borderId="1" fillId="5" fontId="5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shrinkToFit="0" vertical="center" wrapText="0"/>
    </xf>
    <xf borderId="9" fillId="0" fontId="3" numFmtId="0" xfId="0" applyAlignment="1" applyBorder="1" applyFont="1">
      <alignment shrinkToFit="0" vertical="center" wrapText="0"/>
    </xf>
    <xf borderId="0" fillId="0" fontId="3" numFmtId="0" xfId="0" applyAlignment="1" applyFont="1">
      <alignment shrinkToFit="0" wrapText="0"/>
    </xf>
    <xf borderId="1" fillId="5" fontId="1" numFmtId="164" xfId="0" applyAlignment="1" applyBorder="1" applyFont="1" applyNumberFormat="1">
      <alignment horizontal="center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10" fontId="1" numFmtId="0" xfId="0" applyAlignment="1" applyBorder="1" applyFill="1" applyFont="1">
      <alignment horizontal="center" readingOrder="0" shrinkToFit="0" vertical="center" wrapText="0"/>
    </xf>
    <xf borderId="1" fillId="2" fontId="1" numFmtId="14" xfId="0" applyAlignment="1" applyBorder="1" applyFont="1" applyNumberFormat="1">
      <alignment horizontal="center" shrinkToFit="0" vertical="center" wrapText="0"/>
    </xf>
    <xf borderId="1" fillId="1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wrapText="0"/>
    </xf>
    <xf borderId="1" fillId="10" fontId="5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1" fillId="10" fontId="1" numFmtId="0" xfId="0" applyAlignment="1" applyBorder="1" applyFont="1">
      <alignment horizontal="center" shrinkToFit="0" vertical="center" wrapText="0"/>
    </xf>
    <xf borderId="1" fillId="10" fontId="1" numFmtId="164" xfId="0" applyAlignment="1" applyBorder="1" applyFont="1" applyNumberFormat="1">
      <alignment horizontal="center" shrinkToFit="0" vertical="center" wrapText="0"/>
    </xf>
    <xf borderId="1" fillId="0" fontId="1" numFmtId="14" xfId="0" applyAlignment="1" applyBorder="1" applyFont="1" applyNumberFormat="1">
      <alignment horizontal="center" shrinkToFit="0" vertical="center" wrapText="0"/>
    </xf>
    <xf borderId="0" fillId="10" fontId="6" numFmtId="0" xfId="0" applyFont="1"/>
    <xf borderId="1" fillId="0" fontId="1" numFmtId="0" xfId="0" applyAlignment="1" applyBorder="1" applyFont="1">
      <alignment horizontal="left" shrinkToFit="0" vertical="center" wrapText="1"/>
    </xf>
    <xf borderId="1" fillId="4" fontId="5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shrinkToFit="0" wrapText="0"/>
    </xf>
    <xf borderId="1" fillId="4" fontId="1" numFmtId="164" xfId="0" applyAlignment="1" applyBorder="1" applyFont="1" applyNumberFormat="1">
      <alignment horizontal="center" readingOrder="0" shrinkToFit="0" vertical="center" wrapText="0"/>
    </xf>
    <xf borderId="10" fillId="0" fontId="3" numFmtId="0" xfId="0" applyAlignment="1" applyBorder="1" applyFont="1">
      <alignment horizontal="right" shrinkToFit="0" wrapText="0"/>
    </xf>
    <xf borderId="10" fillId="0" fontId="1" numFmtId="0" xfId="0" applyAlignment="1" applyBorder="1" applyFont="1">
      <alignment horizontal="center" shrinkToFit="0" wrapText="0"/>
    </xf>
    <xf borderId="0" fillId="0" fontId="3" numFmtId="0" xfId="0" applyAlignment="1" applyFont="1">
      <alignment horizontal="right" shrinkToFit="0" wrapText="0"/>
    </xf>
    <xf borderId="0" fillId="5" fontId="1" numFmtId="0" xfId="0" applyAlignment="1" applyFont="1">
      <alignment horizontal="center" readingOrder="0" shrinkToFit="0" vertical="center" wrapText="0"/>
    </xf>
    <xf borderId="0" fillId="5" fontId="6" numFmtId="0" xfId="0" applyFont="1"/>
    <xf borderId="0" fillId="11" fontId="8" numFmtId="0" xfId="0" applyAlignment="1" applyFill="1" applyFont="1">
      <alignment readingOrder="0" shrinkToFit="0" vertical="bottom" wrapText="0"/>
    </xf>
    <xf borderId="1" fillId="11" fontId="8" numFmtId="0" xfId="0" applyAlignment="1" applyBorder="1" applyFont="1">
      <alignment readingOrder="0" shrinkToFit="0" vertical="bottom" wrapText="0"/>
    </xf>
    <xf borderId="1" fillId="11" fontId="8" numFmtId="0" xfId="0" applyAlignment="1" applyBorder="1" applyFont="1">
      <alignment horizontal="center" readingOrder="0" shrinkToFit="0" vertical="bottom" wrapText="0"/>
    </xf>
    <xf borderId="1" fillId="11" fontId="8" numFmtId="164" xfId="0" applyAlignment="1" applyBorder="1" applyFont="1" applyNumberForma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9" numFmtId="0" xfId="0" applyAlignment="1" applyFont="1">
      <alignment shrinkToFit="0" wrapText="0"/>
    </xf>
    <xf borderId="0" fillId="0" fontId="8" numFmtId="0" xfId="0" applyAlignment="1" applyFont="1">
      <alignment readingOrder="0" shrinkToFit="0" vertical="bottom" wrapText="0"/>
    </xf>
    <xf borderId="0" fillId="0" fontId="9" numFmtId="0" xfId="0" applyAlignment="1" applyFont="1">
      <alignment horizontal="center" shrinkToFit="0" vertical="center" wrapText="1"/>
    </xf>
    <xf borderId="0" fillId="0" fontId="8" numFmtId="164" xfId="0" applyAlignment="1" applyFont="1" applyNumberFormat="1">
      <alignment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8" numFmtId="9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shrinkToFit="0" vertical="center" wrapText="1"/>
    </xf>
    <xf borderId="1" fillId="12" fontId="3" numFmtId="0" xfId="0" applyAlignment="1" applyBorder="1" applyFill="1" applyFont="1">
      <alignment shrinkToFit="0" vertical="center" wrapText="1"/>
    </xf>
    <xf borderId="1" fillId="12" fontId="3" numFmtId="0" xfId="0" applyAlignment="1" applyBorder="1" applyFont="1">
      <alignment horizontal="center" shrinkToFit="0" vertical="center" wrapText="0"/>
    </xf>
    <xf borderId="1" fillId="12" fontId="1" numFmtId="0" xfId="0" applyAlignment="1" applyBorder="1" applyFont="1">
      <alignment horizontal="center" shrinkToFit="0" vertical="center" wrapText="0"/>
    </xf>
    <xf borderId="1" fillId="12" fontId="3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left" shrinkToFit="0" vertical="center" wrapText="0"/>
    </xf>
    <xf borderId="2" fillId="0" fontId="1" numFmtId="0" xfId="0" applyAlignment="1" applyBorder="1" applyFont="1">
      <alignment horizontal="center" shrinkToFit="0" vertical="center" wrapText="1"/>
    </xf>
    <xf borderId="1" fillId="0" fontId="1" numFmtId="2" xfId="0" applyAlignment="1" applyBorder="1" applyFont="1" applyNumberFormat="1">
      <alignment shrinkToFit="0" vertical="center" wrapText="0"/>
    </xf>
    <xf borderId="6" fillId="13" fontId="1" numFmtId="0" xfId="0" applyAlignment="1" applyBorder="1" applyFill="1" applyFont="1">
      <alignment shrinkToFit="0" wrapText="0"/>
    </xf>
    <xf borderId="1" fillId="0" fontId="1" numFmtId="166" xfId="0" applyAlignment="1" applyBorder="1" applyFont="1" applyNumberFormat="1">
      <alignment shrinkToFit="0" vertical="center" wrapText="0"/>
    </xf>
    <xf borderId="1" fillId="0" fontId="1" numFmtId="0" xfId="0" applyAlignment="1" applyBorder="1" applyFont="1">
      <alignment readingOrder="0" shrinkToFit="0" vertical="center" wrapText="1"/>
    </xf>
    <xf borderId="0" fillId="0" fontId="10" numFmtId="0" xfId="0" applyAlignment="1" applyFont="1">
      <alignment shrinkToFit="0" wrapText="0"/>
    </xf>
    <xf borderId="11" fillId="0" fontId="1" numFmtId="0" xfId="0" applyAlignment="1" applyBorder="1" applyFont="1">
      <alignment shrinkToFit="0" vertical="center" wrapText="1"/>
    </xf>
    <xf borderId="0" fillId="0" fontId="1" numFmtId="2" xfId="0" applyAlignment="1" applyFont="1" applyNumberFormat="1">
      <alignment shrinkToFit="0" vertical="center" wrapText="0"/>
    </xf>
    <xf borderId="0" fillId="0" fontId="1" numFmtId="166" xfId="0" applyAlignment="1" applyFont="1" applyNumberFormat="1">
      <alignment shrinkToFit="0" vertical="center" wrapText="0"/>
    </xf>
    <xf borderId="12" fillId="0" fontId="1" numFmtId="0" xfId="0" applyAlignment="1" applyBorder="1" applyFont="1">
      <alignment shrinkToFit="0" vertical="center" wrapText="0"/>
    </xf>
    <xf borderId="1" fillId="0" fontId="3" numFmtId="0" xfId="0" applyAlignment="1" applyBorder="1" applyFont="1">
      <alignment horizontal="right" shrinkToFit="0" vertical="center" wrapText="0"/>
    </xf>
    <xf borderId="0" fillId="0" fontId="1" numFmtId="167" xfId="0" applyAlignment="1" applyFont="1" applyNumberFormat="1">
      <alignment horizontal="left" shrinkToFit="0" wrapText="0"/>
    </xf>
    <xf borderId="1" fillId="0" fontId="3" numFmtId="0" xfId="0" applyAlignment="1" applyBorder="1" applyFont="1">
      <alignment shrinkToFit="0" vertical="center" wrapText="0"/>
    </xf>
    <xf borderId="0" fillId="0" fontId="1" numFmtId="167" xfId="0" applyAlignment="1" applyFont="1" applyNumberFormat="1">
      <alignment shrinkToFit="0" wrapText="0"/>
    </xf>
    <xf borderId="1" fillId="0" fontId="3" numFmtId="2" xfId="0" applyAlignment="1" applyBorder="1" applyFont="1" applyNumberFormat="1">
      <alignment shrinkToFit="0" vertical="center" wrapText="0"/>
    </xf>
    <xf borderId="1" fillId="0" fontId="3" numFmtId="166" xfId="0" applyAlignment="1" applyBorder="1" applyFont="1" applyNumberFormat="1">
      <alignment shrinkToFit="0" vertical="center" wrapText="0"/>
    </xf>
    <xf borderId="6" fillId="13" fontId="1" numFmtId="166" xfId="0" applyAlignment="1" applyBorder="1" applyFont="1" applyNumberFormat="1">
      <alignment shrinkToFit="0" wrapText="0"/>
    </xf>
    <xf borderId="0" fillId="0" fontId="3" numFmtId="0" xfId="0" applyAlignment="1" applyFont="1">
      <alignment horizontal="center" shrinkToFit="0" vertical="center" wrapText="0"/>
    </xf>
    <xf borderId="1" fillId="0" fontId="3" numFmtId="0" xfId="0" applyAlignment="1" applyBorder="1" applyFont="1">
      <alignment horizontal="center" shrinkToFit="0" vertical="center" wrapText="0"/>
    </xf>
    <xf borderId="2" fillId="0" fontId="1" numFmtId="2" xfId="0" applyAlignment="1" applyBorder="1" applyFont="1" applyNumberFormat="1">
      <alignment shrinkToFit="0" vertical="center" wrapText="0"/>
    </xf>
    <xf borderId="6" fillId="13" fontId="1" numFmtId="1" xfId="0" applyAlignment="1" applyBorder="1" applyFont="1" applyNumberFormat="1">
      <alignment shrinkToFit="0" wrapText="0"/>
    </xf>
    <xf borderId="0" fillId="0" fontId="1" numFmtId="17" xfId="0" applyAlignment="1" applyFont="1" applyNumberFormat="1">
      <alignment shrinkToFit="0" vertical="center" wrapText="0"/>
    </xf>
    <xf borderId="1" fillId="0" fontId="3" numFmtId="0" xfId="0" applyAlignment="1" applyBorder="1" applyFont="1">
      <alignment horizontal="right" readingOrder="0" shrinkToFit="0" vertical="center" wrapText="0"/>
    </xf>
    <xf borderId="1" fillId="0" fontId="3" numFmtId="0" xfId="0" applyAlignment="1" applyBorder="1" applyFont="1">
      <alignment readingOrder="0" shrinkToFit="0" vertical="center" wrapText="0"/>
    </xf>
    <xf borderId="0" fillId="0" fontId="1" numFmtId="164" xfId="0" applyAlignment="1" applyFont="1" applyNumberFormat="1">
      <alignment shrinkToFit="0" vertical="center" wrapText="0"/>
    </xf>
    <xf borderId="6" fillId="3" fontId="3" numFmtId="0" xfId="0" applyAlignment="1" applyBorder="1" applyFont="1">
      <alignment horizontal="center" shrinkToFit="0" wrapText="1"/>
    </xf>
    <xf borderId="13" fillId="3" fontId="3" numFmtId="0" xfId="0" applyAlignment="1" applyBorder="1" applyFont="1">
      <alignment horizontal="center" shrinkToFit="0" wrapText="1"/>
    </xf>
    <xf borderId="0" fillId="0" fontId="7" numFmtId="2" xfId="0" applyFont="1" applyNumberFormat="1"/>
    <xf borderId="14" fillId="0" fontId="7" numFmtId="0" xfId="0" applyBorder="1" applyFont="1"/>
    <xf borderId="15" fillId="3" fontId="3" numFmtId="0" xfId="0" applyAlignment="1" applyBorder="1" applyFont="1">
      <alignment horizontal="center" shrinkToFit="0" wrapText="0"/>
    </xf>
    <xf borderId="15" fillId="3" fontId="3" numFmtId="0" xfId="0" applyAlignment="1" applyBorder="1" applyFont="1">
      <alignment shrinkToFit="0" wrapText="1"/>
    </xf>
    <xf borderId="15" fillId="3" fontId="3" numFmtId="0" xfId="0" applyAlignment="1" applyBorder="1" applyFont="1">
      <alignment horizontal="center" shrinkToFit="0" wrapText="1"/>
    </xf>
    <xf borderId="13" fillId="3" fontId="11" numFmtId="0" xfId="0" applyAlignment="1" applyBorder="1" applyFont="1">
      <alignment horizontal="center" shrinkToFit="0" wrapText="1"/>
    </xf>
    <xf borderId="0" fillId="0" fontId="1" numFmtId="0" xfId="0" applyAlignment="1" applyFont="1">
      <alignment shrinkToFit="0" wrapText="1"/>
    </xf>
    <xf borderId="6" fillId="3" fontId="3" numFmtId="0" xfId="0" applyAlignment="1" applyBorder="1" applyFont="1">
      <alignment horizontal="left" shrinkToFit="0" wrapText="1"/>
    </xf>
    <xf borderId="6" fillId="13" fontId="1" numFmtId="0" xfId="0" applyAlignment="1" applyBorder="1" applyFont="1">
      <alignment horizontal="center" shrinkToFit="0" wrapText="0"/>
    </xf>
    <xf borderId="12" fillId="0" fontId="7" numFmtId="0" xfId="0" applyBorder="1" applyFont="1"/>
    <xf borderId="0" fillId="0" fontId="1" numFmtId="166" xfId="0" applyAlignment="1" applyFont="1" applyNumberFormat="1">
      <alignment shrinkToFit="0" wrapText="0"/>
    </xf>
    <xf borderId="0" fillId="0" fontId="1" numFmtId="0" xfId="0" applyAlignment="1" applyFont="1">
      <alignment shrinkToFit="0" vertical="top" wrapText="1"/>
    </xf>
    <xf borderId="0" fillId="0" fontId="2" numFmtId="165" xfId="0" applyAlignment="1" applyFont="1" applyNumberFormat="1">
      <alignment horizontal="left" shrinkToFit="0" vertical="top" wrapText="1"/>
    </xf>
    <xf borderId="1" fillId="3" fontId="3" numFmtId="0" xfId="0" applyAlignment="1" applyBorder="1" applyFont="1">
      <alignment shrinkToFit="0" vertical="top" wrapText="1"/>
    </xf>
    <xf borderId="1" fillId="0" fontId="1" numFmtId="0" xfId="0" applyAlignment="1" applyBorder="1" applyFont="1">
      <alignment horizontal="center" shrinkToFit="0" vertical="top" wrapText="0"/>
    </xf>
    <xf borderId="1" fillId="3" fontId="3" numFmtId="0" xfId="0" applyAlignment="1" applyBorder="1" applyFont="1">
      <alignment shrinkToFit="0" vertical="top" wrapText="0"/>
    </xf>
    <xf borderId="1" fillId="3" fontId="1" numFmtId="0" xfId="0" applyAlignment="1" applyBorder="1" applyFont="1">
      <alignment shrinkToFit="0" vertical="top" wrapText="0"/>
    </xf>
    <xf borderId="1" fillId="0" fontId="3" numFmtId="0" xfId="0" applyAlignment="1" applyBorder="1" applyFont="1">
      <alignment horizontal="center" shrinkToFit="0" vertical="top" wrapText="0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horizontal="center" shrinkToFit="0" wrapText="0"/>
    </xf>
    <xf borderId="1" fillId="0" fontId="1" numFmtId="0" xfId="0" applyAlignment="1" applyBorder="1" applyFont="1">
      <alignment shrinkToFit="0" wrapText="0"/>
    </xf>
    <xf borderId="1" fillId="0" fontId="9" numFmtId="0" xfId="0" applyAlignment="1" applyBorder="1" applyFont="1">
      <alignment shrinkToFit="0" wrapText="1"/>
    </xf>
    <xf borderId="6" fillId="3" fontId="3" numFmtId="0" xfId="0" applyAlignment="1" applyBorder="1" applyFont="1">
      <alignment horizontal="center" shrinkToFit="0" vertical="top" wrapText="0"/>
    </xf>
    <xf borderId="1" fillId="0" fontId="1" numFmtId="0" xfId="0" applyAlignment="1" applyBorder="1" applyFont="1">
      <alignment horizontal="center" readingOrder="0" shrinkToFit="0" vertical="center" wrapText="0"/>
    </xf>
    <xf borderId="1" fillId="14" fontId="1" numFmtId="0" xfId="0" applyAlignment="1" applyBorder="1" applyFill="1" applyFont="1">
      <alignment shrinkToFit="0" vertical="center" wrapText="0"/>
    </xf>
    <xf borderId="1" fillId="15" fontId="1" numFmtId="0" xfId="0" applyAlignment="1" applyBorder="1" applyFill="1" applyFont="1">
      <alignment horizontal="center" readingOrder="0" shrinkToFit="0" vertical="center" wrapText="0"/>
    </xf>
    <xf borderId="1" fillId="16" fontId="1" numFmtId="0" xfId="0" applyAlignment="1" applyBorder="1" applyFill="1" applyFont="1">
      <alignment horizontal="center" readingOrder="0" shrinkToFit="0" vertical="center" wrapText="0"/>
    </xf>
    <xf borderId="1" fillId="17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shrinkToFit="0" vertical="center" wrapText="0"/>
    </xf>
    <xf borderId="1" fillId="18" fontId="1" numFmtId="0" xfId="0" applyAlignment="1" applyBorder="1" applyFill="1" applyFont="1">
      <alignment horizontal="center" readingOrder="0" shrinkToFit="0" vertical="center" wrapText="0"/>
    </xf>
    <xf borderId="1" fillId="19" fontId="1" numFmtId="0" xfId="0" applyAlignment="1" applyBorder="1" applyFill="1" applyFont="1">
      <alignment horizontal="center" readingOrder="0" shrinkToFit="0" vertical="center" wrapText="0"/>
    </xf>
    <xf borderId="1" fillId="20" fontId="1" numFmtId="0" xfId="0" applyAlignment="1" applyBorder="1" applyFill="1" applyFont="1">
      <alignment horizontal="center" readingOrder="0" shrinkToFit="0" vertical="center" wrapText="0"/>
    </xf>
    <xf borderId="1" fillId="21" fontId="1" numFmtId="0" xfId="0" applyAlignment="1" applyBorder="1" applyFill="1" applyFont="1">
      <alignment horizontal="center" readingOrder="0" shrinkToFit="0" vertical="center" wrapText="0"/>
    </xf>
    <xf borderId="1" fillId="22" fontId="1" numFmtId="0" xfId="0" applyAlignment="1" applyBorder="1" applyFill="1" applyFont="1">
      <alignment horizontal="center" readingOrder="0" shrinkToFit="0" vertical="center" wrapText="0"/>
    </xf>
    <xf borderId="1" fillId="23" fontId="1" numFmtId="0" xfId="0" applyAlignment="1" applyBorder="1" applyFill="1" applyFont="1">
      <alignment horizontal="center" readingOrder="0" shrinkToFit="0" vertical="center" wrapText="0"/>
    </xf>
    <xf borderId="1" fillId="24" fontId="1" numFmtId="0" xfId="0" applyAlignment="1" applyBorder="1" applyFill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1" numFmtId="168" xfId="0" applyAlignment="1" applyFont="1" applyNumberFormat="1">
      <alignment horizontal="center" readingOrder="0" shrinkToFit="0" vertical="top" wrapText="0"/>
    </xf>
    <xf borderId="0" fillId="0" fontId="1" numFmtId="169" xfId="0" applyAlignment="1" applyFont="1" applyNumberFormat="1">
      <alignment horizontal="center" readingOrder="0" shrinkToFit="0" vertical="top" wrapText="0"/>
    </xf>
    <xf borderId="0" fillId="9" fontId="6" numFmtId="0" xfId="0" applyFont="1"/>
    <xf borderId="1" fillId="3" fontId="3" numFmtId="0" xfId="0" applyAlignment="1" applyBorder="1" applyFont="1">
      <alignment horizontal="center" shrinkToFit="0" vertical="top" wrapText="0"/>
    </xf>
  </cellXfs>
  <cellStyles count="1">
    <cellStyle xfId="0" name="Normal" builtinId="0"/>
  </cellStyles>
  <dxfs count="5">
    <dxf>
      <font>
        <color rgb="FF666699"/>
      </font>
      <fill>
        <patternFill patternType="none"/>
      </fill>
      <alignment shrinkToFit="0" wrapText="0"/>
      <border/>
    </dxf>
    <dxf>
      <font/>
      <fill>
        <patternFill patternType="none"/>
      </fill>
      <alignment shrinkToFit="0" wrapText="0"/>
      <border/>
    </dxf>
    <dxf>
      <font/>
      <fill>
        <patternFill patternType="solid">
          <fgColor rgb="FFFFFFFF"/>
          <bgColor rgb="FFFFFFFF"/>
        </patternFill>
      </fill>
      <alignment shrinkToFit="0" wrapText="0"/>
      <border/>
    </dxf>
    <dxf>
      <font/>
      <fill>
        <patternFill patternType="solid">
          <fgColor rgb="FFFFFF99"/>
          <bgColor rgb="FFFFFF99"/>
        </patternFill>
      </fill>
      <alignment shrinkToFit="0" wrapText="0"/>
      <border/>
    </dxf>
    <dxf>
      <font/>
      <fill>
        <patternFill patternType="solid">
          <fgColor rgb="FFCCFFCC"/>
          <bgColor rgb="FFCCFFCC"/>
        </patternFill>
      </fill>
      <alignment shrinkToFit="0" wrapText="0"/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BurnDown Chart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 w="19050">
              <a:solidFill>
                <a:srgbClr val="3366CC"/>
              </a:solidFill>
              <a:prstDash val="solid"/>
            </a:ln>
          </c:spPr>
          <c:marker>
            <c:symbol val="none"/>
          </c:marker>
          <c:val>
            <c:numRef>
              <c:f>Sprint_Backlog_Burdown_Chart!$G$21:$U$21</c:f>
            </c:numRef>
          </c:val>
          <c:smooth val="0"/>
        </c:ser>
        <c:ser>
          <c:idx val="1"/>
          <c:order val="1"/>
          <c:spPr>
            <a:ln cmpd="sng" w="19050">
              <a:solidFill>
                <a:srgbClr val="DC3912"/>
              </a:solidFill>
              <a:prstDash val="solid"/>
            </a:ln>
          </c:spPr>
          <c:marker>
            <c:symbol val="none"/>
          </c:marker>
          <c:val>
            <c:numRef>
              <c:f>Sprint_Backlog_Burdown_Chart!$G$22:$U$22</c:f>
            </c:numRef>
          </c:val>
          <c:smooth val="0"/>
        </c:ser>
        <c:ser>
          <c:idx val="2"/>
          <c:order val="2"/>
          <c:spPr>
            <a:ln cmpd="sng" w="19050">
              <a:solidFill>
                <a:srgbClr val="FF9900"/>
              </a:solidFill>
              <a:prstDash val="solid"/>
            </a:ln>
          </c:spPr>
          <c:marker>
            <c:symbol val="none"/>
          </c:marker>
          <c:val>
            <c:numRef>
              <c:f>Sprint_Backlog_Burdown_Chart!$G$20:$U$20</c:f>
            </c:numRef>
          </c:val>
          <c:smooth val="0"/>
        </c:ser>
        <c:axId val="392247875"/>
        <c:axId val="656309807"/>
      </c:lineChart>
      <c:catAx>
        <c:axId val="392247875"/>
        <c:scaling>
          <c:orientation val="minMax"/>
        </c:scaling>
        <c:delete val="0"/>
        <c:axPos val="b"/>
        <c:txPr>
          <a:bodyPr/>
          <a:lstStyle/>
          <a:p>
            <a:pPr lvl="0">
              <a:defRPr b="1" i="0"/>
            </a:pPr>
          </a:p>
        </c:txPr>
        <c:crossAx val="656309807"/>
      </c:catAx>
      <c:valAx>
        <c:axId val="656309807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</a:defRPr>
                </a:pPr>
                <a:r>
                  <a:t>Trabajo Restante (h)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1" i="0" sz="1200"/>
            </a:pPr>
          </a:p>
        </c:txPr>
        <c:crossAx val="392247875"/>
      </c:valAx>
      <c:spPr>
        <a:solidFill>
          <a:srgbClr val="FFFFFF"/>
        </a:solidFill>
      </c:spPr>
    </c:plotArea>
    <c:legend>
      <c:legendPos val="b"/>
      <c:overlay val="0"/>
    </c:legend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900">
                <a:solidFill>
                  <a:srgbClr val="000000"/>
                </a:solidFill>
              </a:defRPr>
            </a:pPr>
            <a:r>
              <a:t>Sprint Burdwon Chart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 w="9525">
              <a:solidFill>
                <a:srgbClr val="969696"/>
              </a:solidFill>
              <a:prstDash val="solid"/>
            </a:ln>
          </c:spPr>
          <c:marker>
            <c:symbol val="none"/>
          </c:marker>
          <c:val>
            <c:numRef>
              <c:f>'Sprint Backlog'!$F$15:$S$15</c:f>
            </c:numRef>
          </c:val>
          <c:smooth val="0"/>
        </c:ser>
        <c:ser>
          <c:idx val="1"/>
          <c:order val="1"/>
          <c:spPr>
            <a:ln cmpd="sng" w="19050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'Sprint Backlog'!$F$16:$S$16</c:f>
            </c:numRef>
          </c:val>
          <c:smooth val="0"/>
        </c:ser>
        <c:ser>
          <c:idx val="2"/>
          <c:order val="2"/>
          <c:spPr>
            <a:ln cmpd="sng" w="19050">
              <a:solidFill>
                <a:srgbClr val="9999FF"/>
              </a:solidFill>
              <a:prstDash val="solid"/>
            </a:ln>
          </c:spPr>
          <c:marker>
            <c:symbol val="none"/>
          </c:marker>
          <c:val>
            <c:numRef>
              <c:f>'Sprint Backlog'!$F$14:$S$14</c:f>
            </c:numRef>
          </c:val>
          <c:smooth val="0"/>
        </c:ser>
        <c:axId val="1869646725"/>
        <c:axId val="1420629110"/>
      </c:lineChart>
      <c:catAx>
        <c:axId val="1869646725"/>
        <c:scaling>
          <c:orientation val="minMax"/>
        </c:scaling>
        <c:delete val="0"/>
        <c:axPos val="b"/>
        <c:txPr>
          <a:bodyPr/>
          <a:lstStyle/>
          <a:p>
            <a:pPr lvl="0">
              <a:defRPr b="1" i="0"/>
            </a:pPr>
          </a:p>
        </c:txPr>
        <c:crossAx val="1420629110"/>
      </c:catAx>
      <c:valAx>
        <c:axId val="1420629110"/>
        <c:scaling>
          <c:orientation val="minMax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1" i="0"/>
            </a:pPr>
          </a:p>
        </c:txPr>
        <c:crossAx val="1869646725"/>
      </c:valAx>
      <c:spPr>
        <a:solidFill>
          <a:srgbClr val="FFFFFF"/>
        </a:solidFill>
      </c:spPr>
    </c:plotArea>
    <c:legend>
      <c:legendPos val="r"/>
      <c:overlay val="0"/>
    </c:legend>
  </c:chart>
  <c:spPr>
    <a:solidFill>
      <a:srgbClr val="FFFFFF"/>
    </a:solidFill>
  </c:spPr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5</xdr:col>
      <xdr:colOff>1085850</xdr:colOff>
      <xdr:row>0</xdr:row>
      <xdr:rowOff>0</xdr:rowOff>
    </xdr:from>
    <xdr:to>
      <xdr:col>19</xdr:col>
      <xdr:colOff>809625</xdr:colOff>
      <xdr:row>17</xdr:row>
      <xdr:rowOff>161925</xdr:rowOff>
    </xdr:to>
    <xdr:graphicFrame>
      <xdr:nvGraphicFramePr>
        <xdr:cNvPr descr="Chart 0"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1562100</xdr:colOff>
      <xdr:row>0</xdr:row>
      <xdr:rowOff>123825</xdr:rowOff>
    </xdr:from>
    <xdr:to>
      <xdr:col>19</xdr:col>
      <xdr:colOff>57150</xdr:colOff>
      <xdr:row>11</xdr:row>
      <xdr:rowOff>66675</xdr:rowOff>
    </xdr:to>
    <xdr:graphicFrame>
      <xdr:nvGraphicFramePr>
        <xdr:cNvPr descr="Chart 0"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8.0"/>
    <col customWidth="1" min="2" max="2" width="32.29"/>
    <col customWidth="1" min="3" max="3" width="34.29"/>
    <col customWidth="1" min="4" max="4" width="57.29"/>
    <col customWidth="1" min="5" max="5" width="19.71"/>
    <col customWidth="1" min="6" max="6" width="8.86"/>
    <col customWidth="1" min="7" max="7" width="9.14"/>
    <col customWidth="1" min="8" max="9" width="13.14"/>
    <col customWidth="1" min="10" max="10" width="11.86"/>
    <col customWidth="1" min="11" max="11" width="20.57"/>
    <col customWidth="1" min="12" max="12" width="16.57"/>
    <col customWidth="1" min="13" max="13" width="12.0"/>
    <col customWidth="1" min="14" max="14" width="27.71"/>
    <col customWidth="1" min="15" max="15" width="32.29"/>
    <col customWidth="1" min="16" max="16" width="30.57"/>
    <col customWidth="1" min="17" max="17" width="25.86"/>
    <col customWidth="1" min="18" max="18" width="27.57"/>
    <col customWidth="1" min="19" max="26" width="8.14"/>
    <col customWidth="1" min="27" max="27" width="8.0"/>
  </cols>
  <sheetData>
    <row r="1" ht="12.75" customHeight="1">
      <c r="A1" s="2"/>
      <c r="B1" s="3"/>
      <c r="C1" s="2"/>
      <c r="D1" s="2"/>
      <c r="E1" s="2"/>
      <c r="F1" s="2"/>
      <c r="G1" s="2"/>
      <c r="H1" s="2"/>
      <c r="I1" s="2"/>
      <c r="J1" s="2"/>
      <c r="K1" s="2"/>
      <c r="L1" s="5"/>
      <c r="M1" s="2"/>
      <c r="N1" s="2"/>
      <c r="O1" s="6"/>
      <c r="P1" s="3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8.0" customHeight="1">
      <c r="A2" s="9" t="s">
        <v>2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2.75" customHeight="1">
      <c r="A3" s="2"/>
      <c r="B3" s="3"/>
      <c r="C3" s="2"/>
      <c r="D3" s="2"/>
      <c r="E3" s="2"/>
      <c r="F3" s="2"/>
      <c r="G3" s="2"/>
      <c r="H3" s="2"/>
      <c r="I3" s="2"/>
      <c r="J3" s="2"/>
      <c r="K3" s="2"/>
      <c r="L3" s="5"/>
      <c r="M3" s="2"/>
      <c r="N3" s="2"/>
      <c r="O3" s="6"/>
      <c r="P3" s="3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2.75" customHeight="1">
      <c r="A4" s="2"/>
      <c r="B4" s="3"/>
      <c r="C4" s="2"/>
      <c r="D4" s="2"/>
      <c r="E4" s="2"/>
      <c r="F4" s="2"/>
      <c r="G4" s="2"/>
      <c r="H4" s="2"/>
      <c r="I4" s="2"/>
      <c r="J4" s="2"/>
      <c r="K4" s="2"/>
      <c r="L4" s="5"/>
      <c r="M4" s="2"/>
      <c r="N4" s="2"/>
      <c r="O4" s="6"/>
      <c r="P4" s="3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ht="25.5" customHeight="1">
      <c r="A5" s="11" t="s">
        <v>6</v>
      </c>
      <c r="B5" s="12" t="s">
        <v>8</v>
      </c>
      <c r="C5" s="11" t="s">
        <v>9</v>
      </c>
      <c r="D5" s="11" t="s">
        <v>10</v>
      </c>
      <c r="E5" s="11" t="s">
        <v>11</v>
      </c>
      <c r="F5" s="11" t="s">
        <v>12</v>
      </c>
      <c r="G5" s="11" t="s">
        <v>13</v>
      </c>
      <c r="H5" s="11" t="s">
        <v>14</v>
      </c>
      <c r="I5" s="11" t="s">
        <v>15</v>
      </c>
      <c r="J5" s="11" t="s">
        <v>16</v>
      </c>
      <c r="K5" s="11" t="s">
        <v>17</v>
      </c>
      <c r="L5" s="11" t="s">
        <v>18</v>
      </c>
      <c r="M5" s="11" t="s">
        <v>19</v>
      </c>
      <c r="N5" s="13" t="s">
        <v>20</v>
      </c>
      <c r="O5" s="13" t="s">
        <v>21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94.5" customHeight="1">
      <c r="A6" s="14">
        <v>1.0</v>
      </c>
      <c r="B6" s="15" t="s">
        <v>22</v>
      </c>
      <c r="C6" s="16" t="s">
        <v>23</v>
      </c>
      <c r="D6" s="16" t="s">
        <v>24</v>
      </c>
      <c r="E6" s="14" t="s">
        <v>25</v>
      </c>
      <c r="F6" s="14">
        <v>4.0</v>
      </c>
      <c r="G6" s="14">
        <v>5.0</v>
      </c>
      <c r="H6" s="14">
        <v>3.0</v>
      </c>
      <c r="I6" s="14">
        <v>2.0</v>
      </c>
      <c r="J6" s="14">
        <v>5.0</v>
      </c>
      <c r="K6" s="21">
        <f>round(average(F6:J6))</f>
        <v>4</v>
      </c>
      <c r="L6" s="14">
        <v>1.0</v>
      </c>
      <c r="M6" s="14">
        <v>3.0</v>
      </c>
      <c r="N6" s="14">
        <f t="shared" ref="N6:N23" si="1">K6*M6</f>
        <v>12</v>
      </c>
      <c r="O6" s="22">
        <f t="shared" ref="O6:O11" si="2">K6*M6</f>
        <v>12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14">
        <v>2.0</v>
      </c>
      <c r="B7" s="14" t="s">
        <v>26</v>
      </c>
      <c r="C7" s="23" t="s">
        <v>27</v>
      </c>
      <c r="D7" s="14" t="s">
        <v>28</v>
      </c>
      <c r="E7" s="14" t="s">
        <v>25</v>
      </c>
      <c r="F7" s="14">
        <v>3.0</v>
      </c>
      <c r="G7" s="14">
        <v>5.0</v>
      </c>
      <c r="H7" s="14">
        <v>5.0</v>
      </c>
      <c r="I7" s="14">
        <v>5.0</v>
      </c>
      <c r="J7" s="14">
        <v>4.0</v>
      </c>
      <c r="K7" s="23">
        <v>4.0</v>
      </c>
      <c r="L7" s="23">
        <v>1.0</v>
      </c>
      <c r="M7" s="14">
        <v>10.0</v>
      </c>
      <c r="N7" s="14">
        <f t="shared" si="1"/>
        <v>40</v>
      </c>
      <c r="O7" s="22">
        <f t="shared" si="2"/>
        <v>40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ht="76.5" customHeight="1">
      <c r="A8" s="24">
        <v>3.0</v>
      </c>
      <c r="B8" s="25" t="s">
        <v>29</v>
      </c>
      <c r="C8" s="25" t="s">
        <v>30</v>
      </c>
      <c r="D8" s="24" t="s">
        <v>31</v>
      </c>
      <c r="E8" s="24" t="s">
        <v>25</v>
      </c>
      <c r="F8" s="24">
        <v>5.0</v>
      </c>
      <c r="G8" s="24">
        <v>4.0</v>
      </c>
      <c r="H8" s="24">
        <v>4.0</v>
      </c>
      <c r="I8" s="24">
        <v>3.0</v>
      </c>
      <c r="J8" s="24">
        <v>6.0</v>
      </c>
      <c r="K8" s="24">
        <f t="shared" ref="K8:K10" si="3">round(average(F8:J8))</f>
        <v>4</v>
      </c>
      <c r="L8" s="24">
        <v>3.0</v>
      </c>
      <c r="M8" s="24">
        <v>3.0</v>
      </c>
      <c r="N8" s="24">
        <f t="shared" si="1"/>
        <v>12</v>
      </c>
      <c r="O8" s="27">
        <f t="shared" si="2"/>
        <v>12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ht="63.75" customHeight="1">
      <c r="A9" s="24">
        <v>4.0</v>
      </c>
      <c r="B9" s="24" t="s">
        <v>32</v>
      </c>
      <c r="C9" s="25" t="s">
        <v>33</v>
      </c>
      <c r="D9" s="24" t="s">
        <v>34</v>
      </c>
      <c r="E9" s="24" t="s">
        <v>25</v>
      </c>
      <c r="F9" s="24">
        <v>1.0</v>
      </c>
      <c r="G9" s="24">
        <v>2.0</v>
      </c>
      <c r="H9" s="24">
        <v>4.0</v>
      </c>
      <c r="I9" s="24">
        <v>3.0</v>
      </c>
      <c r="J9" s="24">
        <v>4.0</v>
      </c>
      <c r="K9" s="24">
        <f t="shared" si="3"/>
        <v>3</v>
      </c>
      <c r="L9" s="24">
        <v>3.0</v>
      </c>
      <c r="M9" s="24">
        <v>8.0</v>
      </c>
      <c r="N9" s="24">
        <f t="shared" si="1"/>
        <v>24</v>
      </c>
      <c r="O9" s="27">
        <f t="shared" si="2"/>
        <v>24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ht="127.5" customHeight="1">
      <c r="A10" s="29">
        <v>5.0</v>
      </c>
      <c r="B10" s="31" t="s">
        <v>35</v>
      </c>
      <c r="C10" s="33" t="s">
        <v>36</v>
      </c>
      <c r="D10" s="33" t="s">
        <v>37</v>
      </c>
      <c r="E10" s="35" t="s">
        <v>25</v>
      </c>
      <c r="F10" s="29">
        <v>3.0</v>
      </c>
      <c r="G10" s="29">
        <v>5.0</v>
      </c>
      <c r="H10" s="29">
        <v>3.0</v>
      </c>
      <c r="I10" s="29">
        <v>4.0</v>
      </c>
      <c r="J10" s="29">
        <v>4.0</v>
      </c>
      <c r="K10" s="37">
        <f t="shared" si="3"/>
        <v>4</v>
      </c>
      <c r="L10" s="29">
        <v>4.0</v>
      </c>
      <c r="M10" s="29">
        <v>9.0</v>
      </c>
      <c r="N10" s="39">
        <f t="shared" si="1"/>
        <v>36</v>
      </c>
      <c r="O10" s="46">
        <f t="shared" si="2"/>
        <v>36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ht="153.0" customHeight="1">
      <c r="A11" s="29">
        <v>6.0</v>
      </c>
      <c r="B11" s="31" t="s">
        <v>53</v>
      </c>
      <c r="C11" s="33" t="s">
        <v>54</v>
      </c>
      <c r="D11" s="33" t="s">
        <v>55</v>
      </c>
      <c r="E11" s="35" t="s">
        <v>25</v>
      </c>
      <c r="F11" s="29">
        <v>4.0</v>
      </c>
      <c r="G11" s="29">
        <v>8.0</v>
      </c>
      <c r="H11" s="29">
        <v>5.0</v>
      </c>
      <c r="I11" s="29">
        <v>4.0</v>
      </c>
      <c r="J11" s="29">
        <v>9.0</v>
      </c>
      <c r="K11" s="48">
        <v>4.0</v>
      </c>
      <c r="L11" s="29">
        <v>4.0</v>
      </c>
      <c r="M11" s="29">
        <v>5.0</v>
      </c>
      <c r="N11" s="39">
        <f t="shared" si="1"/>
        <v>20</v>
      </c>
      <c r="O11" s="46">
        <f t="shared" si="2"/>
        <v>20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ht="127.5" customHeight="1">
      <c r="A12" s="47">
        <v>7.0</v>
      </c>
      <c r="B12" s="51" t="s">
        <v>57</v>
      </c>
      <c r="C12" s="52" t="s">
        <v>60</v>
      </c>
      <c r="D12" s="52" t="s">
        <v>61</v>
      </c>
      <c r="E12" s="47" t="s">
        <v>62</v>
      </c>
      <c r="F12" s="47">
        <v>4.0</v>
      </c>
      <c r="G12" s="47">
        <v>3.0</v>
      </c>
      <c r="H12" s="47">
        <v>4.0</v>
      </c>
      <c r="I12" s="47">
        <v>3.0</v>
      </c>
      <c r="J12" s="47">
        <v>6.0</v>
      </c>
      <c r="K12" s="53">
        <f t="shared" ref="K12:K13" si="4">round(average(F12:J12))</f>
        <v>4</v>
      </c>
      <c r="L12" s="47">
        <v>5.0</v>
      </c>
      <c r="M12" s="47">
        <v>10.0</v>
      </c>
      <c r="N12" s="54">
        <f t="shared" si="1"/>
        <v>40</v>
      </c>
      <c r="O12" s="55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ht="127.5" customHeight="1">
      <c r="A13" s="47">
        <v>8.0</v>
      </c>
      <c r="B13" s="51" t="s">
        <v>63</v>
      </c>
      <c r="C13" s="52" t="s">
        <v>64</v>
      </c>
      <c r="D13" s="52" t="s">
        <v>65</v>
      </c>
      <c r="E13" s="47" t="s">
        <v>62</v>
      </c>
      <c r="F13" s="47">
        <v>3.0</v>
      </c>
      <c r="G13" s="47">
        <v>4.0</v>
      </c>
      <c r="H13" s="47">
        <v>4.0</v>
      </c>
      <c r="I13" s="47">
        <v>5.0</v>
      </c>
      <c r="J13" s="47">
        <v>6.0</v>
      </c>
      <c r="K13" s="53">
        <f t="shared" si="4"/>
        <v>4</v>
      </c>
      <c r="L13" s="47">
        <v>5.0</v>
      </c>
      <c r="M13" s="47">
        <v>2.0</v>
      </c>
      <c r="N13" s="54">
        <f t="shared" si="1"/>
        <v>8</v>
      </c>
      <c r="O13" s="55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ht="12.75" customHeight="1">
      <c r="A14" s="47">
        <v>9.0</v>
      </c>
      <c r="B14" s="51" t="s">
        <v>66</v>
      </c>
      <c r="C14" s="52" t="s">
        <v>67</v>
      </c>
      <c r="D14" s="52" t="s">
        <v>68</v>
      </c>
      <c r="E14" s="47" t="s">
        <v>62</v>
      </c>
      <c r="F14" s="47">
        <v>9.0</v>
      </c>
      <c r="G14" s="47">
        <v>9.0</v>
      </c>
      <c r="H14" s="47">
        <v>7.0</v>
      </c>
      <c r="I14" s="47">
        <v>7.0</v>
      </c>
      <c r="J14" s="47">
        <v>10.0</v>
      </c>
      <c r="K14" s="56">
        <v>8.0</v>
      </c>
      <c r="L14" s="47">
        <v>5.0</v>
      </c>
      <c r="M14" s="47">
        <v>2.0</v>
      </c>
      <c r="N14" s="54">
        <f t="shared" si="1"/>
        <v>16</v>
      </c>
      <c r="O14" s="55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ht="12.75" customHeight="1">
      <c r="A15" s="24">
        <v>10.0</v>
      </c>
      <c r="B15" s="57" t="s">
        <v>69</v>
      </c>
      <c r="C15" s="58" t="s">
        <v>70</v>
      </c>
      <c r="D15" s="60" t="s">
        <v>71</v>
      </c>
      <c r="E15" s="25" t="s">
        <v>25</v>
      </c>
      <c r="F15" s="25">
        <v>3.0</v>
      </c>
      <c r="G15" s="25">
        <v>4.0</v>
      </c>
      <c r="H15" s="25">
        <v>5.0</v>
      </c>
      <c r="I15" s="25">
        <v>4.0</v>
      </c>
      <c r="J15" s="25">
        <v>2.0</v>
      </c>
      <c r="K15" s="62">
        <v>3.0</v>
      </c>
      <c r="L15" s="24">
        <v>3.0</v>
      </c>
      <c r="M15" s="24">
        <v>2.0</v>
      </c>
      <c r="N15" s="24">
        <f t="shared" si="1"/>
        <v>6</v>
      </c>
      <c r="O15" s="27">
        <f t="shared" ref="O15:O23" si="5">K15*M15</f>
        <v>6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ht="36.0" customHeight="1">
      <c r="A16" s="25">
        <v>11.0</v>
      </c>
      <c r="B16" s="64" t="s">
        <v>73</v>
      </c>
      <c r="C16" s="66" t="s">
        <v>75</v>
      </c>
      <c r="D16" s="66" t="s">
        <v>78</v>
      </c>
      <c r="E16" s="25" t="s">
        <v>25</v>
      </c>
      <c r="F16" s="24">
        <v>2.0</v>
      </c>
      <c r="G16" s="24">
        <v>2.0</v>
      </c>
      <c r="H16" s="24">
        <v>2.0</v>
      </c>
      <c r="I16" s="24">
        <v>2.0</v>
      </c>
      <c r="J16" s="24">
        <v>6.0</v>
      </c>
      <c r="K16" s="70">
        <f t="shared" ref="K16:K17" si="6">round(average(F16:J16))</f>
        <v>3</v>
      </c>
      <c r="L16" s="25">
        <v>3.0</v>
      </c>
      <c r="M16" s="25">
        <v>2.0</v>
      </c>
      <c r="N16" s="24">
        <f t="shared" si="1"/>
        <v>6</v>
      </c>
      <c r="O16" s="27">
        <f t="shared" si="5"/>
        <v>6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ht="12.75" customHeight="1">
      <c r="A17" s="72">
        <v>12.0</v>
      </c>
      <c r="B17" s="74" t="s">
        <v>82</v>
      </c>
      <c r="C17" s="76" t="s">
        <v>83</v>
      </c>
      <c r="D17" s="76" t="s">
        <v>87</v>
      </c>
      <c r="E17" s="78" t="s">
        <v>25</v>
      </c>
      <c r="F17" s="78">
        <v>4.0</v>
      </c>
      <c r="G17" s="78">
        <v>6.0</v>
      </c>
      <c r="H17" s="78">
        <v>5.0</v>
      </c>
      <c r="I17" s="78">
        <v>5.0</v>
      </c>
      <c r="J17" s="78">
        <v>7.0</v>
      </c>
      <c r="K17" s="79">
        <f t="shared" si="6"/>
        <v>5</v>
      </c>
      <c r="L17" s="78">
        <v>2.0</v>
      </c>
      <c r="M17" s="78">
        <v>2.0</v>
      </c>
      <c r="N17" s="78">
        <f t="shared" si="1"/>
        <v>10</v>
      </c>
      <c r="O17" s="81">
        <f t="shared" si="5"/>
        <v>10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ht="12.75" customHeight="1">
      <c r="A18" s="23">
        <v>13.0</v>
      </c>
      <c r="B18" s="15" t="s">
        <v>89</v>
      </c>
      <c r="C18" s="83" t="s">
        <v>90</v>
      </c>
      <c r="D18" s="83" t="s">
        <v>91</v>
      </c>
      <c r="E18" s="14" t="s">
        <v>25</v>
      </c>
      <c r="F18" s="14">
        <v>2.0</v>
      </c>
      <c r="G18" s="14">
        <v>4.0</v>
      </c>
      <c r="H18" s="14">
        <v>2.0</v>
      </c>
      <c r="I18" s="14">
        <v>2.0</v>
      </c>
      <c r="J18" s="14">
        <v>5.0</v>
      </c>
      <c r="K18" s="85">
        <v>5.0</v>
      </c>
      <c r="L18" s="14">
        <v>1.0</v>
      </c>
      <c r="M18" s="14">
        <v>2.0</v>
      </c>
      <c r="N18" s="14">
        <f t="shared" si="1"/>
        <v>10</v>
      </c>
      <c r="O18" s="22">
        <f t="shared" si="5"/>
        <v>10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ht="12.75" customHeight="1">
      <c r="A19" s="72">
        <v>14.0</v>
      </c>
      <c r="B19" s="74" t="s">
        <v>93</v>
      </c>
      <c r="C19" s="76" t="s">
        <v>94</v>
      </c>
      <c r="D19" s="76" t="s">
        <v>95</v>
      </c>
      <c r="E19" s="78" t="s">
        <v>25</v>
      </c>
      <c r="F19" s="78">
        <v>1.0</v>
      </c>
      <c r="G19" s="78">
        <v>1.0</v>
      </c>
      <c r="H19" s="78">
        <v>1.0</v>
      </c>
      <c r="I19" s="78">
        <v>1.0</v>
      </c>
      <c r="J19" s="78">
        <v>1.0</v>
      </c>
      <c r="K19" s="79">
        <f>round(average(F19:J19))</f>
        <v>1</v>
      </c>
      <c r="L19" s="78">
        <v>2.0</v>
      </c>
      <c r="M19" s="78">
        <v>2.0</v>
      </c>
      <c r="N19" s="78">
        <f t="shared" si="1"/>
        <v>2</v>
      </c>
      <c r="O19" s="81">
        <f t="shared" si="5"/>
        <v>2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ht="12.75" customHeight="1">
      <c r="A20" s="89">
        <v>15.0</v>
      </c>
      <c r="B20" s="64" t="s">
        <v>97</v>
      </c>
      <c r="C20" s="66" t="s">
        <v>98</v>
      </c>
      <c r="D20" s="66" t="s">
        <v>99</v>
      </c>
      <c r="E20" s="25" t="s">
        <v>25</v>
      </c>
      <c r="F20" s="25">
        <v>1.0</v>
      </c>
      <c r="G20" s="25">
        <v>1.0</v>
      </c>
      <c r="H20" s="25">
        <v>1.0</v>
      </c>
      <c r="I20" s="25">
        <v>1.0</v>
      </c>
      <c r="J20" s="25">
        <v>1.0</v>
      </c>
      <c r="K20" s="62">
        <v>2.0</v>
      </c>
      <c r="L20" s="25">
        <v>3.0</v>
      </c>
      <c r="M20" s="25">
        <v>2.0</v>
      </c>
      <c r="N20" s="24">
        <f t="shared" si="1"/>
        <v>4</v>
      </c>
      <c r="O20" s="90">
        <f t="shared" si="5"/>
        <v>4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ht="12.75" customHeight="1">
      <c r="A21" s="25">
        <v>16.0</v>
      </c>
      <c r="B21" s="64" t="s">
        <v>100</v>
      </c>
      <c r="C21" s="66" t="s">
        <v>101</v>
      </c>
      <c r="D21" s="66" t="s">
        <v>102</v>
      </c>
      <c r="E21" s="24" t="s">
        <v>25</v>
      </c>
      <c r="F21" s="24">
        <v>1.0</v>
      </c>
      <c r="G21" s="24">
        <v>1.0</v>
      </c>
      <c r="H21" s="24">
        <v>1.0</v>
      </c>
      <c r="I21" s="24">
        <v>1.0</v>
      </c>
      <c r="J21" s="24">
        <v>1.0</v>
      </c>
      <c r="K21" s="70">
        <f>round(average(F21:J21))</f>
        <v>1</v>
      </c>
      <c r="L21" s="24">
        <v>2.0</v>
      </c>
      <c r="M21" s="25">
        <v>1.0</v>
      </c>
      <c r="N21" s="24">
        <f t="shared" si="1"/>
        <v>1</v>
      </c>
      <c r="O21" s="90">
        <f t="shared" si="5"/>
        <v>1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ht="12.75" customHeight="1">
      <c r="A22" s="91">
        <v>17.0</v>
      </c>
      <c r="B22" s="92" t="s">
        <v>103</v>
      </c>
      <c r="C22" s="92" t="s">
        <v>104</v>
      </c>
      <c r="D22" s="93" t="s">
        <v>105</v>
      </c>
      <c r="E22" s="92" t="s">
        <v>25</v>
      </c>
      <c r="F22" s="92">
        <v>1.0</v>
      </c>
      <c r="G22" s="92">
        <v>1.0</v>
      </c>
      <c r="H22" s="92">
        <v>1.0</v>
      </c>
      <c r="I22" s="92">
        <v>1.0</v>
      </c>
      <c r="J22" s="92">
        <v>1.0</v>
      </c>
      <c r="K22" s="92">
        <v>4.0</v>
      </c>
      <c r="L22" s="94">
        <v>4.0</v>
      </c>
      <c r="M22" s="92">
        <v>7.0</v>
      </c>
      <c r="N22" s="14">
        <f t="shared" si="1"/>
        <v>28</v>
      </c>
      <c r="O22" s="22">
        <f t="shared" si="5"/>
        <v>28</v>
      </c>
      <c r="P22" s="95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ht="12.75" customHeight="1">
      <c r="A23" s="91">
        <v>18.0</v>
      </c>
      <c r="B23" s="92" t="s">
        <v>106</v>
      </c>
      <c r="C23" s="92" t="s">
        <v>107</v>
      </c>
      <c r="D23" s="93" t="s">
        <v>108</v>
      </c>
      <c r="E23" s="92" t="s">
        <v>25</v>
      </c>
      <c r="F23" s="92">
        <v>1.0</v>
      </c>
      <c r="G23" s="92">
        <v>1.0</v>
      </c>
      <c r="H23" s="92">
        <v>1.0</v>
      </c>
      <c r="I23" s="92">
        <v>1.0</v>
      </c>
      <c r="J23" s="92">
        <v>1.0</v>
      </c>
      <c r="K23" s="92">
        <v>1.0</v>
      </c>
      <c r="L23" s="94">
        <v>4.0</v>
      </c>
      <c r="M23" s="92">
        <v>1.0</v>
      </c>
      <c r="N23" s="14">
        <f t="shared" si="1"/>
        <v>1</v>
      </c>
      <c r="O23" s="22">
        <f t="shared" si="5"/>
        <v>1</v>
      </c>
      <c r="P23" s="97" t="s">
        <v>109</v>
      </c>
      <c r="Q23" s="98" t="s">
        <v>111</v>
      </c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ht="12.75" customHeight="1">
      <c r="A24" s="95"/>
      <c r="B24" s="95"/>
      <c r="C24" s="95"/>
      <c r="D24" s="95"/>
      <c r="E24" s="95"/>
      <c r="F24" s="95"/>
      <c r="G24" s="95"/>
      <c r="H24" s="95"/>
      <c r="I24" s="95"/>
      <c r="J24" s="95"/>
      <c r="K24" s="97"/>
      <c r="L24" s="99"/>
      <c r="M24" s="97"/>
      <c r="N24" s="97">
        <f t="shared" ref="N24:O24" si="7">SUM(N6:N23)</f>
        <v>276</v>
      </c>
      <c r="O24" s="100">
        <f t="shared" si="7"/>
        <v>212</v>
      </c>
      <c r="P24" s="101">
        <f>O24/N24</f>
        <v>0.768115942</v>
      </c>
      <c r="Q24" s="98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ht="12.75" customHeight="1">
      <c r="A25" s="2"/>
      <c r="B25" s="3"/>
      <c r="C25" s="2"/>
      <c r="D25" s="2"/>
      <c r="E25" s="2"/>
      <c r="F25" s="2"/>
      <c r="G25" s="2"/>
      <c r="H25" s="2"/>
      <c r="I25" s="2"/>
      <c r="L25" s="5"/>
      <c r="M25" s="2"/>
      <c r="O25" s="98"/>
      <c r="P25" s="98"/>
      <c r="Q25" s="98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ht="12.75" customHeight="1">
      <c r="A26" s="2"/>
      <c r="B26" s="3"/>
      <c r="C26" s="2"/>
      <c r="D26" s="2"/>
      <c r="E26" s="2"/>
      <c r="F26" s="2"/>
      <c r="G26" s="2"/>
      <c r="H26" s="2"/>
      <c r="I26" s="2"/>
      <c r="L26" s="5"/>
      <c r="M26" s="2"/>
      <c r="O26" s="98"/>
      <c r="P26" s="98"/>
      <c r="Q26" s="98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ht="12.75" customHeight="1">
      <c r="A27" s="2"/>
      <c r="B27" s="102" t="s">
        <v>112</v>
      </c>
      <c r="C27" s="2"/>
      <c r="D27" s="2"/>
      <c r="E27" s="2"/>
      <c r="F27" s="2"/>
      <c r="G27" s="2"/>
      <c r="H27" s="2"/>
      <c r="I27" s="2"/>
      <c r="L27" s="5"/>
      <c r="M27" s="2"/>
      <c r="N27" s="2"/>
      <c r="O27" s="6"/>
      <c r="P27" s="3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ht="38.25" customHeight="1">
      <c r="A28" s="2"/>
      <c r="B28" s="103" t="s">
        <v>113</v>
      </c>
      <c r="C28" s="104" t="s">
        <v>114</v>
      </c>
      <c r="D28" s="105"/>
      <c r="E28" s="105"/>
      <c r="F28" s="105"/>
      <c r="G28" s="105"/>
      <c r="H28" s="105"/>
      <c r="I28" s="105"/>
      <c r="J28" s="106" t="s">
        <v>115</v>
      </c>
      <c r="K28" s="2"/>
      <c r="L28" s="104" t="s">
        <v>18</v>
      </c>
      <c r="M28" s="106" t="s">
        <v>116</v>
      </c>
      <c r="N28" s="106" t="s">
        <v>117</v>
      </c>
      <c r="O28" s="106" t="s">
        <v>118</v>
      </c>
      <c r="P28" s="106" t="s">
        <v>119</v>
      </c>
      <c r="Q28" s="106" t="s">
        <v>120</v>
      </c>
      <c r="S28" s="6"/>
      <c r="T28" s="6"/>
      <c r="U28" s="6"/>
      <c r="V28" s="6"/>
      <c r="W28" s="6"/>
      <c r="X28" s="6"/>
      <c r="Y28" s="6"/>
      <c r="Z28" s="6"/>
    </row>
    <row r="29" ht="12.75" customHeight="1">
      <c r="A29" s="2"/>
      <c r="B29" s="107" t="s">
        <v>121</v>
      </c>
      <c r="C29" s="108" t="s">
        <v>122</v>
      </c>
      <c r="D29" s="47"/>
      <c r="E29" s="108"/>
      <c r="F29" s="108"/>
      <c r="G29" s="108"/>
      <c r="H29" s="108"/>
      <c r="I29" s="108"/>
      <c r="J29" s="47">
        <v>5.0</v>
      </c>
      <c r="K29" s="2"/>
      <c r="L29" s="109">
        <v>1.0</v>
      </c>
      <c r="M29" s="107">
        <v>1.0</v>
      </c>
      <c r="N29" s="107">
        <v>4.0</v>
      </c>
      <c r="O29" s="110">
        <f t="shared" ref="O29:O31" si="8">N29/6</f>
        <v>0.6666666667</v>
      </c>
      <c r="P29" s="112">
        <f t="shared" ref="P29:P31" si="9">O29*3</f>
        <v>2</v>
      </c>
      <c r="Q29" s="32">
        <f t="shared" ref="Q29:Q31" si="10">P29*5</f>
        <v>10</v>
      </c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2"/>
      <c r="B30" s="107" t="s">
        <v>129</v>
      </c>
      <c r="C30" s="108" t="s">
        <v>130</v>
      </c>
      <c r="D30" s="32"/>
      <c r="E30" s="108"/>
      <c r="F30" s="108"/>
      <c r="G30" s="108"/>
      <c r="H30" s="108"/>
      <c r="I30" s="108"/>
      <c r="J30" s="47">
        <v>5.0</v>
      </c>
      <c r="K30" s="2"/>
      <c r="L30" s="36"/>
      <c r="M30" s="113">
        <v>13.0</v>
      </c>
      <c r="N30" s="107">
        <v>5.0</v>
      </c>
      <c r="O30" s="110">
        <f t="shared" si="8"/>
        <v>0.8333333333</v>
      </c>
      <c r="P30" s="112">
        <f t="shared" si="9"/>
        <v>2.5</v>
      </c>
      <c r="Q30" s="32">
        <f t="shared" si="10"/>
        <v>12.5</v>
      </c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6"/>
      <c r="B31" s="107" t="s">
        <v>132</v>
      </c>
      <c r="C31" s="108" t="s">
        <v>130</v>
      </c>
      <c r="D31" s="32"/>
      <c r="E31" s="108"/>
      <c r="F31" s="108"/>
      <c r="G31" s="108"/>
      <c r="H31" s="108"/>
      <c r="I31" s="108"/>
      <c r="J31" s="47">
        <v>5.0</v>
      </c>
      <c r="K31" s="6"/>
      <c r="L31" s="36"/>
      <c r="M31" s="107">
        <v>2.0</v>
      </c>
      <c r="N31" s="107">
        <v>4.0</v>
      </c>
      <c r="O31" s="110">
        <f t="shared" si="8"/>
        <v>0.6666666667</v>
      </c>
      <c r="P31" s="112">
        <f t="shared" si="9"/>
        <v>2</v>
      </c>
      <c r="Q31" s="32">
        <f t="shared" si="10"/>
        <v>10</v>
      </c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6"/>
      <c r="B32" s="107" t="s">
        <v>133</v>
      </c>
      <c r="C32" s="108" t="s">
        <v>130</v>
      </c>
      <c r="D32" s="32"/>
      <c r="E32" s="108"/>
      <c r="F32" s="108"/>
      <c r="G32" s="108"/>
      <c r="H32" s="108"/>
      <c r="I32" s="108"/>
      <c r="J32" s="47">
        <v>5.0</v>
      </c>
      <c r="K32" s="6"/>
      <c r="L32" s="36"/>
      <c r="M32" s="115"/>
      <c r="N32" s="3"/>
      <c r="O32" s="116"/>
      <c r="P32" s="117"/>
      <c r="Q32" s="118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6"/>
      <c r="B33" s="107" t="s">
        <v>137</v>
      </c>
      <c r="C33" s="108" t="s">
        <v>130</v>
      </c>
      <c r="D33" s="32"/>
      <c r="E33" s="108"/>
      <c r="F33" s="108"/>
      <c r="G33" s="108"/>
      <c r="H33" s="108"/>
      <c r="I33" s="108"/>
      <c r="J33" s="47">
        <v>5.0</v>
      </c>
      <c r="K33" s="6"/>
      <c r="L33" s="38"/>
      <c r="M33" s="119" t="s">
        <v>51</v>
      </c>
      <c r="N33" s="121">
        <f>SUM(N29:N32)</f>
        <v>13</v>
      </c>
      <c r="O33" s="123">
        <f t="shared" ref="O33:P33" si="11">sum(O29:O32)</f>
        <v>2.166666667</v>
      </c>
      <c r="P33" s="124">
        <f t="shared" si="11"/>
        <v>6.5</v>
      </c>
      <c r="Q33" s="121">
        <f>SUM(Q29:Q32)</f>
        <v>32.5</v>
      </c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6"/>
      <c r="B34" s="3"/>
      <c r="C34" s="126"/>
      <c r="D34" s="126"/>
      <c r="E34" s="127" t="s">
        <v>20</v>
      </c>
      <c r="F34" s="127"/>
      <c r="G34" s="127"/>
      <c r="H34" s="127"/>
      <c r="I34" s="127"/>
      <c r="J34" s="127"/>
      <c r="K34" s="127"/>
      <c r="M34" s="6"/>
      <c r="N34" s="6"/>
      <c r="O34" s="6"/>
      <c r="P34" s="3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ht="12.75" customHeight="1">
      <c r="A35" s="6"/>
      <c r="B35" s="3"/>
      <c r="C35" s="2"/>
      <c r="D35" s="2"/>
      <c r="E35" s="2"/>
      <c r="F35" s="2"/>
      <c r="G35" s="2"/>
      <c r="H35" s="2"/>
      <c r="I35" s="2"/>
      <c r="J35" s="2"/>
      <c r="K35" s="2"/>
      <c r="L35" s="104" t="s">
        <v>18</v>
      </c>
      <c r="M35" s="106" t="s">
        <v>116</v>
      </c>
      <c r="N35" s="106" t="s">
        <v>117</v>
      </c>
      <c r="O35" s="106" t="s">
        <v>118</v>
      </c>
      <c r="P35" s="106" t="s">
        <v>119</v>
      </c>
      <c r="Q35" s="106" t="s">
        <v>120</v>
      </c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ht="12.75" customHeight="1">
      <c r="A36" s="2"/>
      <c r="B36" s="3"/>
      <c r="C36" s="2"/>
      <c r="D36" s="2"/>
      <c r="E36" s="2"/>
      <c r="F36" s="2"/>
      <c r="G36" s="2"/>
      <c r="H36" s="2"/>
      <c r="I36" s="2"/>
      <c r="J36" s="2"/>
      <c r="K36" s="2"/>
      <c r="L36" s="109">
        <v>2.0</v>
      </c>
      <c r="M36" s="113">
        <v>12.0</v>
      </c>
      <c r="N36" s="107">
        <v>5.0</v>
      </c>
      <c r="O36" s="110">
        <f t="shared" ref="O36:O37" si="12">N36/6</f>
        <v>0.8333333333</v>
      </c>
      <c r="P36" s="112">
        <f t="shared" ref="P36:P37" si="13">O36*3</f>
        <v>2.5</v>
      </c>
      <c r="Q36" s="32">
        <f t="shared" ref="Q36:Q37" si="14">P36*5</f>
        <v>12.5</v>
      </c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ht="12.75" customHeight="1">
      <c r="A37" s="2"/>
      <c r="B37" s="3"/>
      <c r="C37" s="2"/>
      <c r="D37" s="2"/>
      <c r="E37" s="2"/>
      <c r="F37" s="2"/>
      <c r="K37" s="2"/>
      <c r="L37" s="36"/>
      <c r="M37" s="113">
        <v>14.0</v>
      </c>
      <c r="N37" s="107">
        <v>1.0</v>
      </c>
      <c r="O37" s="110">
        <f t="shared" si="12"/>
        <v>0.1666666667</v>
      </c>
      <c r="P37" s="112">
        <f t="shared" si="13"/>
        <v>0.5</v>
      </c>
      <c r="Q37" s="32">
        <f t="shared" si="14"/>
        <v>2.5</v>
      </c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ht="12.75" customHeight="1">
      <c r="A38" s="2"/>
      <c r="C38" s="2"/>
      <c r="D38" s="2"/>
      <c r="K38" s="2"/>
      <c r="L38" s="3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ht="12.75" customHeight="1">
      <c r="A39" s="2"/>
      <c r="B39" s="3"/>
      <c r="C39" s="2"/>
      <c r="D39" s="2"/>
      <c r="K39" s="2"/>
      <c r="L39" s="36"/>
      <c r="M39" s="115"/>
      <c r="N39" s="3"/>
      <c r="O39" s="116"/>
      <c r="P39" s="117"/>
      <c r="Q39" s="118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ht="12.75" customHeight="1">
      <c r="A40" s="2"/>
      <c r="B40" s="3"/>
      <c r="C40" s="2"/>
      <c r="D40" s="2"/>
      <c r="G40" s="2"/>
      <c r="H40" s="2"/>
      <c r="I40" s="2"/>
      <c r="J40" s="2"/>
      <c r="K40" s="2"/>
      <c r="L40" s="38"/>
      <c r="M40" s="119" t="s">
        <v>51</v>
      </c>
      <c r="N40" s="121">
        <f>SUM(N36:N39)</f>
        <v>6</v>
      </c>
      <c r="O40" s="123">
        <f t="shared" ref="O40:P40" si="15">sum(O31:O39)</f>
        <v>3.833333333</v>
      </c>
      <c r="P40" s="124">
        <f t="shared" si="15"/>
        <v>11.5</v>
      </c>
      <c r="Q40" s="121">
        <f>SUM(Q31:Q39)</f>
        <v>57.5</v>
      </c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ht="12.75" customHeight="1">
      <c r="A41" s="2"/>
      <c r="B41" s="3"/>
      <c r="C41" s="2"/>
      <c r="D41" s="2"/>
      <c r="E41" s="2"/>
      <c r="F41" s="2"/>
      <c r="G41" s="2"/>
      <c r="H41" s="2"/>
      <c r="I41" s="2"/>
      <c r="J41" s="2"/>
      <c r="K41" s="2"/>
      <c r="L41" s="5"/>
      <c r="M41" s="2"/>
      <c r="N41" s="2"/>
      <c r="O41" s="6"/>
      <c r="Q41" s="3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ht="12.75" customHeight="1">
      <c r="A42" s="2"/>
      <c r="B42" s="6"/>
      <c r="C42" s="6"/>
      <c r="D42" s="6"/>
      <c r="E42" s="6"/>
      <c r="F42" s="6"/>
      <c r="G42" s="2"/>
      <c r="H42" s="2"/>
      <c r="I42" s="2"/>
      <c r="J42" s="2"/>
      <c r="K42" s="6"/>
      <c r="L42" s="104" t="s">
        <v>18</v>
      </c>
      <c r="M42" s="106" t="s">
        <v>116</v>
      </c>
      <c r="N42" s="106" t="s">
        <v>117</v>
      </c>
      <c r="O42" s="106" t="s">
        <v>118</v>
      </c>
      <c r="P42" s="106" t="s">
        <v>119</v>
      </c>
      <c r="Q42" s="106" t="s">
        <v>120</v>
      </c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ht="12.75" customHeight="1">
      <c r="A43" s="2"/>
      <c r="B43" s="3"/>
      <c r="C43" s="2"/>
      <c r="D43" s="2"/>
      <c r="E43" s="2"/>
      <c r="F43" s="2"/>
      <c r="K43" s="2"/>
      <c r="L43" s="109">
        <v>3.0</v>
      </c>
      <c r="M43" s="107">
        <v>3.0</v>
      </c>
      <c r="N43" s="107">
        <v>4.0</v>
      </c>
      <c r="O43" s="128">
        <f t="shared" ref="O43:O48" si="16">N43/6</f>
        <v>0.6666666667</v>
      </c>
      <c r="P43" s="112">
        <f t="shared" ref="P43:P48" si="17">O43*3</f>
        <v>2</v>
      </c>
      <c r="Q43" s="32">
        <f t="shared" ref="Q43:Q48" si="18">P43*5</f>
        <v>10</v>
      </c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ht="12.75" customHeight="1">
      <c r="A44" s="6"/>
      <c r="B44" s="3"/>
      <c r="C44" s="2"/>
      <c r="D44" s="2"/>
      <c r="E44" s="2"/>
      <c r="F44" s="2"/>
      <c r="K44" s="2"/>
      <c r="L44" s="36"/>
      <c r="M44" s="107">
        <v>4.0</v>
      </c>
      <c r="N44" s="107">
        <v>3.0</v>
      </c>
      <c r="O44" s="128">
        <f t="shared" si="16"/>
        <v>0.5</v>
      </c>
      <c r="P44" s="112">
        <f t="shared" si="17"/>
        <v>1.5</v>
      </c>
      <c r="Q44" s="32">
        <f t="shared" si="18"/>
        <v>7.5</v>
      </c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ht="12.75" customHeight="1">
      <c r="A45" s="2"/>
      <c r="B45" s="3"/>
      <c r="C45" s="2"/>
      <c r="D45" s="2"/>
      <c r="E45" s="2"/>
      <c r="F45" s="2"/>
      <c r="K45" s="2"/>
      <c r="L45" s="36"/>
      <c r="M45" s="107">
        <v>10.0</v>
      </c>
      <c r="N45" s="107">
        <v>3.0</v>
      </c>
      <c r="O45" s="128">
        <f t="shared" si="16"/>
        <v>0.5</v>
      </c>
      <c r="P45" s="112">
        <f t="shared" si="17"/>
        <v>1.5</v>
      </c>
      <c r="Q45" s="32">
        <f t="shared" si="18"/>
        <v>7.5</v>
      </c>
      <c r="R45" s="130"/>
      <c r="S45" s="6"/>
      <c r="T45" s="6"/>
      <c r="U45" s="6"/>
      <c r="V45" s="6"/>
      <c r="W45" s="6"/>
      <c r="X45" s="6"/>
      <c r="Y45" s="6"/>
      <c r="Z45" s="6"/>
      <c r="AA45" s="6"/>
    </row>
    <row r="46" ht="12.75" customHeight="1">
      <c r="A46" s="2"/>
      <c r="B46" s="3"/>
      <c r="C46" s="2"/>
      <c r="D46" s="2"/>
      <c r="E46" s="2"/>
      <c r="F46" s="2"/>
      <c r="G46" s="2"/>
      <c r="H46" s="2"/>
      <c r="I46" s="2"/>
      <c r="J46" s="2"/>
      <c r="K46" s="2"/>
      <c r="L46" s="36"/>
      <c r="M46" s="113">
        <v>11.0</v>
      </c>
      <c r="N46" s="113">
        <v>3.0</v>
      </c>
      <c r="O46" s="128">
        <f t="shared" si="16"/>
        <v>0.5</v>
      </c>
      <c r="P46" s="112">
        <f t="shared" si="17"/>
        <v>1.5</v>
      </c>
      <c r="Q46" s="32">
        <f t="shared" si="18"/>
        <v>7.5</v>
      </c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ht="12.75" customHeight="1">
      <c r="A47" s="2"/>
      <c r="B47" s="3"/>
      <c r="C47" s="2"/>
      <c r="D47" s="2"/>
      <c r="E47" s="2"/>
      <c r="F47" s="2"/>
      <c r="G47" s="6"/>
      <c r="H47" s="6"/>
      <c r="I47" s="6"/>
      <c r="J47" s="6"/>
      <c r="K47" s="2"/>
      <c r="L47" s="36"/>
      <c r="M47" s="131">
        <v>15.0</v>
      </c>
      <c r="N47" s="132">
        <v>2.0</v>
      </c>
      <c r="O47" s="128">
        <f t="shared" si="16"/>
        <v>0.3333333333</v>
      </c>
      <c r="P47" s="112">
        <f t="shared" si="17"/>
        <v>1</v>
      </c>
      <c r="Q47" s="32">
        <f t="shared" si="18"/>
        <v>5</v>
      </c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ht="12.75" customHeight="1">
      <c r="A48" s="2"/>
      <c r="B48" s="3"/>
      <c r="C48" s="2"/>
      <c r="D48" s="2"/>
      <c r="E48" s="2"/>
      <c r="F48" s="2"/>
      <c r="G48" s="2"/>
      <c r="H48" s="2"/>
      <c r="I48" s="2"/>
      <c r="J48" s="2"/>
      <c r="K48" s="2"/>
      <c r="L48" s="36"/>
      <c r="M48" s="131">
        <v>16.0</v>
      </c>
      <c r="N48" s="132">
        <v>1.0</v>
      </c>
      <c r="O48" s="128">
        <f t="shared" si="16"/>
        <v>0.1666666667</v>
      </c>
      <c r="P48" s="112">
        <f t="shared" si="17"/>
        <v>0.5</v>
      </c>
      <c r="Q48" s="32">
        <f t="shared" si="18"/>
        <v>2.5</v>
      </c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ht="12.75" customHeight="1">
      <c r="A49" s="2"/>
      <c r="B49" s="3"/>
      <c r="C49" s="2"/>
      <c r="D49" s="2"/>
      <c r="E49" s="2"/>
      <c r="F49" s="2"/>
      <c r="G49" s="2"/>
      <c r="H49" s="2"/>
      <c r="I49" s="2"/>
      <c r="J49" s="2"/>
      <c r="K49" s="2"/>
      <c r="L49" s="38"/>
      <c r="M49" s="119" t="s">
        <v>51</v>
      </c>
      <c r="N49" s="121">
        <f>SUM(N43:N48)</f>
        <v>16</v>
      </c>
      <c r="O49" s="123">
        <f t="shared" ref="O49:P49" si="19">sum(O43:O48)</f>
        <v>2.666666667</v>
      </c>
      <c r="P49" s="124">
        <f t="shared" si="19"/>
        <v>8</v>
      </c>
      <c r="Q49" s="121">
        <f>SUM(Q43:Q48)</f>
        <v>40</v>
      </c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ht="12.75" customHeight="1">
      <c r="A50" s="2"/>
      <c r="B50" s="6"/>
      <c r="C50" s="6"/>
      <c r="D50" s="6"/>
      <c r="E50" s="6"/>
      <c r="F50" s="6"/>
      <c r="G50" s="6"/>
      <c r="H50" s="6"/>
      <c r="I50" s="6"/>
      <c r="J50" s="6"/>
      <c r="K50" s="6"/>
      <c r="L50" s="133"/>
      <c r="M50" s="2"/>
      <c r="N50" s="2"/>
      <c r="O50" s="6"/>
      <c r="Q50" s="3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ht="12.75" customHeight="1">
      <c r="A51" s="2"/>
      <c r="B51" s="3"/>
      <c r="C51" s="2"/>
      <c r="D51" s="2"/>
      <c r="E51" s="2"/>
      <c r="F51" s="2"/>
      <c r="G51" s="2"/>
      <c r="H51" s="2"/>
      <c r="I51" s="2"/>
      <c r="J51" s="2"/>
      <c r="K51" s="2"/>
      <c r="L51" s="104" t="s">
        <v>18</v>
      </c>
      <c r="M51" s="106" t="s">
        <v>116</v>
      </c>
      <c r="N51" s="106" t="s">
        <v>117</v>
      </c>
      <c r="O51" s="106" t="s">
        <v>118</v>
      </c>
      <c r="P51" s="106" t="s">
        <v>119</v>
      </c>
      <c r="Q51" s="106" t="s">
        <v>120</v>
      </c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ht="12.75" customHeight="1">
      <c r="A52" s="6"/>
      <c r="B52" s="3"/>
      <c r="C52" s="2"/>
      <c r="D52" s="2"/>
      <c r="E52" s="2"/>
      <c r="F52" s="2"/>
      <c r="G52" s="2"/>
      <c r="H52" s="2"/>
      <c r="I52" s="2"/>
      <c r="J52" s="2"/>
      <c r="K52" s="2"/>
      <c r="L52" s="109">
        <v>4.0</v>
      </c>
      <c r="M52" s="107">
        <v>5.0</v>
      </c>
      <c r="N52" s="107">
        <v>4.0</v>
      </c>
      <c r="O52" s="110">
        <f t="shared" ref="O52:O53" si="20">N52/6</f>
        <v>0.6666666667</v>
      </c>
      <c r="P52" s="112">
        <f t="shared" ref="P52:P53" si="21">O52*3</f>
        <v>2</v>
      </c>
      <c r="Q52" s="32">
        <f t="shared" ref="Q52:Q53" si="22">P52*5</f>
        <v>10</v>
      </c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ht="12.75" customHeight="1">
      <c r="A53" s="2"/>
      <c r="B53" s="3"/>
      <c r="C53" s="2"/>
      <c r="D53" s="2"/>
      <c r="E53" s="2"/>
      <c r="F53" s="2"/>
      <c r="G53" s="2"/>
      <c r="H53" s="2"/>
      <c r="I53" s="2"/>
      <c r="J53" s="2"/>
      <c r="K53" s="2"/>
      <c r="L53" s="36"/>
      <c r="M53" s="107">
        <v>6.0</v>
      </c>
      <c r="N53" s="107">
        <v>4.0</v>
      </c>
      <c r="O53" s="110">
        <f t="shared" si="20"/>
        <v>0.6666666667</v>
      </c>
      <c r="P53" s="112">
        <f t="shared" si="21"/>
        <v>2</v>
      </c>
      <c r="Q53" s="32">
        <f t="shared" si="22"/>
        <v>10</v>
      </c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ht="12.75" customHeight="1">
      <c r="A54" s="2"/>
      <c r="B54" s="3"/>
      <c r="C54" s="2"/>
      <c r="D54" s="2"/>
      <c r="E54" s="2"/>
      <c r="F54" s="2"/>
      <c r="G54" s="2"/>
      <c r="H54" s="2"/>
      <c r="I54" s="2"/>
      <c r="J54" s="2"/>
      <c r="K54" s="2"/>
      <c r="L54" s="36"/>
      <c r="M54" s="115"/>
      <c r="N54" s="3"/>
      <c r="O54" s="116"/>
      <c r="P54" s="117"/>
      <c r="Q54" s="118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ht="12.75" customHeight="1">
      <c r="A55" s="2"/>
      <c r="B55" s="3"/>
      <c r="C55" s="2"/>
      <c r="D55" s="2"/>
      <c r="E55" s="2"/>
      <c r="F55" s="2"/>
      <c r="G55" s="2"/>
      <c r="H55" s="2"/>
      <c r="I55" s="2"/>
      <c r="J55" s="2"/>
      <c r="K55" s="2"/>
      <c r="L55" s="36"/>
      <c r="M55" s="115"/>
      <c r="N55" s="3"/>
      <c r="O55" s="116"/>
      <c r="P55" s="117"/>
      <c r="Q55" s="118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ht="12.75" customHeight="1">
      <c r="A56" s="2"/>
      <c r="B56" s="3"/>
      <c r="C56" s="2"/>
      <c r="D56" s="2"/>
      <c r="E56" s="2"/>
      <c r="F56" s="2"/>
      <c r="G56" s="2"/>
      <c r="H56" s="2"/>
      <c r="I56" s="2"/>
      <c r="J56" s="2"/>
      <c r="K56" s="2"/>
      <c r="L56" s="38"/>
      <c r="M56" s="119" t="s">
        <v>51</v>
      </c>
      <c r="N56" s="121">
        <f>SUM(N52:N55)</f>
        <v>8</v>
      </c>
      <c r="O56" s="123">
        <f t="shared" ref="O56:P56" si="23">sum(O52:O55)</f>
        <v>1.333333333</v>
      </c>
      <c r="P56" s="124">
        <f t="shared" si="23"/>
        <v>4</v>
      </c>
      <c r="Q56" s="121">
        <f>SUM(Q52:Q55)</f>
        <v>20</v>
      </c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ht="12.75" customHeight="1">
      <c r="A57" s="2"/>
      <c r="B57" s="3"/>
      <c r="C57" s="2"/>
      <c r="D57" s="2"/>
      <c r="E57" s="2"/>
      <c r="F57" s="2"/>
      <c r="G57" s="2"/>
      <c r="H57" s="2"/>
      <c r="I57" s="2"/>
      <c r="J57" s="2"/>
      <c r="K57" s="2"/>
      <c r="L57" s="5"/>
      <c r="M57" s="2"/>
      <c r="N57" s="2"/>
      <c r="O57" s="6"/>
      <c r="Q57" s="3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ht="12.75" customHeight="1">
      <c r="A58" s="2"/>
      <c r="B58" s="3"/>
      <c r="C58" s="2"/>
      <c r="D58" s="2"/>
      <c r="E58" s="2"/>
      <c r="F58" s="2"/>
      <c r="G58" s="2"/>
      <c r="H58" s="2"/>
      <c r="I58" s="2"/>
      <c r="J58" s="2"/>
      <c r="K58" s="2"/>
      <c r="L58" s="104" t="s">
        <v>18</v>
      </c>
      <c r="M58" s="106" t="s">
        <v>116</v>
      </c>
      <c r="N58" s="106" t="s">
        <v>117</v>
      </c>
      <c r="O58" s="106" t="s">
        <v>118</v>
      </c>
      <c r="P58" s="106" t="s">
        <v>119</v>
      </c>
      <c r="Q58" s="106" t="s">
        <v>120</v>
      </c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ht="12.75" customHeight="1">
      <c r="A59" s="2"/>
      <c r="B59" s="3"/>
      <c r="C59" s="2"/>
      <c r="D59" s="2"/>
      <c r="E59" s="2"/>
      <c r="F59" s="2"/>
      <c r="G59" s="2"/>
      <c r="H59" s="2"/>
      <c r="I59" s="2"/>
      <c r="J59" s="2"/>
      <c r="K59" s="2"/>
      <c r="L59" s="109">
        <v>5.0</v>
      </c>
      <c r="M59" s="107">
        <v>7.0</v>
      </c>
      <c r="N59" s="107">
        <v>4.0</v>
      </c>
      <c r="O59" s="110">
        <f t="shared" ref="O59:O61" si="24">N59/6</f>
        <v>0.6666666667</v>
      </c>
      <c r="P59" s="112">
        <f t="shared" ref="P59:P61" si="25">O59*3</f>
        <v>2</v>
      </c>
      <c r="Q59" s="32">
        <f t="shared" ref="Q59:Q61" si="26">P59*5</f>
        <v>10</v>
      </c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ht="12.75" customHeight="1">
      <c r="A60" s="2"/>
      <c r="B60" s="3"/>
      <c r="C60" s="2"/>
      <c r="D60" s="2"/>
      <c r="E60" s="2"/>
      <c r="F60" s="2"/>
      <c r="G60" s="2"/>
      <c r="H60" s="2"/>
      <c r="I60" s="2"/>
      <c r="J60" s="2"/>
      <c r="K60" s="2"/>
      <c r="L60" s="36"/>
      <c r="M60" s="107">
        <v>8.0</v>
      </c>
      <c r="N60" s="107">
        <v>4.0</v>
      </c>
      <c r="O60" s="110">
        <f t="shared" si="24"/>
        <v>0.6666666667</v>
      </c>
      <c r="P60" s="112">
        <f t="shared" si="25"/>
        <v>2</v>
      </c>
      <c r="Q60" s="32">
        <f t="shared" si="26"/>
        <v>10</v>
      </c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ht="12.75" customHeight="1">
      <c r="A61" s="2"/>
      <c r="B61" s="6"/>
      <c r="C61" s="6"/>
      <c r="D61" s="6"/>
      <c r="E61" s="6"/>
      <c r="F61" s="6"/>
      <c r="G61" s="6"/>
      <c r="H61" s="6"/>
      <c r="I61" s="6"/>
      <c r="J61" s="6"/>
      <c r="K61" s="6"/>
      <c r="L61" s="36"/>
      <c r="M61" s="107">
        <v>9.0</v>
      </c>
      <c r="N61" s="107">
        <v>8.0</v>
      </c>
      <c r="O61" s="110">
        <f t="shared" si="24"/>
        <v>1.333333333</v>
      </c>
      <c r="P61" s="112">
        <f t="shared" si="25"/>
        <v>4</v>
      </c>
      <c r="Q61" s="32">
        <f t="shared" si="26"/>
        <v>20</v>
      </c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ht="12.75" customHeight="1">
      <c r="A62" s="2"/>
      <c r="B62" s="3"/>
      <c r="C62" s="2"/>
      <c r="D62" s="2"/>
      <c r="E62" s="2"/>
      <c r="F62" s="2"/>
      <c r="G62" s="2"/>
      <c r="H62" s="2"/>
      <c r="I62" s="2"/>
      <c r="J62" s="2"/>
      <c r="K62" s="2"/>
      <c r="L62" s="36"/>
      <c r="M62" s="115"/>
      <c r="O62" s="136"/>
      <c r="P62" s="117"/>
      <c r="Q62" s="145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ht="12.75" customHeight="1">
      <c r="A63" s="6"/>
      <c r="B63" s="3"/>
      <c r="C63" s="2"/>
      <c r="D63" s="2"/>
      <c r="E63" s="2"/>
      <c r="F63" s="2"/>
      <c r="G63" s="2"/>
      <c r="H63" s="2"/>
      <c r="I63" s="2"/>
      <c r="J63" s="2"/>
      <c r="K63" s="2"/>
      <c r="L63" s="38"/>
      <c r="M63" s="119" t="s">
        <v>51</v>
      </c>
      <c r="N63" s="121">
        <f>SUM(N59:N62)</f>
        <v>16</v>
      </c>
      <c r="O63" s="123">
        <f t="shared" ref="O63:P63" si="27">sum(O59:O62)</f>
        <v>2.666666667</v>
      </c>
      <c r="P63" s="124">
        <f t="shared" si="27"/>
        <v>8</v>
      </c>
      <c r="Q63" s="121">
        <f>SUM(Q59:Q62)</f>
        <v>40</v>
      </c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ht="12.75" customHeight="1">
      <c r="A64" s="2"/>
      <c r="B64" s="3"/>
      <c r="C64" s="2"/>
      <c r="D64" s="2"/>
      <c r="E64" s="2"/>
      <c r="F64" s="2"/>
      <c r="G64" s="2"/>
      <c r="H64" s="2"/>
      <c r="I64" s="2"/>
      <c r="J64" s="2"/>
      <c r="K64" s="2"/>
      <c r="L64" s="5"/>
      <c r="M64" s="2"/>
      <c r="N64" s="2"/>
      <c r="O64" s="6"/>
      <c r="P64" s="3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ht="12.75" customHeight="1">
      <c r="A65" s="2"/>
      <c r="B65" s="3"/>
      <c r="C65" s="2"/>
      <c r="D65" s="2"/>
      <c r="E65" s="2"/>
      <c r="F65" s="2"/>
      <c r="G65" s="2"/>
      <c r="H65" s="2"/>
      <c r="I65" s="2"/>
      <c r="J65" s="2"/>
      <c r="K65" s="2"/>
      <c r="L65" s="5"/>
      <c r="M65" s="2"/>
      <c r="N65" s="2"/>
      <c r="O65" s="6"/>
      <c r="P65" s="3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ht="12.75" customHeight="1">
      <c r="A66" s="2"/>
      <c r="B66" s="3"/>
      <c r="C66" s="2"/>
      <c r="D66" s="2"/>
      <c r="E66" s="2"/>
      <c r="F66" s="2"/>
      <c r="G66" s="2"/>
      <c r="H66" s="2"/>
      <c r="I66" s="2"/>
      <c r="J66" s="2"/>
      <c r="K66" s="2"/>
      <c r="L66" s="5"/>
      <c r="M66" s="2"/>
      <c r="N66" s="2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ht="12.75" customHeight="1">
      <c r="A67" s="2"/>
      <c r="B67" s="3"/>
      <c r="C67" s="2"/>
      <c r="D67" s="2"/>
      <c r="E67" s="2"/>
      <c r="F67" s="2"/>
      <c r="G67" s="2"/>
      <c r="H67" s="2"/>
      <c r="I67" s="2"/>
      <c r="J67" s="2"/>
      <c r="K67" s="2"/>
      <c r="L67" s="5"/>
      <c r="M67" s="2"/>
      <c r="N67" s="2"/>
      <c r="O67" s="6"/>
      <c r="P67" s="3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</sheetData>
  <mergeCells count="6">
    <mergeCell ref="A2:P2"/>
    <mergeCell ref="L29:L33"/>
    <mergeCell ref="L36:L40"/>
    <mergeCell ref="L52:L56"/>
    <mergeCell ref="L59:L63"/>
    <mergeCell ref="L43:L49"/>
  </mergeCells>
  <conditionalFormatting sqref="M36:N36">
    <cfRule type="expression" dxfId="2" priority="1">
      <formula>$E35="Removed"</formula>
    </cfRule>
  </conditionalFormatting>
  <conditionalFormatting sqref="M36:N36">
    <cfRule type="expression" dxfId="3" priority="2">
      <formula>$E35="Ongoing"</formula>
    </cfRule>
  </conditionalFormatting>
  <conditionalFormatting sqref="M36:N36">
    <cfRule type="expression" dxfId="4" priority="3">
      <formula>$E35="Done"</formula>
    </cfRule>
  </conditionalFormatting>
  <conditionalFormatting sqref="M36:M37">
    <cfRule type="expression" dxfId="4" priority="4">
      <formula>$C35="Done"</formula>
    </cfRule>
  </conditionalFormatting>
  <conditionalFormatting sqref="M36:M37">
    <cfRule type="expression" dxfId="3" priority="5">
      <formula>$C35="Ongoing"</formula>
    </cfRule>
  </conditionalFormatting>
  <conditionalFormatting sqref="M36:M37">
    <cfRule type="expression" dxfId="2" priority="6">
      <formula>$C35="Removed"</formula>
    </cfRule>
  </conditionalFormatting>
  <conditionalFormatting sqref="M31:N31">
    <cfRule type="expression" dxfId="2" priority="7">
      <formula>$E34="Removed"</formula>
    </cfRule>
  </conditionalFormatting>
  <conditionalFormatting sqref="M31:N31">
    <cfRule type="expression" dxfId="3" priority="8">
      <formula>$E34="Ongoing"</formula>
    </cfRule>
  </conditionalFormatting>
  <conditionalFormatting sqref="M31:N31">
    <cfRule type="expression" dxfId="4" priority="9">
      <formula>$E34="Done"</formula>
    </cfRule>
  </conditionalFormatting>
  <conditionalFormatting sqref="M31">
    <cfRule type="expression" dxfId="4" priority="10">
      <formula>$C35="Done"</formula>
    </cfRule>
  </conditionalFormatting>
  <conditionalFormatting sqref="M31">
    <cfRule type="expression" dxfId="3" priority="11">
      <formula>$C35="Ongoing"</formula>
    </cfRule>
  </conditionalFormatting>
  <conditionalFormatting sqref="M31">
    <cfRule type="expression" dxfId="2" priority="12">
      <formula>$C35="Removed"</formula>
    </cfRule>
  </conditionalFormatting>
  <conditionalFormatting sqref="P23:P26">
    <cfRule type="expression" dxfId="4" priority="13">
      <formula>$H38="Done"</formula>
    </cfRule>
  </conditionalFormatting>
  <conditionalFormatting sqref="P23:P26">
    <cfRule type="expression" dxfId="3" priority="14">
      <formula>$H38="Ongoing"</formula>
    </cfRule>
  </conditionalFormatting>
  <conditionalFormatting sqref="P23:P26">
    <cfRule type="expression" dxfId="2" priority="15">
      <formula>$H38="Removed"</formula>
    </cfRule>
  </conditionalFormatting>
  <conditionalFormatting sqref="P23:P26">
    <cfRule type="expression" dxfId="4" priority="16">
      <formula>$E23="Done"</formula>
    </cfRule>
  </conditionalFormatting>
  <conditionalFormatting sqref="P23:P26">
    <cfRule type="expression" dxfId="3" priority="17">
      <formula>$E23="Ongoing"</formula>
    </cfRule>
  </conditionalFormatting>
  <conditionalFormatting sqref="P23:P26">
    <cfRule type="expression" dxfId="2" priority="18">
      <formula>$E23="Removed"</formula>
    </cfRule>
  </conditionalFormatting>
  <conditionalFormatting sqref="O23:O26 Q23:Q26">
    <cfRule type="expression" dxfId="4" priority="19">
      <formula>$H38="Done"</formula>
    </cfRule>
  </conditionalFormatting>
  <conditionalFormatting sqref="O23:O26 Q23:Q26">
    <cfRule type="expression" dxfId="3" priority="20">
      <formula>$H38="Ongoing"</formula>
    </cfRule>
  </conditionalFormatting>
  <conditionalFormatting sqref="O23:O26 Q23:Q26">
    <cfRule type="expression" dxfId="2" priority="21">
      <formula>$H38="Removed"</formula>
    </cfRule>
  </conditionalFormatting>
  <conditionalFormatting sqref="M30 M44:M45 M53:M54 M60:M61">
    <cfRule type="expression" dxfId="2" priority="22">
      <formula>$C28="Removed"</formula>
    </cfRule>
  </conditionalFormatting>
  <conditionalFormatting sqref="M30 M44:M45 M53:M54 M60:M61">
    <cfRule type="expression" dxfId="3" priority="23">
      <formula>$C28="Ongoing"</formula>
    </cfRule>
  </conditionalFormatting>
  <conditionalFormatting sqref="M30 M44:M45 M53:M54 M60:M61">
    <cfRule type="expression" dxfId="4" priority="24">
      <formula>$C28="Done"</formula>
    </cfRule>
  </conditionalFormatting>
  <conditionalFormatting sqref="K29:K33 M29 M43 M52 M59">
    <cfRule type="expression" dxfId="2" priority="25">
      <formula>$C28="Removed"</formula>
    </cfRule>
  </conditionalFormatting>
  <conditionalFormatting sqref="K29:K33 M29 M43 M52 M59">
    <cfRule type="expression" dxfId="3" priority="26">
      <formula>$C28="Ongoing"</formula>
    </cfRule>
  </conditionalFormatting>
  <conditionalFormatting sqref="K29:K33 M29 M43 M52 M59">
    <cfRule type="expression" dxfId="4" priority="27">
      <formula>$C28="Done"</formula>
    </cfRule>
  </conditionalFormatting>
  <conditionalFormatting sqref="A5:A27 B5:B37 C5:K5 L5:L21 M5:M27 N5:O23 C7:D9 F7:K9 N27 B39:B52 C45:F47 K45:K47 C48:K60 L50:L60 B55:B60 B62:L1007">
    <cfRule type="expression" dxfId="4" priority="28">
      <formula>$E5="Done"</formula>
    </cfRule>
  </conditionalFormatting>
  <conditionalFormatting sqref="A5:A27 B5:B37 C5:K5 L5:L21 M5:M27 N5:O23 C7:D9 F7:K9 N27 B39:B52 C45:F47 K45:K47 C48:K60 L50:L60 B55:B60 B62:L1007">
    <cfRule type="expression" dxfId="3" priority="29">
      <formula>$E5="Ongoing"</formula>
    </cfRule>
  </conditionalFormatting>
  <conditionalFormatting sqref="A5:A27 B5:B37 C5:K5 L5:L21 M5:M27 N5:O23 C7:D9 F7:K9 N27 B39:B52 C45:F47 K45:K47 C48:K60 L50:L60 B55:B60 B62:L1007">
    <cfRule type="expression" dxfId="2" priority="30">
      <formula>$E5="Removed"</formula>
    </cfRule>
  </conditionalFormatting>
  <conditionalFormatting sqref="P66">
    <cfRule type="expression" dxfId="4" priority="31">
      <formula>$E51="Done"</formula>
    </cfRule>
  </conditionalFormatting>
  <conditionalFormatting sqref="P66">
    <cfRule type="expression" dxfId="3" priority="32">
      <formula>$E51="Ongoing"</formula>
    </cfRule>
  </conditionalFormatting>
  <conditionalFormatting sqref="P66">
    <cfRule type="expression" dxfId="2" priority="33">
      <formula>$E51="Removed"</formula>
    </cfRule>
  </conditionalFormatting>
  <conditionalFormatting sqref="A28 K28:L28 N28:Q28 L35 N35:Q35 L42 N42:Q42 L51 N51:Q51 L58 N58:Q58">
    <cfRule type="expression" dxfId="4" priority="34">
      <formula>#REF!="Done"</formula>
    </cfRule>
  </conditionalFormatting>
  <conditionalFormatting sqref="A28 K28:L28 N28:Q28 L35 N35:Q35 L42 N42:Q42 L51 N51:Q51 L58 N58:Q58">
    <cfRule type="expression" dxfId="3" priority="35">
      <formula>#REF!="Ongoing"</formula>
    </cfRule>
  </conditionalFormatting>
  <conditionalFormatting sqref="A28 K28:L28 N28:Q28 L35 N35:Q35 L42 N42:Q42 L51 N51:Q51 L58 N58:Q58">
    <cfRule type="expression" dxfId="2" priority="36">
      <formula>#REF!="Removed"</formula>
    </cfRule>
  </conditionalFormatting>
  <conditionalFormatting sqref="N5:O5">
    <cfRule type="expression" dxfId="4" priority="37">
      <formula>$E5="Done"</formula>
    </cfRule>
  </conditionalFormatting>
  <conditionalFormatting sqref="N5:O5">
    <cfRule type="expression" dxfId="3" priority="38">
      <formula>$E5="Ongoing"</formula>
    </cfRule>
  </conditionalFormatting>
  <conditionalFormatting sqref="N5:O5">
    <cfRule type="expression" dxfId="2" priority="39">
      <formula>$E5="Removed"</formula>
    </cfRule>
  </conditionalFormatting>
  <conditionalFormatting sqref="Q23:Q26 P27 A29:A34 M34:N34">
    <cfRule type="expression" dxfId="4" priority="40">
      <formula>$C14="Done"</formula>
    </cfRule>
  </conditionalFormatting>
  <conditionalFormatting sqref="Q23:Q26 P27 A29:A34 M34:N34">
    <cfRule type="expression" dxfId="3" priority="41">
      <formula>$C14="Ongoing"</formula>
    </cfRule>
  </conditionalFormatting>
  <conditionalFormatting sqref="Q23:Q26 P27 A29:A34 M34:N34">
    <cfRule type="expression" dxfId="2" priority="42">
      <formula>$C14="Removed"</formula>
    </cfRule>
  </conditionalFormatting>
  <conditionalFormatting sqref="M37:N37 A38 Q41">
    <cfRule type="expression" dxfId="4" priority="43">
      <formula>#REF!="Done"</formula>
    </cfRule>
  </conditionalFormatting>
  <conditionalFormatting sqref="M37:N37 A38 Q41">
    <cfRule type="expression" dxfId="3" priority="44">
      <formula>#REF!="Ongoing"</formula>
    </cfRule>
  </conditionalFormatting>
  <conditionalFormatting sqref="M37:N37 A38 Q41">
    <cfRule type="expression" dxfId="2" priority="45">
      <formula>#REF!="Removed"</formula>
    </cfRule>
  </conditionalFormatting>
  <conditionalFormatting sqref="A36:A37 A39:A62 M39:N54 M57:M62 N57:N61 M64:N1007">
    <cfRule type="expression" dxfId="4" priority="46">
      <formula>$E34="Done"</formula>
    </cfRule>
  </conditionalFormatting>
  <conditionalFormatting sqref="A36:A37 A39:A62 M39:N54 M57:M62 N57:N61 M64:N1007">
    <cfRule type="expression" dxfId="3" priority="47">
      <formula>$E34="Ongoing"</formula>
    </cfRule>
  </conditionalFormatting>
  <conditionalFormatting sqref="A36:A37 A39:A62 M39:N54 M57:M62 N57:N61 M64:N1007">
    <cfRule type="expression" dxfId="2" priority="48">
      <formula>$E34="Removed"</formula>
    </cfRule>
  </conditionalFormatting>
  <conditionalFormatting sqref="Q42 Q50:Q51 Q57:Q58 P64:P65 P67:P1007">
    <cfRule type="expression" dxfId="4" priority="49">
      <formula>$E37="Done"</formula>
    </cfRule>
  </conditionalFormatting>
  <conditionalFormatting sqref="Q42 Q50:Q51 Q57:Q58 P64:P65 P67:P1007">
    <cfRule type="expression" dxfId="3" priority="50">
      <formula>$E37="Ongoing"</formula>
    </cfRule>
  </conditionalFormatting>
  <conditionalFormatting sqref="Q42 Q50:Q51 Q57:Q58 P64:P65 P67:P1007">
    <cfRule type="expression" dxfId="2" priority="51">
      <formula>$E37="Removed"</formula>
    </cfRule>
  </conditionalFormatting>
  <conditionalFormatting sqref="Q35">
    <cfRule type="expression" dxfId="4" priority="52">
      <formula>$C31="Done"</formula>
    </cfRule>
  </conditionalFormatting>
  <conditionalFormatting sqref="Q35">
    <cfRule type="expression" dxfId="3" priority="53">
      <formula>$C31="Ongoing"</formula>
    </cfRule>
  </conditionalFormatting>
  <conditionalFormatting sqref="Q35">
    <cfRule type="expression" dxfId="2" priority="54">
      <formula>$C31="Removed"</formula>
    </cfRule>
  </conditionalFormatting>
  <conditionalFormatting sqref="M32 M39 M46 M55 M62">
    <cfRule type="expression" dxfId="4" priority="55">
      <formula>$C28="Done"</formula>
    </cfRule>
  </conditionalFormatting>
  <conditionalFormatting sqref="M32 M39 M46 M55 M62">
    <cfRule type="expression" dxfId="3" priority="56">
      <formula>$C28="Ongoing"</formula>
    </cfRule>
  </conditionalFormatting>
  <conditionalFormatting sqref="M32 M39 M46 M55 M62">
    <cfRule type="expression" dxfId="2" priority="57">
      <formula>$C28="Removed"</formula>
    </cfRule>
  </conditionalFormatting>
  <conditionalFormatting sqref="M33:N33 M40:N40 M47:N49 M56:N56 M63:N63">
    <cfRule type="expression" dxfId="4" priority="58">
      <formula>$C30="Done"</formula>
    </cfRule>
  </conditionalFormatting>
  <conditionalFormatting sqref="M33:N33 M40:N40 M47:N49 M56:N56 M63:N63">
    <cfRule type="expression" dxfId="3" priority="59">
      <formula>$C30="Ongoing"</formula>
    </cfRule>
  </conditionalFormatting>
  <conditionalFormatting sqref="M33:N33 M40:N40 M47:N49 M56:N56 M63:N63">
    <cfRule type="expression" dxfId="2" priority="60">
      <formula>$C30="Removed"</formula>
    </cfRule>
  </conditionalFormatting>
  <dataValidations>
    <dataValidation type="list" allowBlank="1" showInputMessage="1" prompt=" - " sqref="C45:F47 K45:K47 C48:K49 C50:L50 C51:K56 C57:L57 C58:K60 C62:K63 C64:L171">
      <formula1>"Planned,Ongoing,Done,Removed"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9.14"/>
    <col customWidth="1" min="2" max="2" width="30.57"/>
    <col customWidth="1" min="3" max="3" width="13.43"/>
    <col customWidth="1" min="4" max="4" width="10.86"/>
    <col customWidth="1" min="5" max="5" width="9.86"/>
    <col customWidth="1" min="6" max="15" width="8.0"/>
  </cols>
  <sheetData>
    <row r="1" ht="12.75" customHeight="1">
      <c r="A1" s="1"/>
      <c r="B1" s="1"/>
      <c r="C1" s="1"/>
      <c r="D1" s="1"/>
      <c r="E1" s="1"/>
    </row>
    <row r="2" ht="18.0" customHeight="1">
      <c r="A2" s="1"/>
      <c r="B2" s="4" t="s">
        <v>0</v>
      </c>
    </row>
    <row r="3" ht="12.75" customHeight="1">
      <c r="A3" s="1"/>
      <c r="B3" s="6"/>
      <c r="C3" s="6"/>
      <c r="D3" s="6"/>
      <c r="E3" s="6"/>
    </row>
    <row r="4" ht="12.75" customHeight="1">
      <c r="A4" s="7"/>
      <c r="B4" s="8" t="s">
        <v>1</v>
      </c>
      <c r="C4" s="8" t="s">
        <v>3</v>
      </c>
      <c r="D4" s="8" t="s">
        <v>4</v>
      </c>
      <c r="E4" s="8" t="s">
        <v>5</v>
      </c>
      <c r="F4" s="7"/>
      <c r="G4" s="7"/>
      <c r="H4" s="7"/>
      <c r="I4" s="7"/>
      <c r="J4" s="7"/>
      <c r="K4" s="7"/>
      <c r="L4" s="7"/>
      <c r="M4" s="7"/>
      <c r="N4" s="7"/>
      <c r="O4" s="7"/>
    </row>
    <row r="5" ht="12.75" customHeight="1">
      <c r="A5" s="1"/>
      <c r="B5" s="10">
        <v>1.0</v>
      </c>
      <c r="C5" s="32" t="s">
        <v>7</v>
      </c>
      <c r="D5" s="34">
        <v>0.8333333333333334</v>
      </c>
      <c r="E5" s="34">
        <v>0.8472222222222222</v>
      </c>
    </row>
    <row r="6" ht="12.75" customHeight="1">
      <c r="A6" s="1"/>
      <c r="B6" s="36"/>
      <c r="C6" s="32" t="s">
        <v>38</v>
      </c>
      <c r="D6" s="34">
        <v>0.375</v>
      </c>
      <c r="E6" s="34">
        <v>0.3854166666666667</v>
      </c>
    </row>
    <row r="7" ht="12.75" customHeight="1">
      <c r="A7" s="1"/>
      <c r="B7" s="38"/>
      <c r="C7" s="32" t="s">
        <v>39</v>
      </c>
      <c r="D7" s="34">
        <v>0.8333333333333334</v>
      </c>
      <c r="E7" s="34">
        <v>0.8472222222222222</v>
      </c>
    </row>
    <row r="8" ht="12.75" customHeight="1">
      <c r="A8" s="1"/>
      <c r="B8" s="10">
        <v>2.0</v>
      </c>
      <c r="C8" s="32" t="s">
        <v>40</v>
      </c>
      <c r="D8" s="34">
        <v>0.8333333333333334</v>
      </c>
      <c r="E8" s="34">
        <v>0.8472222222222222</v>
      </c>
    </row>
    <row r="9" ht="12.75" customHeight="1">
      <c r="A9" s="1"/>
      <c r="B9" s="36"/>
      <c r="C9" s="32" t="s">
        <v>41</v>
      </c>
      <c r="D9" s="34">
        <v>0.375</v>
      </c>
      <c r="E9" s="34">
        <v>0.3854166666666667</v>
      </c>
    </row>
    <row r="10" ht="12.75" customHeight="1">
      <c r="A10" s="1"/>
      <c r="B10" s="38"/>
      <c r="C10" s="32" t="s">
        <v>42</v>
      </c>
      <c r="D10" s="34">
        <v>0.8333333333333334</v>
      </c>
      <c r="E10" s="34">
        <v>0.8472222222222222</v>
      </c>
    </row>
    <row r="11" ht="12.75" customHeight="1">
      <c r="A11" s="1"/>
      <c r="B11" s="1"/>
      <c r="C11" s="1"/>
      <c r="D11" s="41"/>
      <c r="E11" s="41"/>
    </row>
    <row r="12" ht="12.75" customHeight="1">
      <c r="A12" s="1"/>
      <c r="B12" s="1"/>
      <c r="C12" s="1"/>
      <c r="D12" s="1"/>
      <c r="E12" s="1"/>
    </row>
    <row r="13" ht="12.75" customHeight="1">
      <c r="A13" s="7"/>
      <c r="B13" s="8" t="s">
        <v>44</v>
      </c>
      <c r="C13" s="8" t="s">
        <v>45</v>
      </c>
      <c r="D13" s="43" t="s">
        <v>46</v>
      </c>
      <c r="E13" s="45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ht="12.75" customHeight="1">
      <c r="A14" s="1"/>
      <c r="B14" s="47" t="s">
        <v>52</v>
      </c>
      <c r="C14" s="32" t="s">
        <v>56</v>
      </c>
      <c r="D14" s="50">
        <v>15.0</v>
      </c>
      <c r="E14" s="45"/>
    </row>
    <row r="15" ht="12.75" customHeight="1">
      <c r="A15" s="1"/>
      <c r="B15" s="47" t="s">
        <v>58</v>
      </c>
      <c r="C15" s="32" t="s">
        <v>59</v>
      </c>
      <c r="D15" s="50">
        <v>20.0</v>
      </c>
      <c r="E15" s="45"/>
    </row>
    <row r="16" ht="12.75" customHeight="1">
      <c r="A16" s="1"/>
      <c r="B16" s="1"/>
      <c r="C16" s="1"/>
      <c r="D16" s="1"/>
      <c r="E16" s="1"/>
    </row>
    <row r="17" ht="12.75" customHeight="1">
      <c r="A17" s="1"/>
      <c r="B17" s="1"/>
      <c r="C17" s="1"/>
      <c r="D17" s="1"/>
      <c r="E17" s="1"/>
    </row>
    <row r="18" ht="12.75" customHeight="1">
      <c r="A18" s="1"/>
      <c r="B18" s="1"/>
      <c r="C18" s="1"/>
      <c r="D18" s="1"/>
      <c r="E18" s="1"/>
    </row>
    <row r="19" ht="12.75" customHeight="1">
      <c r="A19" s="1"/>
      <c r="B19" s="1"/>
      <c r="C19" s="1"/>
      <c r="D19" s="1"/>
      <c r="E19" s="1"/>
    </row>
    <row r="20" ht="12.75" customHeight="1">
      <c r="A20" s="1"/>
      <c r="B20" s="1"/>
      <c r="C20" s="1"/>
      <c r="D20" s="1"/>
      <c r="E20" s="1"/>
    </row>
    <row r="21" ht="12.75" customHeight="1">
      <c r="A21" s="1"/>
      <c r="B21" s="1"/>
      <c r="C21" s="1"/>
      <c r="D21" s="1"/>
      <c r="E21" s="1"/>
    </row>
  </sheetData>
  <mergeCells count="6">
    <mergeCell ref="B5:B7"/>
    <mergeCell ref="B8:B10"/>
    <mergeCell ref="D13:E13"/>
    <mergeCell ref="D14:E14"/>
    <mergeCell ref="D15:E15"/>
    <mergeCell ref="B2:E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29"/>
    <col customWidth="1" min="2" max="2" width="76.14"/>
    <col customWidth="1" min="3" max="3" width="10.43"/>
    <col customWidth="1" min="4" max="4" width="18.71"/>
    <col customWidth="1" min="5" max="5" width="9.57"/>
    <col customWidth="1" min="6" max="6" width="16.29"/>
    <col customWidth="1" min="7" max="7" width="14.29"/>
    <col customWidth="1" min="8" max="8" width="17.43"/>
    <col customWidth="1" min="9" max="9" width="15.71"/>
    <col customWidth="1" min="10" max="10" width="12.29"/>
    <col customWidth="1" min="11" max="11" width="15.71"/>
    <col customWidth="1" min="12" max="12" width="16.29"/>
    <col customWidth="1" min="13" max="13" width="12.29"/>
    <col customWidth="1" min="14" max="14" width="14.71"/>
    <col customWidth="1" min="15" max="16" width="12.29"/>
    <col customWidth="1" min="17" max="17" width="15.29"/>
    <col customWidth="1" min="18" max="18" width="12.29"/>
    <col customWidth="1" min="19" max="19" width="15.29"/>
    <col customWidth="1" min="20" max="20" width="12.29"/>
    <col customWidth="1" min="21" max="21" width="11.86"/>
    <col customWidth="1" min="22" max="31" width="9.14"/>
  </cols>
  <sheetData>
    <row r="1" ht="12.75" customHeight="1">
      <c r="A1" s="2"/>
      <c r="B1" s="17"/>
      <c r="C1" s="18"/>
      <c r="D1" s="17"/>
      <c r="E1" s="17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7"/>
      <c r="W1" s="17"/>
      <c r="X1" s="17"/>
      <c r="Y1" s="17"/>
      <c r="Z1" s="17"/>
      <c r="AA1" s="17"/>
      <c r="AB1" s="17"/>
      <c r="AC1" s="17"/>
      <c r="AD1" s="17"/>
      <c r="AE1" s="17"/>
    </row>
    <row r="2" ht="18.0" customHeight="1">
      <c r="A2" s="2"/>
      <c r="B2" s="19">
        <v>4.0</v>
      </c>
      <c r="C2" s="20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</row>
    <row r="3" ht="12.75" customHeight="1">
      <c r="A3" s="2"/>
      <c r="B3" s="17"/>
      <c r="C3" s="18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</row>
    <row r="4" ht="12.75" customHeight="1">
      <c r="A4" s="2"/>
      <c r="B4" s="17"/>
      <c r="C4" s="18"/>
      <c r="D4" s="17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7"/>
      <c r="W4" s="17"/>
      <c r="X4" s="17"/>
      <c r="Y4" s="17"/>
      <c r="Z4" s="17"/>
      <c r="AA4" s="17"/>
      <c r="AB4" s="17"/>
      <c r="AC4" s="17"/>
      <c r="AD4" s="17"/>
      <c r="AE4" s="17"/>
    </row>
    <row r="5" ht="12.75" customHeight="1">
      <c r="A5" s="2"/>
      <c r="B5" s="17"/>
      <c r="C5" s="18"/>
      <c r="D5" s="17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7"/>
      <c r="W5" s="17"/>
      <c r="X5" s="17"/>
      <c r="Y5" s="17"/>
      <c r="Z5" s="17"/>
      <c r="AA5" s="17"/>
      <c r="AB5" s="17"/>
      <c r="AC5" s="17"/>
      <c r="AD5" s="17"/>
      <c r="AE5" s="17"/>
    </row>
    <row r="6" ht="12.75" customHeight="1">
      <c r="A6" s="2"/>
      <c r="B6" s="17"/>
      <c r="C6" s="18"/>
      <c r="D6" s="17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7"/>
      <c r="W6" s="17"/>
      <c r="X6" s="17"/>
      <c r="Y6" s="17"/>
      <c r="Z6" s="17"/>
      <c r="AA6" s="17"/>
      <c r="AB6" s="17"/>
      <c r="AC6" s="17"/>
      <c r="AD6" s="17"/>
      <c r="AE6" s="17"/>
    </row>
    <row r="7" ht="12.75" customHeight="1">
      <c r="A7" s="2"/>
      <c r="B7" s="17"/>
      <c r="C7" s="18"/>
      <c r="D7" s="17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7"/>
      <c r="W7" s="17"/>
      <c r="X7" s="17"/>
      <c r="Y7" s="17"/>
      <c r="Z7" s="17"/>
      <c r="AA7" s="17"/>
      <c r="AB7" s="17"/>
      <c r="AC7" s="17"/>
      <c r="AD7" s="17"/>
      <c r="AE7" s="17"/>
    </row>
    <row r="8" ht="12.75" customHeight="1">
      <c r="A8" s="2"/>
      <c r="B8" s="17"/>
      <c r="C8" s="18"/>
      <c r="D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7"/>
      <c r="W8" s="17"/>
      <c r="X8" s="17"/>
      <c r="Y8" s="17"/>
      <c r="Z8" s="17"/>
      <c r="AA8" s="17"/>
      <c r="AB8" s="17"/>
      <c r="AC8" s="17"/>
      <c r="AD8" s="17"/>
      <c r="AE8" s="17"/>
    </row>
    <row r="9" ht="12.75" customHeight="1">
      <c r="A9" s="2"/>
      <c r="B9" s="17"/>
      <c r="C9" s="18"/>
      <c r="D9" s="17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7"/>
      <c r="W9" s="17"/>
      <c r="X9" s="17"/>
      <c r="Y9" s="17"/>
      <c r="Z9" s="17"/>
      <c r="AA9" s="17"/>
      <c r="AB9" s="17"/>
      <c r="AC9" s="17"/>
      <c r="AD9" s="17"/>
      <c r="AE9" s="17"/>
    </row>
    <row r="10" ht="12.75" customHeight="1">
      <c r="A10" s="2"/>
      <c r="B10" s="17"/>
      <c r="C10" s="18"/>
      <c r="D10" s="17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7"/>
      <c r="W10" s="17"/>
      <c r="X10" s="17"/>
      <c r="Y10" s="17"/>
      <c r="Z10" s="17"/>
      <c r="AA10" s="17"/>
      <c r="AB10" s="17"/>
      <c r="AC10" s="17"/>
      <c r="AD10" s="17"/>
      <c r="AE10" s="17"/>
    </row>
    <row r="11" ht="12.75" customHeight="1">
      <c r="A11" s="2"/>
      <c r="B11" s="17"/>
      <c r="C11" s="18"/>
      <c r="D11" s="1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7"/>
      <c r="W11" s="17"/>
      <c r="X11" s="17"/>
      <c r="Y11" s="17"/>
      <c r="Z11" s="17"/>
      <c r="AA11" s="17"/>
      <c r="AB11" s="17"/>
      <c r="AC11" s="17"/>
      <c r="AD11" s="17"/>
      <c r="AE11" s="17"/>
    </row>
    <row r="12" ht="12.75" customHeight="1">
      <c r="A12" s="2"/>
      <c r="B12" s="17"/>
      <c r="C12" s="18"/>
      <c r="D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7"/>
      <c r="W12" s="17"/>
      <c r="X12" s="17"/>
      <c r="Y12" s="17"/>
      <c r="Z12" s="17"/>
      <c r="AA12" s="17"/>
      <c r="AB12" s="17"/>
      <c r="AC12" s="17"/>
      <c r="AD12" s="17"/>
      <c r="AE12" s="17"/>
    </row>
    <row r="13" ht="12.75" customHeight="1">
      <c r="A13" s="2"/>
      <c r="B13" s="17"/>
      <c r="C13" s="26"/>
      <c r="D13" s="1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7"/>
      <c r="W13" s="17"/>
      <c r="X13" s="17"/>
      <c r="Y13" s="17"/>
      <c r="Z13" s="17"/>
      <c r="AA13" s="17"/>
      <c r="AB13" s="17"/>
      <c r="AC13" s="17"/>
      <c r="AD13" s="17"/>
      <c r="AE13" s="17"/>
    </row>
    <row r="14" ht="12.75" customHeight="1">
      <c r="A14" s="2"/>
      <c r="B14" s="17"/>
      <c r="C14" s="26"/>
      <c r="D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7"/>
      <c r="W14" s="17"/>
      <c r="X14" s="17"/>
      <c r="Y14" s="17"/>
      <c r="Z14" s="17"/>
      <c r="AA14" s="17"/>
      <c r="AB14" s="17"/>
      <c r="AC14" s="17"/>
      <c r="AD14" s="17"/>
      <c r="AE14" s="17"/>
    </row>
    <row r="15" ht="12.75" customHeight="1">
      <c r="A15" s="2"/>
      <c r="B15" s="17"/>
      <c r="C15" s="26"/>
      <c r="D15" s="2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7"/>
      <c r="W15" s="17"/>
      <c r="X15" s="17"/>
      <c r="Y15" s="17"/>
      <c r="Z15" s="17"/>
      <c r="AA15" s="17"/>
      <c r="AB15" s="17"/>
      <c r="AC15" s="17"/>
      <c r="AD15" s="17"/>
      <c r="AE15" s="17"/>
    </row>
    <row r="16" ht="27.0" customHeight="1">
      <c r="C16" s="30"/>
    </row>
    <row r="17" ht="27.0" customHeight="1">
      <c r="C17" s="30"/>
    </row>
    <row r="18" ht="27.0" customHeight="1">
      <c r="C18" s="30"/>
    </row>
    <row r="19" ht="27.0" customHeight="1">
      <c r="A19" s="40"/>
      <c r="B19" s="42" t="s">
        <v>43</v>
      </c>
      <c r="C19" s="26">
        <v>14.0</v>
      </c>
      <c r="D19" s="42"/>
      <c r="E19" s="44"/>
      <c r="F19" s="42" t="s">
        <v>47</v>
      </c>
      <c r="G19" s="42" t="s">
        <v>48</v>
      </c>
      <c r="H19" s="42"/>
      <c r="I19" s="42"/>
      <c r="J19" s="42"/>
      <c r="K19" s="42"/>
      <c r="L19" s="42"/>
      <c r="M19" s="42"/>
      <c r="N19" s="44"/>
      <c r="O19" s="44"/>
      <c r="P19" s="44"/>
      <c r="Q19" s="44"/>
      <c r="R19" s="44"/>
      <c r="S19" s="44"/>
      <c r="T19" s="44"/>
      <c r="U19" s="44"/>
      <c r="V19" s="17"/>
      <c r="W19" s="17"/>
      <c r="X19" s="17"/>
      <c r="Y19" s="17"/>
      <c r="Z19" s="17"/>
      <c r="AA19" s="17"/>
      <c r="AB19" s="17"/>
      <c r="AC19" s="17"/>
      <c r="AD19" s="17"/>
      <c r="AE19" s="17"/>
    </row>
    <row r="20" ht="12.75" customHeight="1">
      <c r="A20" s="40"/>
      <c r="B20" s="42" t="s">
        <v>49</v>
      </c>
      <c r="C20" s="26">
        <v>14.0</v>
      </c>
      <c r="D20" s="42" t="s">
        <v>50</v>
      </c>
      <c r="E20" s="42" t="s">
        <v>51</v>
      </c>
      <c r="F20" s="49">
        <f>SUM(OFFSET(F24,1,0,Sprint_Backlog_Burdown_Chart!TaskRows,1))</f>
        <v>72</v>
      </c>
      <c r="G20" s="49">
        <f>IF(AND(SUM(OFFSET(G24,1,0,Sprint_Backlog_Burdown_Chart!TaskRows,1))=0),0,SUM(OFFSET(G24,1,0,Sprint_Backlog_Burdown_Chart!TaskRows,1)))</f>
        <v>2</v>
      </c>
      <c r="H20" s="49">
        <f>IF(AND(SUM(OFFSET(H24,1,0,Sprint_Backlog_Burdown_Chart!TaskRows,1))=0),"",SUM(OFFSET(H24,1,0,Sprint_Backlog_Burdown_Chart!TaskRows,1)))</f>
        <v>1</v>
      </c>
      <c r="I20" s="49">
        <f>IF(AND(SUM(OFFSET(I24,1,0,Sprint_Backlog_Burdown_Chart!TaskRows,1))=0),"",SUM(OFFSET(I24,1,0,Sprint_Backlog_Burdown_Chart!TaskRows,1)))</f>
        <v>7</v>
      </c>
      <c r="J20" s="49">
        <f>IF(AND(SUM(OFFSET(J24,1,0,Sprint_Backlog_Burdown_Chart!TaskRows,1))=0),"",SUM(OFFSET(J24,1,0,Sprint_Backlog_Burdown_Chart!TaskRows,1)))</f>
        <v>12</v>
      </c>
      <c r="K20" s="49">
        <f>IF(AND(SUM(OFFSET(K24,1,0,Sprint_Backlog_Burdown_Chart!TaskRows,1))=0),"",SUM(OFFSET(K24,1,0,Sprint_Backlog_Burdown_Chart!TaskRows,1)))</f>
        <v>11</v>
      </c>
      <c r="L20" s="49">
        <f>IF(AND(SUM(OFFSET(L24,1,0,Sprint_Backlog_Burdown_Chart!TaskRows,1))=0),"",SUM(OFFSET(L24,1,0,Sprint_Backlog_Burdown_Chart!TaskRows,1)))</f>
        <v>12</v>
      </c>
      <c r="M20" s="49">
        <f>IF(AND(SUM(OFFSET(M24,1,0,Sprint_Backlog_Burdown_Chart!TaskRows,1))=0),"",SUM(OFFSET(M24,1,0,Sprint_Backlog_Burdown_Chart!TaskRows,1)))</f>
        <v>14</v>
      </c>
      <c r="N20" s="49">
        <f>IF(AND(SUM(OFFSET(N24,1,0,Sprint_Backlog_Burdown_Chart!TaskRows,1))=0),"",SUM(OFFSET(N24,1,0,Sprint_Backlog_Burdown_Chart!TaskRows,1)))</f>
        <v>12</v>
      </c>
      <c r="O20" s="49">
        <f>IF(AND(SUM(OFFSET(O24,1,0,Sprint_Backlog_Burdown_Chart!TaskRows,1))=0),"",SUM(OFFSET(O24,1,0,Sprint_Backlog_Burdown_Chart!TaskRows,1)))</f>
        <v>13</v>
      </c>
      <c r="P20" s="49">
        <f>IF(AND(SUM(OFFSET(P24,1,0,Sprint_Backlog_Burdown_Chart!TaskRows,1))=0),"",SUM(OFFSET(P24,1,0,Sprint_Backlog_Burdown_Chart!TaskRows,1)))</f>
        <v>16</v>
      </c>
      <c r="Q20" s="49">
        <f>IF(AND(SUM(OFFSET(Q24,1,0,Sprint_Backlog_Burdown_Chart!TaskRows,1))=0),"",SUM(OFFSET(Q24,1,0,Sprint_Backlog_Burdown_Chart!TaskRows,1)))</f>
        <v>16</v>
      </c>
      <c r="R20" s="49">
        <f>IF(AND(SUM(OFFSET(R24,1,0,Sprint_Backlog_Burdown_Chart!TaskRows,1))=0),"",SUM(OFFSET(R24,1,0,Sprint_Backlog_Burdown_Chart!TaskRows,1)))</f>
        <v>15</v>
      </c>
      <c r="S20" s="49">
        <f>IF(AND(SUM(OFFSET(S24,1,0,Sprint_Backlog_Burdown_Chart!TaskRows,1))=0),"",SUM(OFFSET(S24,1,0,Sprint_Backlog_Burdown_Chart!TaskRows,1)))</f>
        <v>21</v>
      </c>
      <c r="T20" s="49">
        <f>IF(AND(SUM(OFFSET(T24,1,0,Sprint_Backlog_Burdown_Chart!TaskRows,1))=0),"",SUM(OFFSET(T24,1,0,Sprint_Backlog_Burdown_Chart!TaskRows,1)))</f>
        <v>24</v>
      </c>
      <c r="U20" s="49" t="str">
        <f>IF(AND(SUM(OFFSET(U24,1,0,Sprint_Backlog_Burdown_Chart!TaskRows,1))=0),"",SUM(OFFSET(U24,1,0,Sprint_Backlog_Burdown_Chart!TaskRows,1)))</f>
        <v/>
      </c>
      <c r="V20" s="17"/>
      <c r="W20" s="17"/>
      <c r="X20" s="17"/>
      <c r="Y20" s="17"/>
      <c r="Z20" s="17"/>
      <c r="AA20" s="17"/>
      <c r="AB20" s="17"/>
      <c r="AC20" s="17"/>
      <c r="AD20" s="17"/>
      <c r="AE20" s="17"/>
    </row>
    <row r="21" ht="12.75" customHeight="1">
      <c r="A21" s="2"/>
      <c r="B21" s="1" t="s">
        <v>81</v>
      </c>
      <c r="C21" s="75">
        <v>17.0</v>
      </c>
      <c r="D21" s="1" t="s">
        <v>86</v>
      </c>
      <c r="E21" s="75">
        <v>14.0</v>
      </c>
      <c r="F21" s="59"/>
      <c r="G21" s="59">
        <f>IF(G24="","",$F20-$F20/($C19-1)*(G24-1))</f>
        <v>72</v>
      </c>
      <c r="H21" s="59">
        <f>IF(H24="","",Sprint_Backlog_Burdown_Chart!TotalEffort-Sprint_Backlog_Burdown_Chart!TotalEffort/(Sprint_Backlog_Burdown_Chart!ImplementationDays)*(H24-1))</f>
        <v>66.85714286</v>
      </c>
      <c r="I21" s="59">
        <f>IF(I24="","",Sprint_Backlog_Burdown_Chart!TotalEffort-Sprint_Backlog_Burdown_Chart!TotalEffort/(Sprint_Backlog_Burdown_Chart!ImplementationDays)*(I24-1))</f>
        <v>61.71428571</v>
      </c>
      <c r="J21" s="59">
        <f>IF(J24="","",Sprint_Backlog_Burdown_Chart!TotalEffort-Sprint_Backlog_Burdown_Chart!TotalEffort/(Sprint_Backlog_Burdown_Chart!ImplementationDays)*(J24-1))</f>
        <v>56.57142857</v>
      </c>
      <c r="K21" s="59">
        <f>IF(K24="","",Sprint_Backlog_Burdown_Chart!TotalEffort-Sprint_Backlog_Burdown_Chart!TotalEffort/(Sprint_Backlog_Burdown_Chart!ImplementationDays)*(K24-1))</f>
        <v>51.42857143</v>
      </c>
      <c r="L21" s="59">
        <f>IF(L24="","",Sprint_Backlog_Burdown_Chart!TotalEffort-Sprint_Backlog_Burdown_Chart!TotalEffort/(Sprint_Backlog_Burdown_Chart!ImplementationDays)*(L24-1))</f>
        <v>46.28571429</v>
      </c>
      <c r="M21" s="59">
        <f>IF(M24="","",Sprint_Backlog_Burdown_Chart!TotalEffort-Sprint_Backlog_Burdown_Chart!TotalEffort/(Sprint_Backlog_Burdown_Chart!ImplementationDays)*(M24-1))</f>
        <v>41.14285714</v>
      </c>
      <c r="N21" s="59">
        <f>IF(N24="","",Sprint_Backlog_Burdown_Chart!TotalEffort-Sprint_Backlog_Burdown_Chart!TotalEffort/(Sprint_Backlog_Burdown_Chart!ImplementationDays)*(N24-1))</f>
        <v>36</v>
      </c>
      <c r="O21" s="59">
        <f>IF(O24="","",Sprint_Backlog_Burdown_Chart!TotalEffort-Sprint_Backlog_Burdown_Chart!TotalEffort/(Sprint_Backlog_Burdown_Chart!ImplementationDays)*(O24-1))</f>
        <v>30.85714286</v>
      </c>
      <c r="P21" s="59">
        <f>IF(P24="","",Sprint_Backlog_Burdown_Chart!TotalEffort-Sprint_Backlog_Burdown_Chart!TotalEffort/(Sprint_Backlog_Burdown_Chart!ImplementationDays)*(P24-1))</f>
        <v>25.71428571</v>
      </c>
      <c r="Q21" s="59">
        <f>IF(Q24="","",Sprint_Backlog_Burdown_Chart!TotalEffort-Sprint_Backlog_Burdown_Chart!TotalEffort/(Sprint_Backlog_Burdown_Chart!ImplementationDays)*(Q24-1))</f>
        <v>20.57142857</v>
      </c>
      <c r="R21" s="59">
        <f>IF(R24="","",Sprint_Backlog_Burdown_Chart!TotalEffort-Sprint_Backlog_Burdown_Chart!TotalEffort/(Sprint_Backlog_Burdown_Chart!ImplementationDays)*(R24-1))</f>
        <v>15.42857143</v>
      </c>
      <c r="S21" s="59">
        <f>IF(S24="","",Sprint_Backlog_Burdown_Chart!TotalEffort-Sprint_Backlog_Burdown_Chart!TotalEffort/(Sprint_Backlog_Burdown_Chart!ImplementationDays)*(S24-1))</f>
        <v>10.28571429</v>
      </c>
      <c r="T21" s="59">
        <f>IF(T24="","",Sprint_Backlog_Burdown_Chart!TotalEffort-Sprint_Backlog_Burdown_Chart!TotalEffort/(Sprint_Backlog_Burdown_Chart!ImplementationDays)*(T24-1))</f>
        <v>5.142857143</v>
      </c>
      <c r="U21" s="59" t="str">
        <f>IF(U24="","",Sprint_Backlog_Burdown_Chart!TotalEffort-Sprint_Backlog_Burdown_Chart!TotalEffort/(Sprint_Backlog_Burdown_Chart!ImplementationDays)*(U24-1))</f>
        <v/>
      </c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ht="12.75" customHeight="1">
      <c r="A22" s="2"/>
      <c r="B22" s="96"/>
      <c r="C22" s="1"/>
      <c r="D22" s="1" t="s">
        <v>110</v>
      </c>
      <c r="E22" s="75">
        <v>14.0</v>
      </c>
      <c r="F22" s="59"/>
      <c r="G22" s="59">
        <f t="array" ref="G22">IF(TREND(OFFSET($G20,0,Sprint_Backlog_Burdown_Chart!DoneDays-Sprint_Backlog_Burdown_Chart!TrendDays,1,Sprint_Backlog_Burdown_Chart!TrendDays),OFFSET($G23,0,Sprint_Backlog_Burdown_Chart!DoneDays-Sprint_Backlog_Burdown_Chart!TrendDays,1,Sprint_Backlog_Burdown_Chart!TrendDays),G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G23))</f>
        <v>3.542857143</v>
      </c>
      <c r="H22" s="59">
        <f t="array" ref="H22">IF(TREND(OFFSET($G20,0,Sprint_Backlog_Burdown_Chart!DoneDays-Sprint_Backlog_Burdown_Chart!TrendDays,1,Sprint_Backlog_Burdown_Chart!TrendDays),OFFSET($G23,0,Sprint_Backlog_Burdown_Chart!DoneDays-Sprint_Backlog_Burdown_Chart!TrendDays,1,Sprint_Backlog_Burdown_Chart!TrendDays),H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H23))</f>
        <v>4.931868132</v>
      </c>
      <c r="I22" s="59">
        <f t="array" ref="I22">IF(TREND(OFFSET($G20,0,Sprint_Backlog_Burdown_Chart!DoneDays-Sprint_Backlog_Burdown_Chart!TrendDays,1,Sprint_Backlog_Burdown_Chart!TrendDays),OFFSET($G23,0,Sprint_Backlog_Burdown_Chart!DoneDays-Sprint_Backlog_Burdown_Chart!TrendDays,1,Sprint_Backlog_Burdown_Chart!TrendDays),I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I23))</f>
        <v>6.320879121</v>
      </c>
      <c r="J22" s="59">
        <f t="array" ref="J22">IF(TREND(OFFSET($G20,0,Sprint_Backlog_Burdown_Chart!DoneDays-Sprint_Backlog_Burdown_Chart!TrendDays,1,Sprint_Backlog_Burdown_Chart!TrendDays),OFFSET($G23,0,Sprint_Backlog_Burdown_Chart!DoneDays-Sprint_Backlog_Burdown_Chart!TrendDays,1,Sprint_Backlog_Burdown_Chart!TrendDays),J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J23))</f>
        <v>7.70989011</v>
      </c>
      <c r="K22" s="59">
        <f t="array" ref="K22">IF(TREND(OFFSET($G20,0,Sprint_Backlog_Burdown_Chart!DoneDays-Sprint_Backlog_Burdown_Chart!TrendDays,1,Sprint_Backlog_Burdown_Chart!TrendDays),OFFSET($G23,0,Sprint_Backlog_Burdown_Chart!DoneDays-Sprint_Backlog_Burdown_Chart!TrendDays,1,Sprint_Backlog_Burdown_Chart!TrendDays),K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K23))</f>
        <v>9.098901099</v>
      </c>
      <c r="L22" s="59">
        <f t="array" ref="L22">IF(TREND(OFFSET($G20,0,Sprint_Backlog_Burdown_Chart!DoneDays-Sprint_Backlog_Burdown_Chart!TrendDays,1,Sprint_Backlog_Burdown_Chart!TrendDays),OFFSET($G23,0,Sprint_Backlog_Burdown_Chart!DoneDays-Sprint_Backlog_Burdown_Chart!TrendDays,1,Sprint_Backlog_Burdown_Chart!TrendDays),L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L23))</f>
        <v>10.48791209</v>
      </c>
      <c r="M22" s="59">
        <f t="array" ref="M22">IF(TREND(OFFSET($G20,0,Sprint_Backlog_Burdown_Chart!DoneDays-Sprint_Backlog_Burdown_Chart!TrendDays,1,Sprint_Backlog_Burdown_Chart!TrendDays),OFFSET($G23,0,Sprint_Backlog_Burdown_Chart!DoneDays-Sprint_Backlog_Burdown_Chart!TrendDays,1,Sprint_Backlog_Burdown_Chart!TrendDays),M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M23))</f>
        <v>11.87692308</v>
      </c>
      <c r="N22" s="59">
        <f t="array" ref="N22">IF(TREND(OFFSET($G20,0,Sprint_Backlog_Burdown_Chart!DoneDays-Sprint_Backlog_Burdown_Chart!TrendDays,1,Sprint_Backlog_Burdown_Chart!TrendDays),OFFSET($G23,0,Sprint_Backlog_Burdown_Chart!DoneDays-Sprint_Backlog_Burdown_Chart!TrendDays,1,Sprint_Backlog_Burdown_Chart!TrendDays),N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N23))</f>
        <v>13.26593407</v>
      </c>
      <c r="O22" s="59">
        <f t="array" ref="O22">IF(TREND(OFFSET($G20,0,Sprint_Backlog_Burdown_Chart!DoneDays-Sprint_Backlog_Burdown_Chart!TrendDays,1,Sprint_Backlog_Burdown_Chart!TrendDays),OFFSET($G23,0,Sprint_Backlog_Burdown_Chart!DoneDays-Sprint_Backlog_Burdown_Chart!TrendDays,1,Sprint_Backlog_Burdown_Chart!TrendDays),O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O23))</f>
        <v>14.65494505</v>
      </c>
      <c r="P22" s="59">
        <f t="array" ref="P22">IF(TREND(OFFSET($G20,0,Sprint_Backlog_Burdown_Chart!DoneDays-Sprint_Backlog_Burdown_Chart!TrendDays,1,Sprint_Backlog_Burdown_Chart!TrendDays),OFFSET($G23,0,Sprint_Backlog_Burdown_Chart!DoneDays-Sprint_Backlog_Burdown_Chart!TrendDays,1,Sprint_Backlog_Burdown_Chart!TrendDays),P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P23))</f>
        <v>16.04395604</v>
      </c>
      <c r="Q22" s="59">
        <f t="array" ref="Q22">IF(TREND(OFFSET($G20,0,Sprint_Backlog_Burdown_Chart!DoneDays-Sprint_Backlog_Burdown_Chart!TrendDays,1,Sprint_Backlog_Burdown_Chart!TrendDays),OFFSET($G23,0,Sprint_Backlog_Burdown_Chart!DoneDays-Sprint_Backlog_Burdown_Chart!TrendDays,1,Sprint_Backlog_Burdown_Chart!TrendDays),Q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Q23))</f>
        <v>17.43296703</v>
      </c>
      <c r="R22" s="59">
        <f t="array" ref="R22">IF(TREND(OFFSET($G20,0,Sprint_Backlog_Burdown_Chart!DoneDays-Sprint_Backlog_Burdown_Chart!TrendDays,1,Sprint_Backlog_Burdown_Chart!TrendDays),OFFSET($G23,0,Sprint_Backlog_Burdown_Chart!DoneDays-Sprint_Backlog_Burdown_Chart!TrendDays,1,Sprint_Backlog_Burdown_Chart!TrendDays),R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R23))</f>
        <v>18.82197802</v>
      </c>
      <c r="S22" s="59">
        <f t="array" ref="S22">IF(TREND(OFFSET($G20,0,Sprint_Backlog_Burdown_Chart!DoneDays-Sprint_Backlog_Burdown_Chart!TrendDays,1,Sprint_Backlog_Burdown_Chart!TrendDays),OFFSET($G23,0,Sprint_Backlog_Burdown_Chart!DoneDays-Sprint_Backlog_Burdown_Chart!TrendDays,1,Sprint_Backlog_Burdown_Chart!TrendDays),S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S23))</f>
        <v>20.21098901</v>
      </c>
      <c r="T22" s="59">
        <f t="array" ref="T22">IF(TREND(OFFSET($G20,0,Sprint_Backlog_Burdown_Chart!DoneDays-Sprint_Backlog_Burdown_Chart!TrendDays,1,Sprint_Backlog_Burdown_Chart!TrendDays),OFFSET($G23,0,Sprint_Backlog_Burdown_Chart!DoneDays-Sprint_Backlog_Burdown_Chart!TrendDays,1,Sprint_Backlog_Burdown_Chart!TrendDays),T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T23))</f>
        <v>21.6</v>
      </c>
      <c r="U22" s="59">
        <f t="array" ref="U22">IF(TREND(OFFSET($G20,0,Sprint_Backlog_Burdown_Chart!DoneDays-Sprint_Backlog_Burdown_Chart!TrendDays,1,Sprint_Backlog_Burdown_Chart!TrendDays),OFFSET($G23,0,Sprint_Backlog_Burdown_Chart!DoneDays-Sprint_Backlog_Burdown_Chart!TrendDays,1,Sprint_Backlog_Burdown_Chart!TrendDays),U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U23))</f>
        <v>22.98901099</v>
      </c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ht="17.25" customHeight="1">
      <c r="A23" s="2"/>
      <c r="B23" s="96"/>
      <c r="C23" s="1"/>
      <c r="D23" s="1" t="s">
        <v>171</v>
      </c>
      <c r="E23" s="75">
        <v>14.0</v>
      </c>
      <c r="F23" s="59"/>
      <c r="G23" s="59">
        <f>IF(Sprint_Backlog_Burdown_Chart!DoneDays&gt;F23,F23+1,"")</f>
        <v>1</v>
      </c>
      <c r="H23" s="59">
        <f>IF(Sprint_Backlog_Burdown_Chart!DoneDays&gt;G23,G23+1,"")</f>
        <v>2</v>
      </c>
      <c r="I23" s="59">
        <f>IF(Sprint_Backlog_Burdown_Chart!DoneDays&gt;H23,H23+1,"")</f>
        <v>3</v>
      </c>
      <c r="J23" s="59">
        <f>IF(Sprint_Backlog_Burdown_Chart!DoneDays&gt;I23,I23+1,"")</f>
        <v>4</v>
      </c>
      <c r="K23" s="59">
        <f>IF(Sprint_Backlog_Burdown_Chart!DoneDays&gt;J23,J23+1,"")</f>
        <v>5</v>
      </c>
      <c r="L23" s="59">
        <f>IF(Sprint_Backlog_Burdown_Chart!DoneDays&gt;K23,K23+1,"")</f>
        <v>6</v>
      </c>
      <c r="M23" s="59">
        <f>IF(Sprint_Backlog_Burdown_Chart!DoneDays&gt;L23,L23+1,"")</f>
        <v>7</v>
      </c>
      <c r="N23" s="59">
        <f>IF(Sprint_Backlog_Burdown_Chart!DoneDays&gt;M23,M23+1,"")</f>
        <v>8</v>
      </c>
      <c r="O23" s="59">
        <f>IF(Sprint_Backlog_Burdown_Chart!DoneDays&gt;N23,N23+1,"")</f>
        <v>9</v>
      </c>
      <c r="P23" s="59">
        <f>IF(Sprint_Backlog_Burdown_Chart!DoneDays&gt;O23,O23+1,"")</f>
        <v>10</v>
      </c>
      <c r="Q23" s="59">
        <f>IF(Sprint_Backlog_Burdown_Chart!DoneDays&gt;P23,P23+1,"")</f>
        <v>11</v>
      </c>
      <c r="R23" s="59">
        <f>IF(Sprint_Backlog_Burdown_Chart!DoneDays&gt;Q23,Q23+1,"")</f>
        <v>12</v>
      </c>
      <c r="S23" s="59">
        <f>IF(Sprint_Backlog_Burdown_Chart!DoneDays&gt;R23,R23+1,"")</f>
        <v>13</v>
      </c>
      <c r="T23" s="59">
        <f>IF(Sprint_Backlog_Burdown_Chart!DoneDays&gt;S23,S23+1,"")</f>
        <v>14</v>
      </c>
      <c r="U23" s="59">
        <v>15.0</v>
      </c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ht="12.75" customHeight="1">
      <c r="A24" s="40" t="s">
        <v>172</v>
      </c>
      <c r="B24" s="42" t="s">
        <v>173</v>
      </c>
      <c r="C24" s="158" t="s">
        <v>174</v>
      </c>
      <c r="D24" s="42" t="s">
        <v>175</v>
      </c>
      <c r="E24" s="42" t="s">
        <v>11</v>
      </c>
      <c r="F24" s="158" t="s">
        <v>176</v>
      </c>
      <c r="G24" s="158">
        <v>1.0</v>
      </c>
      <c r="H24" s="158">
        <f t="shared" ref="H24:U24" si="1">IF($C$19&gt;G24,G24+1,"")</f>
        <v>2</v>
      </c>
      <c r="I24" s="158">
        <f t="shared" si="1"/>
        <v>3</v>
      </c>
      <c r="J24" s="158">
        <f t="shared" si="1"/>
        <v>4</v>
      </c>
      <c r="K24" s="158">
        <f t="shared" si="1"/>
        <v>5</v>
      </c>
      <c r="L24" s="158">
        <f t="shared" si="1"/>
        <v>6</v>
      </c>
      <c r="M24" s="158">
        <f t="shared" si="1"/>
        <v>7</v>
      </c>
      <c r="N24" s="158">
        <f t="shared" si="1"/>
        <v>8</v>
      </c>
      <c r="O24" s="158">
        <f t="shared" si="1"/>
        <v>9</v>
      </c>
      <c r="P24" s="158">
        <f t="shared" si="1"/>
        <v>10</v>
      </c>
      <c r="Q24" s="158">
        <f t="shared" si="1"/>
        <v>11</v>
      </c>
      <c r="R24" s="158">
        <f t="shared" si="1"/>
        <v>12</v>
      </c>
      <c r="S24" s="158">
        <f t="shared" si="1"/>
        <v>13</v>
      </c>
      <c r="T24" s="158">
        <f t="shared" si="1"/>
        <v>14</v>
      </c>
      <c r="U24" s="158" t="str">
        <f t="shared" si="1"/>
        <v/>
      </c>
      <c r="V24" s="17"/>
      <c r="W24" s="17"/>
      <c r="X24" s="17"/>
      <c r="Y24" s="17"/>
      <c r="Z24" s="17"/>
      <c r="AA24" s="17"/>
      <c r="AB24" s="17"/>
      <c r="AC24" s="17"/>
      <c r="AD24" s="17"/>
      <c r="AE24" s="17"/>
    </row>
    <row r="25" ht="12.75" customHeight="1">
      <c r="A25" s="47">
        <v>1.0</v>
      </c>
      <c r="B25" s="113" t="s">
        <v>177</v>
      </c>
      <c r="C25" s="159">
        <v>5.0</v>
      </c>
      <c r="D25" s="160" t="s">
        <v>129</v>
      </c>
      <c r="E25" s="28" t="s">
        <v>178</v>
      </c>
      <c r="F25" s="161">
        <v>8.0</v>
      </c>
      <c r="G25" s="162">
        <v>0.0</v>
      </c>
      <c r="H25" s="162">
        <v>0.0</v>
      </c>
      <c r="I25" s="163">
        <v>0.0</v>
      </c>
      <c r="J25" s="163">
        <v>0.0</v>
      </c>
      <c r="K25" s="163">
        <v>0.0</v>
      </c>
      <c r="L25" s="163">
        <v>0.0</v>
      </c>
      <c r="M25" s="163">
        <v>0.0</v>
      </c>
      <c r="N25" s="163">
        <v>0.0</v>
      </c>
      <c r="O25" s="163">
        <v>0.0</v>
      </c>
      <c r="P25" s="164">
        <v>2.0</v>
      </c>
      <c r="Q25" s="165">
        <v>2.0</v>
      </c>
      <c r="R25" s="162">
        <v>2.0</v>
      </c>
      <c r="S25" s="166">
        <v>2.0</v>
      </c>
      <c r="T25" s="159">
        <v>2.0</v>
      </c>
      <c r="U25" s="47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 ht="12.75" customHeight="1">
      <c r="A26" s="47">
        <v>2.0</v>
      </c>
      <c r="B26" s="113" t="s">
        <v>179</v>
      </c>
      <c r="C26" s="159" t="s">
        <v>180</v>
      </c>
      <c r="D26" s="160" t="s">
        <v>132</v>
      </c>
      <c r="E26" s="28" t="s">
        <v>178</v>
      </c>
      <c r="F26" s="161">
        <v>6.0</v>
      </c>
      <c r="G26" s="162">
        <v>1.0</v>
      </c>
      <c r="H26" s="162">
        <v>0.0</v>
      </c>
      <c r="I26" s="167">
        <v>0.0</v>
      </c>
      <c r="J26" s="168">
        <v>1.0</v>
      </c>
      <c r="K26" s="169">
        <v>0.0</v>
      </c>
      <c r="L26" s="166">
        <v>0.0</v>
      </c>
      <c r="M26" s="170">
        <v>1.0</v>
      </c>
      <c r="N26" s="171">
        <v>0.0</v>
      </c>
      <c r="O26" s="163">
        <v>0.0</v>
      </c>
      <c r="P26" s="164">
        <v>1.0</v>
      </c>
      <c r="Q26" s="165">
        <v>0.0</v>
      </c>
      <c r="R26" s="162">
        <v>1.0</v>
      </c>
      <c r="S26" s="166">
        <v>0.0</v>
      </c>
      <c r="T26" s="159">
        <v>2.0</v>
      </c>
      <c r="U26" s="47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2.75" customHeight="1">
      <c r="A27" s="47">
        <v>3.0</v>
      </c>
      <c r="B27" s="113" t="s">
        <v>181</v>
      </c>
      <c r="C27" s="159" t="s">
        <v>180</v>
      </c>
      <c r="D27" s="160" t="s">
        <v>132</v>
      </c>
      <c r="E27" s="28" t="s">
        <v>178</v>
      </c>
      <c r="F27" s="161">
        <v>2.0</v>
      </c>
      <c r="G27" s="162">
        <v>1.0</v>
      </c>
      <c r="H27" s="162">
        <v>1.0</v>
      </c>
      <c r="I27" s="167">
        <v>0.0</v>
      </c>
      <c r="J27" s="168">
        <v>0.0</v>
      </c>
      <c r="K27" s="169">
        <v>1.0</v>
      </c>
      <c r="L27" s="166">
        <v>0.0</v>
      </c>
      <c r="M27" s="170">
        <v>0.0</v>
      </c>
      <c r="N27" s="171">
        <v>1.0</v>
      </c>
      <c r="O27" s="163">
        <v>0.0</v>
      </c>
      <c r="P27" s="164">
        <v>0.0</v>
      </c>
      <c r="Q27" s="165">
        <v>0.0</v>
      </c>
      <c r="R27" s="162">
        <v>1.0</v>
      </c>
      <c r="S27" s="166">
        <v>1.0</v>
      </c>
      <c r="T27" s="159">
        <v>0.0</v>
      </c>
      <c r="U27" s="47"/>
      <c r="V27" s="6"/>
      <c r="W27" s="6"/>
      <c r="X27" s="6"/>
      <c r="Y27" s="6"/>
      <c r="Z27" s="6"/>
      <c r="AA27" s="6"/>
      <c r="AB27" s="6"/>
      <c r="AC27" s="6"/>
      <c r="AD27" s="6"/>
      <c r="AE27" s="6"/>
    </row>
    <row r="28" ht="12.75" customHeight="1">
      <c r="A28" s="47">
        <v>4.0</v>
      </c>
      <c r="B28" s="113" t="s">
        <v>182</v>
      </c>
      <c r="C28" s="159">
        <v>5.0</v>
      </c>
      <c r="D28" s="160" t="s">
        <v>137</v>
      </c>
      <c r="E28" s="28" t="s">
        <v>178</v>
      </c>
      <c r="F28" s="161">
        <v>2.0</v>
      </c>
      <c r="G28" s="162">
        <v>0.0</v>
      </c>
      <c r="H28" s="162">
        <v>0.0</v>
      </c>
      <c r="I28" s="167">
        <v>0.0</v>
      </c>
      <c r="J28" s="168">
        <v>0.0</v>
      </c>
      <c r="K28" s="169">
        <v>0.0</v>
      </c>
      <c r="L28" s="166">
        <v>0.0</v>
      </c>
      <c r="M28" s="170">
        <v>0.0</v>
      </c>
      <c r="N28" s="171">
        <v>0.0</v>
      </c>
      <c r="O28" s="163">
        <v>0.0</v>
      </c>
      <c r="P28" s="164">
        <v>1.0</v>
      </c>
      <c r="Q28" s="165">
        <v>1.0</v>
      </c>
      <c r="R28" s="162">
        <v>0.0</v>
      </c>
      <c r="S28" s="166">
        <v>0.0</v>
      </c>
      <c r="T28" s="159">
        <v>0.0</v>
      </c>
      <c r="U28" s="47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12.75" customHeight="1">
      <c r="A29" s="47">
        <v>5.0</v>
      </c>
      <c r="B29" s="113" t="s">
        <v>183</v>
      </c>
      <c r="C29" s="159">
        <v>5.0</v>
      </c>
      <c r="D29" s="32" t="s">
        <v>133</v>
      </c>
      <c r="E29" s="28" t="s">
        <v>178</v>
      </c>
      <c r="F29" s="161">
        <v>2.0</v>
      </c>
      <c r="G29" s="162">
        <v>0.0</v>
      </c>
      <c r="H29" s="162">
        <v>0.0</v>
      </c>
      <c r="I29" s="164">
        <v>0.0</v>
      </c>
      <c r="J29" s="164">
        <v>0.0</v>
      </c>
      <c r="K29" s="164">
        <v>0.0</v>
      </c>
      <c r="L29" s="164">
        <v>0.0</v>
      </c>
      <c r="M29" s="164">
        <v>0.0</v>
      </c>
      <c r="N29" s="164">
        <v>0.0</v>
      </c>
      <c r="O29" s="164">
        <v>0.0</v>
      </c>
      <c r="P29" s="164">
        <v>0.0</v>
      </c>
      <c r="Q29" s="165">
        <v>1.0</v>
      </c>
      <c r="R29" s="162">
        <v>1.0</v>
      </c>
      <c r="S29" s="166">
        <v>1.0</v>
      </c>
      <c r="T29" s="159">
        <v>0.0</v>
      </c>
      <c r="U29" s="47"/>
      <c r="V29" s="6"/>
      <c r="W29" s="6"/>
      <c r="X29" s="6"/>
      <c r="Y29" s="6"/>
      <c r="Z29" s="6"/>
      <c r="AA29" s="6"/>
      <c r="AB29" s="6"/>
      <c r="AC29" s="6"/>
      <c r="AD29" s="6"/>
      <c r="AE29" s="6"/>
    </row>
    <row r="30" ht="12.75" customHeight="1">
      <c r="A30" s="47">
        <v>6.0</v>
      </c>
      <c r="B30" s="113" t="s">
        <v>184</v>
      </c>
      <c r="C30" s="159" t="s">
        <v>180</v>
      </c>
      <c r="D30" s="32" t="s">
        <v>121</v>
      </c>
      <c r="E30" s="28" t="s">
        <v>178</v>
      </c>
      <c r="F30" s="161">
        <v>6.0</v>
      </c>
      <c r="G30" s="162">
        <v>0.0</v>
      </c>
      <c r="H30" s="162">
        <v>0.0</v>
      </c>
      <c r="I30" s="167">
        <v>1.0</v>
      </c>
      <c r="J30" s="168">
        <v>1.0</v>
      </c>
      <c r="K30" s="169">
        <v>1.0</v>
      </c>
      <c r="L30" s="166">
        <v>1.0</v>
      </c>
      <c r="M30" s="170">
        <v>1.0</v>
      </c>
      <c r="N30" s="171">
        <v>1.0</v>
      </c>
      <c r="O30" s="171">
        <v>1.0</v>
      </c>
      <c r="P30" s="171">
        <v>1.0</v>
      </c>
      <c r="Q30" s="171">
        <v>1.0</v>
      </c>
      <c r="R30" s="162">
        <v>0.0</v>
      </c>
      <c r="S30" s="162">
        <v>0.0</v>
      </c>
      <c r="T30" s="162">
        <v>0.0</v>
      </c>
      <c r="U30" s="47"/>
      <c r="V30" s="6"/>
      <c r="W30" s="6"/>
      <c r="X30" s="6"/>
      <c r="Y30" s="6"/>
      <c r="Z30" s="6"/>
      <c r="AA30" s="6"/>
      <c r="AB30" s="6"/>
      <c r="AC30" s="6"/>
      <c r="AD30" s="6"/>
      <c r="AE30" s="6"/>
    </row>
    <row r="31" ht="12.75" customHeight="1">
      <c r="A31" s="47">
        <v>7.0</v>
      </c>
      <c r="B31" s="113" t="s">
        <v>185</v>
      </c>
      <c r="C31" s="159" t="s">
        <v>180</v>
      </c>
      <c r="D31" s="32" t="s">
        <v>121</v>
      </c>
      <c r="E31" s="28" t="s">
        <v>178</v>
      </c>
      <c r="F31" s="161">
        <v>6.0</v>
      </c>
      <c r="G31" s="162">
        <v>0.0</v>
      </c>
      <c r="H31" s="162">
        <v>0.0</v>
      </c>
      <c r="I31" s="167">
        <v>1.0</v>
      </c>
      <c r="J31" s="167">
        <v>1.0</v>
      </c>
      <c r="K31" s="169">
        <v>1.0</v>
      </c>
      <c r="L31" s="166">
        <v>1.0</v>
      </c>
      <c r="M31" s="170">
        <v>1.0</v>
      </c>
      <c r="N31" s="170">
        <v>1.0</v>
      </c>
      <c r="O31" s="170">
        <v>1.0</v>
      </c>
      <c r="P31" s="171">
        <v>1.0</v>
      </c>
      <c r="Q31" s="171">
        <v>1.0</v>
      </c>
      <c r="R31" s="162">
        <v>0.0</v>
      </c>
      <c r="S31" s="162">
        <v>0.0</v>
      </c>
      <c r="T31" s="162">
        <v>0.0</v>
      </c>
      <c r="U31" s="18"/>
      <c r="V31" s="17"/>
      <c r="W31" s="17"/>
      <c r="X31" s="17"/>
      <c r="Y31" s="17"/>
      <c r="Z31" s="17"/>
      <c r="AA31" s="17"/>
      <c r="AB31" s="17"/>
      <c r="AC31" s="17"/>
      <c r="AD31" s="17"/>
      <c r="AE31" s="17"/>
    </row>
    <row r="32" ht="12.75" customHeight="1">
      <c r="A32" s="47">
        <v>8.0</v>
      </c>
      <c r="B32" s="113" t="s">
        <v>186</v>
      </c>
      <c r="C32" s="159" t="s">
        <v>180</v>
      </c>
      <c r="D32" s="32" t="s">
        <v>121</v>
      </c>
      <c r="E32" s="28" t="s">
        <v>178</v>
      </c>
      <c r="F32" s="161">
        <v>4.0</v>
      </c>
      <c r="G32" s="162">
        <v>0.0</v>
      </c>
      <c r="H32" s="162">
        <v>0.0</v>
      </c>
      <c r="I32" s="167">
        <v>1.0</v>
      </c>
      <c r="J32" s="167">
        <v>1.0</v>
      </c>
      <c r="K32" s="169">
        <v>0.0</v>
      </c>
      <c r="L32" s="166">
        <v>0.0</v>
      </c>
      <c r="M32" s="170">
        <v>1.0</v>
      </c>
      <c r="N32" s="170">
        <v>1.0</v>
      </c>
      <c r="O32" s="170">
        <v>1.0</v>
      </c>
      <c r="P32" s="164">
        <v>0.0</v>
      </c>
      <c r="Q32" s="165">
        <v>0.0</v>
      </c>
      <c r="R32" s="162">
        <v>0.0</v>
      </c>
      <c r="S32" s="166">
        <v>0.0</v>
      </c>
      <c r="T32" s="172">
        <v>0.0</v>
      </c>
      <c r="U32" s="18"/>
      <c r="V32" s="17"/>
      <c r="W32" s="17"/>
      <c r="X32" s="17"/>
      <c r="Y32" s="17"/>
      <c r="Z32" s="17"/>
      <c r="AA32" s="17"/>
      <c r="AB32" s="17"/>
      <c r="AC32" s="17"/>
      <c r="AD32" s="17"/>
      <c r="AE32" s="17"/>
    </row>
    <row r="33" ht="12.75" customHeight="1">
      <c r="A33" s="47">
        <v>9.0</v>
      </c>
      <c r="B33" s="113" t="s">
        <v>187</v>
      </c>
      <c r="C33" s="159">
        <v>6.0</v>
      </c>
      <c r="D33" s="32" t="s">
        <v>132</v>
      </c>
      <c r="E33" s="28" t="s">
        <v>178</v>
      </c>
      <c r="F33" s="161">
        <v>8.0</v>
      </c>
      <c r="G33" s="162">
        <v>0.0</v>
      </c>
      <c r="H33" s="162">
        <v>0.0</v>
      </c>
      <c r="I33" s="163">
        <v>0.0</v>
      </c>
      <c r="J33" s="163">
        <v>0.0</v>
      </c>
      <c r="K33" s="163">
        <v>0.0</v>
      </c>
      <c r="L33" s="163">
        <v>0.0</v>
      </c>
      <c r="M33" s="163">
        <v>0.0</v>
      </c>
      <c r="N33" s="163">
        <v>0.0</v>
      </c>
      <c r="O33" s="163">
        <v>2.0</v>
      </c>
      <c r="P33" s="164">
        <v>2.0</v>
      </c>
      <c r="Q33" s="165">
        <v>2.0</v>
      </c>
      <c r="R33" s="162">
        <v>0.0</v>
      </c>
      <c r="S33" s="166">
        <v>0.0</v>
      </c>
      <c r="T33" s="172">
        <v>0.0</v>
      </c>
      <c r="U33" s="18"/>
      <c r="V33" s="17"/>
      <c r="W33" s="17"/>
      <c r="X33" s="17"/>
      <c r="Y33" s="17"/>
      <c r="Z33" s="17"/>
      <c r="AA33" s="17"/>
      <c r="AB33" s="17"/>
      <c r="AC33" s="17"/>
      <c r="AD33" s="17"/>
      <c r="AE33" s="17"/>
    </row>
    <row r="34" ht="12.75" customHeight="1">
      <c r="A34" s="47">
        <v>10.0</v>
      </c>
      <c r="B34" s="113" t="s">
        <v>188</v>
      </c>
      <c r="C34" s="159">
        <v>6.0</v>
      </c>
      <c r="D34" s="32" t="s">
        <v>129</v>
      </c>
      <c r="E34" s="28" t="s">
        <v>178</v>
      </c>
      <c r="F34" s="161">
        <v>4.0</v>
      </c>
      <c r="G34" s="162">
        <v>0.0</v>
      </c>
      <c r="H34" s="162">
        <v>0.0</v>
      </c>
      <c r="I34" s="165">
        <v>0.0</v>
      </c>
      <c r="J34" s="165">
        <v>0.0</v>
      </c>
      <c r="K34" s="165">
        <v>0.0</v>
      </c>
      <c r="L34" s="165">
        <v>0.0</v>
      </c>
      <c r="M34" s="165">
        <v>0.0</v>
      </c>
      <c r="N34" s="165">
        <v>0.0</v>
      </c>
      <c r="O34" s="165">
        <v>0.0</v>
      </c>
      <c r="P34" s="165">
        <v>0.0</v>
      </c>
      <c r="Q34" s="165">
        <v>0.0</v>
      </c>
      <c r="R34" s="162">
        <v>2.0</v>
      </c>
      <c r="S34" s="166">
        <v>2.0</v>
      </c>
      <c r="T34" s="172">
        <v>0.0</v>
      </c>
      <c r="U34" s="18"/>
      <c r="V34" s="17"/>
      <c r="W34" s="17"/>
      <c r="X34" s="17"/>
      <c r="Y34" s="17"/>
      <c r="Z34" s="17"/>
      <c r="AA34" s="17"/>
      <c r="AB34" s="17"/>
      <c r="AC34" s="17"/>
      <c r="AD34" s="17"/>
      <c r="AE34" s="17"/>
    </row>
    <row r="35" ht="12.75" customHeight="1">
      <c r="A35" s="47">
        <v>11.0</v>
      </c>
      <c r="B35" s="113" t="s">
        <v>189</v>
      </c>
      <c r="C35" s="159">
        <v>5.0</v>
      </c>
      <c r="D35" s="32" t="s">
        <v>129</v>
      </c>
      <c r="E35" s="28" t="s">
        <v>178</v>
      </c>
      <c r="F35" s="161">
        <v>4.0</v>
      </c>
      <c r="G35" s="162">
        <v>0.0</v>
      </c>
      <c r="H35" s="162">
        <v>0.0</v>
      </c>
      <c r="I35" s="165">
        <v>0.0</v>
      </c>
      <c r="J35" s="165">
        <v>0.0</v>
      </c>
      <c r="K35" s="165">
        <v>0.0</v>
      </c>
      <c r="L35" s="165">
        <v>0.0</v>
      </c>
      <c r="M35" s="165">
        <v>0.0</v>
      </c>
      <c r="N35" s="165">
        <v>0.0</v>
      </c>
      <c r="O35" s="165">
        <v>0.0</v>
      </c>
      <c r="P35" s="165">
        <v>0.0</v>
      </c>
      <c r="Q35" s="165">
        <v>0.0</v>
      </c>
      <c r="R35" s="162">
        <v>0.0</v>
      </c>
      <c r="S35" s="166">
        <v>3.0</v>
      </c>
      <c r="T35" s="172">
        <v>0.0</v>
      </c>
      <c r="U35" s="18"/>
      <c r="V35" s="17"/>
      <c r="W35" s="17"/>
      <c r="X35" s="17"/>
      <c r="Y35" s="17"/>
      <c r="Z35" s="17"/>
      <c r="AA35" s="17"/>
      <c r="AB35" s="17"/>
      <c r="AC35" s="17"/>
      <c r="AD35" s="17"/>
      <c r="AE35" s="17"/>
    </row>
    <row r="36" ht="12.75" customHeight="1">
      <c r="A36" s="47">
        <v>12.0</v>
      </c>
      <c r="B36" s="113" t="s">
        <v>190</v>
      </c>
      <c r="C36" s="159" t="s">
        <v>180</v>
      </c>
      <c r="D36" s="32" t="s">
        <v>137</v>
      </c>
      <c r="E36" s="28" t="s">
        <v>178</v>
      </c>
      <c r="F36" s="161">
        <v>4.0</v>
      </c>
      <c r="G36" s="162">
        <v>0.0</v>
      </c>
      <c r="H36" s="162">
        <v>0.0</v>
      </c>
      <c r="I36" s="166">
        <v>0.0</v>
      </c>
      <c r="J36" s="166">
        <v>0.0</v>
      </c>
      <c r="K36" s="166">
        <v>0.0</v>
      </c>
      <c r="L36" s="166">
        <v>0.0</v>
      </c>
      <c r="M36" s="166">
        <v>0.0</v>
      </c>
      <c r="N36" s="166">
        <v>0.0</v>
      </c>
      <c r="O36" s="166">
        <v>0.0</v>
      </c>
      <c r="P36" s="166">
        <v>0.0</v>
      </c>
      <c r="Q36" s="166">
        <v>0.0</v>
      </c>
      <c r="R36" s="166">
        <v>0.0</v>
      </c>
      <c r="S36" s="166">
        <v>0.0</v>
      </c>
      <c r="T36" s="172">
        <v>4.0</v>
      </c>
      <c r="U36" s="18"/>
      <c r="V36" s="17"/>
      <c r="W36" s="17"/>
      <c r="X36" s="17"/>
      <c r="Y36" s="17"/>
      <c r="Z36" s="17"/>
      <c r="AA36" s="17"/>
      <c r="AB36" s="17"/>
      <c r="AC36" s="17"/>
      <c r="AD36" s="17"/>
      <c r="AE36" s="17"/>
    </row>
    <row r="37" ht="12.75" customHeight="1">
      <c r="A37" s="47">
        <v>13.0</v>
      </c>
      <c r="B37" s="113" t="s">
        <v>191</v>
      </c>
      <c r="C37" s="159" t="s">
        <v>180</v>
      </c>
      <c r="D37" s="32" t="s">
        <v>121</v>
      </c>
      <c r="E37" s="28" t="s">
        <v>178</v>
      </c>
      <c r="F37" s="161">
        <v>4.0</v>
      </c>
      <c r="G37" s="162">
        <v>0.0</v>
      </c>
      <c r="H37" s="162">
        <v>0.0</v>
      </c>
      <c r="I37" s="169">
        <v>0.0</v>
      </c>
      <c r="J37" s="169">
        <v>0.0</v>
      </c>
      <c r="K37" s="169">
        <v>0.0</v>
      </c>
      <c r="L37" s="166">
        <v>2.0</v>
      </c>
      <c r="M37" s="170">
        <v>2.0</v>
      </c>
      <c r="N37" s="172">
        <v>0.0</v>
      </c>
      <c r="O37" s="172">
        <v>0.0</v>
      </c>
      <c r="P37" s="172">
        <v>0.0</v>
      </c>
      <c r="Q37" s="172">
        <v>0.0</v>
      </c>
      <c r="R37" s="172">
        <v>0.0</v>
      </c>
      <c r="S37" s="172">
        <v>0.0</v>
      </c>
      <c r="T37" s="172">
        <v>0.0</v>
      </c>
      <c r="U37" s="18"/>
      <c r="V37" s="17"/>
      <c r="W37" s="17"/>
      <c r="X37" s="17"/>
      <c r="Y37" s="17"/>
      <c r="Z37" s="17"/>
      <c r="AA37" s="17"/>
      <c r="AB37" s="17"/>
      <c r="AC37" s="17"/>
      <c r="AD37" s="17"/>
      <c r="AE37" s="17"/>
    </row>
    <row r="38" ht="12.75" customHeight="1">
      <c r="A38" s="47">
        <v>14.0</v>
      </c>
      <c r="B38" s="113" t="s">
        <v>192</v>
      </c>
      <c r="C38" s="159">
        <v>5.0</v>
      </c>
      <c r="D38" s="32" t="s">
        <v>133</v>
      </c>
      <c r="E38" s="28" t="s">
        <v>178</v>
      </c>
      <c r="F38" s="161">
        <v>3.0</v>
      </c>
      <c r="G38" s="162">
        <v>0.0</v>
      </c>
      <c r="H38" s="162">
        <v>0.0</v>
      </c>
      <c r="I38" s="162">
        <v>0.0</v>
      </c>
      <c r="J38" s="162">
        <v>0.0</v>
      </c>
      <c r="K38" s="162">
        <v>0.0</v>
      </c>
      <c r="L38" s="162">
        <v>0.0</v>
      </c>
      <c r="M38" s="162">
        <v>0.0</v>
      </c>
      <c r="N38" s="162">
        <v>0.0</v>
      </c>
      <c r="O38" s="162">
        <v>0.0</v>
      </c>
      <c r="P38" s="162">
        <v>0.0</v>
      </c>
      <c r="Q38" s="162">
        <v>0.0</v>
      </c>
      <c r="R38" s="162">
        <v>0.0</v>
      </c>
      <c r="S38" s="166">
        <v>2.0</v>
      </c>
      <c r="T38" s="172">
        <v>4.0</v>
      </c>
      <c r="U38" s="18"/>
      <c r="V38" s="17"/>
      <c r="W38" s="17"/>
      <c r="X38" s="17"/>
      <c r="Y38" s="17"/>
      <c r="Z38" s="17"/>
      <c r="AA38" s="17"/>
      <c r="AB38" s="17"/>
      <c r="AC38" s="17"/>
      <c r="AD38" s="17"/>
      <c r="AE38" s="17"/>
    </row>
    <row r="39" ht="12.75" customHeight="1">
      <c r="A39" s="47">
        <v>15.0</v>
      </c>
      <c r="B39" s="113" t="s">
        <v>193</v>
      </c>
      <c r="C39" s="159">
        <v>5.0</v>
      </c>
      <c r="D39" s="32" t="s">
        <v>133</v>
      </c>
      <c r="E39" s="28" t="s">
        <v>178</v>
      </c>
      <c r="F39" s="161">
        <v>3.0</v>
      </c>
      <c r="G39" s="162">
        <v>0.0</v>
      </c>
      <c r="H39" s="162">
        <v>0.0</v>
      </c>
      <c r="I39" s="162">
        <v>0.0</v>
      </c>
      <c r="J39" s="162">
        <v>0.0</v>
      </c>
      <c r="K39" s="162">
        <v>0.0</v>
      </c>
      <c r="L39" s="162">
        <v>0.0</v>
      </c>
      <c r="M39" s="162">
        <v>0.0</v>
      </c>
      <c r="N39" s="162">
        <v>0.0</v>
      </c>
      <c r="O39" s="162">
        <v>0.0</v>
      </c>
      <c r="P39" s="162">
        <v>0.0</v>
      </c>
      <c r="Q39" s="162">
        <v>0.0</v>
      </c>
      <c r="R39" s="162">
        <v>0.0</v>
      </c>
      <c r="S39" s="166">
        <v>2.0</v>
      </c>
      <c r="T39" s="172">
        <v>4.0</v>
      </c>
      <c r="U39" s="18"/>
      <c r="V39" s="17"/>
      <c r="W39" s="17"/>
      <c r="X39" s="17"/>
      <c r="Y39" s="17"/>
      <c r="Z39" s="17"/>
      <c r="AA39" s="17"/>
      <c r="AB39" s="17"/>
      <c r="AC39" s="17"/>
      <c r="AD39" s="17"/>
      <c r="AE39" s="17"/>
    </row>
    <row r="40" ht="12.75" customHeight="1">
      <c r="A40" s="47">
        <v>16.0</v>
      </c>
      <c r="B40" s="113" t="s">
        <v>194</v>
      </c>
      <c r="C40" s="159">
        <v>5.0</v>
      </c>
      <c r="D40" s="32" t="s">
        <v>129</v>
      </c>
      <c r="E40" s="28" t="s">
        <v>178</v>
      </c>
      <c r="F40" s="161">
        <v>3.0</v>
      </c>
      <c r="G40" s="162">
        <v>0.0</v>
      </c>
      <c r="H40" s="162">
        <v>0.0</v>
      </c>
      <c r="I40" s="162">
        <v>4.0</v>
      </c>
      <c r="J40" s="162">
        <v>4.0</v>
      </c>
      <c r="K40" s="162">
        <v>4.0</v>
      </c>
      <c r="L40" s="162">
        <v>4.0</v>
      </c>
      <c r="M40" s="162">
        <v>4.0</v>
      </c>
      <c r="N40" s="162">
        <v>4.0</v>
      </c>
      <c r="O40" s="162">
        <v>4.0</v>
      </c>
      <c r="P40" s="162">
        <v>4.0</v>
      </c>
      <c r="Q40" s="162">
        <v>4.0</v>
      </c>
      <c r="R40" s="162">
        <v>4.0</v>
      </c>
      <c r="S40" s="162">
        <v>4.0</v>
      </c>
      <c r="T40" s="172">
        <v>4.0</v>
      </c>
      <c r="U40" s="18"/>
      <c r="V40" s="17"/>
      <c r="W40" s="17"/>
      <c r="X40" s="17"/>
      <c r="Y40" s="17"/>
      <c r="Z40" s="17"/>
      <c r="AA40" s="17"/>
      <c r="AB40" s="17"/>
      <c r="AC40" s="17"/>
      <c r="AD40" s="17"/>
      <c r="AE40" s="17"/>
    </row>
    <row r="41" ht="12.75" customHeight="1">
      <c r="A41" s="47">
        <v>17.0</v>
      </c>
      <c r="B41" s="113" t="s">
        <v>195</v>
      </c>
      <c r="C41" s="159">
        <v>5.0</v>
      </c>
      <c r="D41" s="32" t="s">
        <v>129</v>
      </c>
      <c r="E41" s="28" t="s">
        <v>178</v>
      </c>
      <c r="F41" s="161">
        <v>3.0</v>
      </c>
      <c r="G41" s="162">
        <v>0.0</v>
      </c>
      <c r="H41" s="162">
        <v>0.0</v>
      </c>
      <c r="I41" s="162">
        <v>0.0</v>
      </c>
      <c r="J41" s="162">
        <v>4.0</v>
      </c>
      <c r="K41" s="162">
        <v>4.0</v>
      </c>
      <c r="L41" s="162">
        <v>4.0</v>
      </c>
      <c r="M41" s="162">
        <v>4.0</v>
      </c>
      <c r="N41" s="162">
        <v>4.0</v>
      </c>
      <c r="O41" s="162">
        <v>4.0</v>
      </c>
      <c r="P41" s="162">
        <v>4.0</v>
      </c>
      <c r="Q41" s="162">
        <v>4.0</v>
      </c>
      <c r="R41" s="162">
        <v>4.0</v>
      </c>
      <c r="S41" s="162">
        <v>4.0</v>
      </c>
      <c r="T41" s="172">
        <v>4.0</v>
      </c>
      <c r="U41" s="18"/>
      <c r="V41" s="17"/>
      <c r="W41" s="17"/>
      <c r="X41" s="17"/>
      <c r="Y41" s="17"/>
      <c r="Z41" s="17"/>
      <c r="AA41" s="17"/>
      <c r="AB41" s="17"/>
      <c r="AC41" s="17"/>
      <c r="AD41" s="17"/>
      <c r="AE41" s="17"/>
    </row>
    <row r="42" ht="12.75" customHeight="1">
      <c r="A42" s="2"/>
      <c r="B42" s="147"/>
      <c r="E42" s="17"/>
      <c r="G42" s="173">
        <v>43040.0</v>
      </c>
      <c r="H42" s="174">
        <v>43041.0</v>
      </c>
      <c r="I42" s="173">
        <v>43042.0</v>
      </c>
      <c r="J42" s="174">
        <v>43043.0</v>
      </c>
      <c r="K42" s="173">
        <v>43044.0</v>
      </c>
      <c r="L42" s="174">
        <v>43045.0</v>
      </c>
      <c r="M42" s="173">
        <v>43046.0</v>
      </c>
      <c r="N42" s="174">
        <v>43047.0</v>
      </c>
      <c r="O42" s="173">
        <v>43048.0</v>
      </c>
      <c r="P42" s="174">
        <v>43049.0</v>
      </c>
      <c r="Q42" s="173">
        <v>43050.0</v>
      </c>
      <c r="R42" s="174">
        <v>43051.0</v>
      </c>
      <c r="S42" s="173">
        <v>43052.0</v>
      </c>
      <c r="T42" s="174">
        <v>43053.0</v>
      </c>
      <c r="U42" s="174"/>
      <c r="V42" s="17"/>
      <c r="W42" s="17"/>
      <c r="X42" s="17"/>
      <c r="Y42" s="17"/>
      <c r="Z42" s="17"/>
      <c r="AA42" s="17"/>
      <c r="AB42" s="17"/>
      <c r="AC42" s="17"/>
      <c r="AD42" s="17"/>
      <c r="AE42" s="17"/>
    </row>
    <row r="43" ht="12.75" customHeight="1">
      <c r="A43" s="2"/>
      <c r="B43" s="175"/>
      <c r="E43" s="17"/>
      <c r="F43" s="26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7"/>
      <c r="W43" s="17"/>
      <c r="X43" s="17"/>
      <c r="Y43" s="17"/>
      <c r="Z43" s="17"/>
      <c r="AA43" s="17"/>
      <c r="AB43" s="17"/>
      <c r="AC43" s="17"/>
      <c r="AD43" s="17"/>
      <c r="AE43" s="17"/>
    </row>
    <row r="44" ht="12.75" customHeight="1">
      <c r="A44" s="2"/>
      <c r="B44" s="147"/>
      <c r="E44" s="17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7"/>
      <c r="W44" s="17"/>
      <c r="X44" s="17"/>
      <c r="Y44" s="17"/>
      <c r="Z44" s="17"/>
      <c r="AA44" s="17"/>
      <c r="AB44" s="17"/>
      <c r="AC44" s="17"/>
      <c r="AD44" s="17"/>
      <c r="AE44" s="17"/>
    </row>
    <row r="45" ht="12.75" customHeight="1">
      <c r="A45" s="2"/>
      <c r="B45" s="147"/>
      <c r="E45" s="17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7"/>
      <c r="W45" s="17"/>
      <c r="X45" s="17"/>
      <c r="Y45" s="17"/>
      <c r="Z45" s="17"/>
      <c r="AA45" s="17"/>
      <c r="AB45" s="17"/>
      <c r="AC45" s="17"/>
      <c r="AD45" s="17"/>
      <c r="AE45" s="17"/>
    </row>
    <row r="46" ht="12.75" customHeight="1">
      <c r="A46" s="2"/>
      <c r="B46" s="147"/>
      <c r="E46" s="17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7"/>
      <c r="W46" s="17"/>
      <c r="X46" s="17"/>
      <c r="Y46" s="17"/>
      <c r="Z46" s="17"/>
      <c r="AA46" s="17"/>
      <c r="AB46" s="17"/>
      <c r="AC46" s="17"/>
      <c r="AD46" s="17"/>
      <c r="AE46" s="17"/>
    </row>
    <row r="47" ht="12.75" customHeight="1">
      <c r="A47" s="2"/>
      <c r="B47" s="14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</row>
    <row r="48" ht="12.75" customHeight="1">
      <c r="A48" s="2"/>
      <c r="B48" s="14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</row>
    <row r="49" ht="12.75" customHeight="1">
      <c r="A49" s="2"/>
      <c r="B49" s="14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ht="12.75" customHeight="1">
      <c r="A50" s="2"/>
      <c r="B50" s="14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ht="12.75" customHeight="1">
      <c r="A51" s="2"/>
      <c r="B51" s="14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ht="12.75" customHeight="1">
      <c r="A52" s="2"/>
      <c r="B52" s="14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ht="12.75" customHeight="1">
      <c r="A53" s="2"/>
      <c r="B53" s="14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ht="12.75" customHeight="1">
      <c r="A54" s="2"/>
      <c r="B54" s="147"/>
      <c r="C54" s="18"/>
      <c r="D54" s="1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ht="12.75" customHeight="1">
      <c r="A55" s="2"/>
      <c r="B55" s="147"/>
      <c r="C55" s="18"/>
      <c r="D55" s="1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ht="12.75" customHeight="1">
      <c r="A56" s="2"/>
      <c r="B56" s="147"/>
      <c r="C56" s="18"/>
      <c r="D56" s="1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ht="12.75" customHeight="1">
      <c r="A57" s="2"/>
      <c r="B57" s="147"/>
      <c r="C57" s="18"/>
      <c r="D57" s="1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ht="12.75" customHeight="1">
      <c r="A58" s="2"/>
      <c r="B58" s="147"/>
      <c r="C58" s="18"/>
      <c r="D58" s="1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ht="12.75" customHeight="1">
      <c r="A59" s="2"/>
      <c r="B59" s="147"/>
      <c r="C59" s="18"/>
      <c r="D59" s="1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ht="12.75" customHeight="1">
      <c r="A60" s="2"/>
      <c r="B60" s="147"/>
      <c r="C60" s="18"/>
      <c r="D60" s="1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ht="12.75" customHeight="1">
      <c r="A61" s="2"/>
      <c r="B61" s="147"/>
      <c r="C61" s="18"/>
      <c r="D61" s="1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ht="12.75" customHeight="1">
      <c r="A62" s="2"/>
      <c r="B62" s="147"/>
      <c r="C62" s="18"/>
      <c r="D62" s="1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ht="12.75" customHeight="1">
      <c r="A63" s="2"/>
      <c r="B63" s="147"/>
      <c r="C63" s="18"/>
      <c r="D63" s="1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ht="12.75" customHeight="1">
      <c r="A64" s="2"/>
      <c r="B64" s="17"/>
      <c r="C64" s="18"/>
      <c r="D64" s="1"/>
      <c r="E64" s="17" t="str">
        <f>IF(B64&lt;&gt;"","Planned","")</f>
        <v/>
      </c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</row>
    <row r="65" ht="12.75" customHeight="1">
      <c r="A65" s="2"/>
      <c r="B65" s="17"/>
      <c r="C65" s="18"/>
      <c r="D65" s="1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</row>
    <row r="66" ht="12.75" customHeight="1">
      <c r="A66" s="2"/>
      <c r="B66" s="17"/>
      <c r="C66" s="18"/>
      <c r="D66" s="1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ht="12.75" customHeight="1">
      <c r="A67" s="2"/>
      <c r="B67" s="17"/>
      <c r="C67" s="18"/>
      <c r="D67" s="1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</row>
    <row r="68" ht="12.75" customHeight="1">
      <c r="A68" s="2"/>
      <c r="B68" s="17"/>
      <c r="C68" s="18"/>
      <c r="D68" s="1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</row>
    <row r="69" ht="12.75" customHeight="1">
      <c r="A69" s="2"/>
      <c r="B69" s="17"/>
      <c r="C69" s="18"/>
      <c r="D69" s="1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</row>
    <row r="70" ht="12.75" customHeight="1">
      <c r="A70" s="2"/>
      <c r="B70" s="17"/>
      <c r="C70" s="18"/>
      <c r="D70" s="1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</row>
    <row r="71" ht="12.75" customHeight="1">
      <c r="A71" s="2"/>
      <c r="B71" s="17"/>
      <c r="C71" s="18"/>
      <c r="D71" s="1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</row>
    <row r="72" ht="12.75" customHeight="1">
      <c r="A72" s="2"/>
      <c r="B72" s="17"/>
      <c r="C72" s="18"/>
      <c r="D72" s="1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</row>
    <row r="73" ht="12.75" customHeight="1">
      <c r="A73" s="2"/>
      <c r="B73" s="17"/>
      <c r="C73" s="18"/>
      <c r="D73" s="1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</row>
    <row r="74" ht="12.75" customHeight="1">
      <c r="A74" s="2"/>
      <c r="B74" s="17"/>
      <c r="C74" s="18"/>
      <c r="D74" s="1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</row>
    <row r="75" ht="12.75" customHeight="1">
      <c r="A75" s="2"/>
      <c r="B75" s="17"/>
      <c r="C75" s="18"/>
      <c r="D75" s="1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</row>
    <row r="76" ht="12.75" customHeight="1">
      <c r="A76" s="2"/>
      <c r="B76" s="17"/>
      <c r="C76" s="18"/>
      <c r="D76" s="1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</row>
    <row r="77" ht="12.75" customHeight="1">
      <c r="A77" s="2"/>
      <c r="B77" s="17"/>
      <c r="C77" s="18"/>
      <c r="D77" s="1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</row>
    <row r="78" ht="12.75" customHeight="1">
      <c r="A78" s="2"/>
      <c r="B78" s="17"/>
      <c r="C78" s="18"/>
      <c r="D78" s="1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</row>
    <row r="79" ht="12.75" customHeight="1">
      <c r="A79" s="2"/>
      <c r="B79" s="17"/>
      <c r="C79" s="17"/>
      <c r="D79" s="1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</row>
    <row r="80" ht="12.75" customHeight="1">
      <c r="A80" s="2"/>
      <c r="B80" s="17"/>
      <c r="C80" s="18"/>
      <c r="D80" s="17"/>
      <c r="E80" s="17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7"/>
      <c r="W80" s="17"/>
      <c r="X80" s="17"/>
      <c r="Y80" s="17"/>
      <c r="Z80" s="17"/>
      <c r="AA80" s="17"/>
      <c r="AB80" s="17"/>
      <c r="AC80" s="17"/>
      <c r="AD80" s="17"/>
      <c r="AE80" s="17"/>
    </row>
  </sheetData>
  <conditionalFormatting sqref="F43">
    <cfRule type="expression" dxfId="4" priority="1">
      <formula>$E31="Done"</formula>
    </cfRule>
  </conditionalFormatting>
  <conditionalFormatting sqref="F43">
    <cfRule type="expression" dxfId="3" priority="2">
      <formula>$E31="Ongoing"</formula>
    </cfRule>
  </conditionalFormatting>
  <conditionalFormatting sqref="D25:D29 D38:D39">
    <cfRule type="expression" dxfId="4" priority="3">
      <formula>$E3="Done"</formula>
    </cfRule>
  </conditionalFormatting>
  <conditionalFormatting sqref="D25:D29 D38:D39">
    <cfRule type="expression" dxfId="3" priority="4">
      <formula>$E3="Ongoing"</formula>
    </cfRule>
  </conditionalFormatting>
  <conditionalFormatting sqref="D25:D29 D38:D39">
    <cfRule type="expression" dxfId="3" priority="5">
      <formula>$E3="Ongoing"</formula>
    </cfRule>
  </conditionalFormatting>
  <conditionalFormatting sqref="D25:D29 D38:D39">
    <cfRule type="expression" dxfId="4" priority="6">
      <formula>$E3="Done"</formula>
    </cfRule>
  </conditionalFormatting>
  <conditionalFormatting sqref="D25:D27 D33:D35 D40:D41">
    <cfRule type="expression" dxfId="3" priority="7">
      <formula>$E11="Ongoing"</formula>
    </cfRule>
  </conditionalFormatting>
  <conditionalFormatting sqref="D25:D27 D33:D35 D40:D41">
    <cfRule type="expression" dxfId="4" priority="8">
      <formula>$E11="Done"</formula>
    </cfRule>
  </conditionalFormatting>
  <conditionalFormatting sqref="D31:D32 D37">
    <cfRule type="expression" dxfId="4" priority="9">
      <formula>$E29="Done"</formula>
    </cfRule>
  </conditionalFormatting>
  <conditionalFormatting sqref="D31:D32 D37">
    <cfRule type="expression" dxfId="3" priority="10">
      <formula>$E29="Ongoing"</formula>
    </cfRule>
  </conditionalFormatting>
  <conditionalFormatting sqref="D31:D32 D37">
    <cfRule type="expression" dxfId="3" priority="11">
      <formula>$E29="Ongoing"</formula>
    </cfRule>
  </conditionalFormatting>
  <conditionalFormatting sqref="D31:D32 D37">
    <cfRule type="expression" dxfId="4" priority="12">
      <formula>$E29="Done"</formula>
    </cfRule>
  </conditionalFormatting>
  <conditionalFormatting sqref="D25:D39">
    <cfRule type="expression" dxfId="4" priority="13">
      <formula>$E21="Done"</formula>
    </cfRule>
  </conditionalFormatting>
  <conditionalFormatting sqref="D25:D39">
    <cfRule type="expression" dxfId="3" priority="14">
      <formula>$E21="Ongoing"</formula>
    </cfRule>
  </conditionalFormatting>
  <conditionalFormatting sqref="D25:D39">
    <cfRule type="expression" dxfId="3" priority="15">
      <formula>$E21="Ongoing"</formula>
    </cfRule>
  </conditionalFormatting>
  <conditionalFormatting sqref="D25:D39">
    <cfRule type="expression" dxfId="4" priority="16">
      <formula>$E21="Done"</formula>
    </cfRule>
  </conditionalFormatting>
  <conditionalFormatting sqref="B32:B33">
    <cfRule type="expression" dxfId="2" priority="17">
      <formula>$E30="Removed"</formula>
    </cfRule>
  </conditionalFormatting>
  <conditionalFormatting sqref="B32:B33">
    <cfRule type="expression" dxfId="4" priority="18">
      <formula>$E30="Done"</formula>
    </cfRule>
  </conditionalFormatting>
  <conditionalFormatting sqref="B32:B33">
    <cfRule type="expression" dxfId="3" priority="19">
      <formula>$E30="Ongoing"</formula>
    </cfRule>
  </conditionalFormatting>
  <conditionalFormatting sqref="B32:B33">
    <cfRule type="expression" dxfId="4" priority="20">
      <formula>$E30="Done"</formula>
    </cfRule>
  </conditionalFormatting>
  <conditionalFormatting sqref="B32:B33">
    <cfRule type="expression" dxfId="3" priority="21">
      <formula>$E30="Ongoing"</formula>
    </cfRule>
  </conditionalFormatting>
  <conditionalFormatting sqref="B36:B37">
    <cfRule type="expression" dxfId="2" priority="22">
      <formula>$E33="Removed"</formula>
    </cfRule>
  </conditionalFormatting>
  <conditionalFormatting sqref="B36:B37">
    <cfRule type="expression" dxfId="4" priority="23">
      <formula>$E33="Done"</formula>
    </cfRule>
  </conditionalFormatting>
  <conditionalFormatting sqref="B36:B37">
    <cfRule type="expression" dxfId="3" priority="24">
      <formula>$E33="Ongoing"</formula>
    </cfRule>
  </conditionalFormatting>
  <conditionalFormatting sqref="B41">
    <cfRule type="expression" dxfId="4" priority="25">
      <formula>$E39="Done"</formula>
    </cfRule>
  </conditionalFormatting>
  <conditionalFormatting sqref="B41">
    <cfRule type="expression" dxfId="3" priority="26">
      <formula>$E39="Ongoing"</formula>
    </cfRule>
  </conditionalFormatting>
  <conditionalFormatting sqref="B36:B41">
    <cfRule type="expression" dxfId="4" priority="27">
      <formula>$E33="Done"</formula>
    </cfRule>
  </conditionalFormatting>
  <conditionalFormatting sqref="B36:B41">
    <cfRule type="expression" dxfId="3" priority="28">
      <formula>$E33="Ongoing"</formula>
    </cfRule>
  </conditionalFormatting>
  <conditionalFormatting sqref="B28:B31">
    <cfRule type="expression" dxfId="2" priority="29">
      <formula>$E27="Removed"</formula>
    </cfRule>
  </conditionalFormatting>
  <conditionalFormatting sqref="B28:B31">
    <cfRule type="expression" dxfId="4" priority="30">
      <formula>$E27="Done"</formula>
    </cfRule>
  </conditionalFormatting>
  <conditionalFormatting sqref="B28:B31">
    <cfRule type="expression" dxfId="3" priority="31">
      <formula>$E27="Ongoing"</formula>
    </cfRule>
  </conditionalFormatting>
  <conditionalFormatting sqref="B28:B31">
    <cfRule type="expression" dxfId="4" priority="32">
      <formula>$E27="Done"</formula>
    </cfRule>
  </conditionalFormatting>
  <conditionalFormatting sqref="B28:B31">
    <cfRule type="expression" dxfId="3" priority="33">
      <formula>$E27="Ongoing"</formula>
    </cfRule>
  </conditionalFormatting>
  <conditionalFormatting sqref="B34:B35">
    <cfRule type="expression" dxfId="2" priority="34">
      <formula>$E31="Removed"</formula>
    </cfRule>
  </conditionalFormatting>
  <conditionalFormatting sqref="B34:B35">
    <cfRule type="expression" dxfId="4" priority="35">
      <formula>$E31="Done"</formula>
    </cfRule>
  </conditionalFormatting>
  <conditionalFormatting sqref="B34:B35">
    <cfRule type="expression" dxfId="3" priority="36">
      <formula>$E31="Ongoing"</formula>
    </cfRule>
  </conditionalFormatting>
  <conditionalFormatting sqref="B34:B35">
    <cfRule type="expression" dxfId="4" priority="37">
      <formula>$E31="Done"</formula>
    </cfRule>
  </conditionalFormatting>
  <conditionalFormatting sqref="B34:B35">
    <cfRule type="expression" dxfId="3" priority="38">
      <formula>$E31="Ongoing"</formula>
    </cfRule>
  </conditionalFormatting>
  <conditionalFormatting sqref="B29">
    <cfRule type="expression" dxfId="4" priority="39">
      <formula>#REF!="Done"</formula>
    </cfRule>
  </conditionalFormatting>
  <conditionalFormatting sqref="B29">
    <cfRule type="expression" dxfId="3" priority="40">
      <formula>#REF!="Ongoing"</formula>
    </cfRule>
  </conditionalFormatting>
  <conditionalFormatting sqref="B29">
    <cfRule type="expression" dxfId="2" priority="41">
      <formula>#REF!="Removed"</formula>
    </cfRule>
  </conditionalFormatting>
  <conditionalFormatting sqref="B29">
    <cfRule type="expression" dxfId="4" priority="42">
      <formula>#REF!="Done"</formula>
    </cfRule>
  </conditionalFormatting>
  <conditionalFormatting sqref="B29">
    <cfRule type="expression" dxfId="3" priority="43">
      <formula>#REF!="Ongoing"</formula>
    </cfRule>
  </conditionalFormatting>
  <conditionalFormatting sqref="B25:B27">
    <cfRule type="expression" dxfId="2" priority="44">
      <formula>$E25="Removed"</formula>
    </cfRule>
  </conditionalFormatting>
  <conditionalFormatting sqref="B25:B27 C25:C41 E25:E58 F25:F26 G25:K41 L25:U58 F28:F41 B42:B58 G43:K58 F44:F58 C54:D58">
    <cfRule type="expression" dxfId="4" priority="45">
      <formula>$E25="Done"</formula>
    </cfRule>
  </conditionalFormatting>
  <conditionalFormatting sqref="B25:B27 C25:C41 E25:E58 F25:F26 G25:K41 L25:U58 F28:F41 B42:B58 G43:K58 F44:F58 C54:D58">
    <cfRule type="expression" dxfId="3" priority="46">
      <formula>$E25="Ongoing"</formula>
    </cfRule>
  </conditionalFormatting>
  <conditionalFormatting sqref="G27:H27">
    <cfRule type="expression" dxfId="4" priority="47">
      <formula>$E27="Done"</formula>
    </cfRule>
  </conditionalFormatting>
  <conditionalFormatting sqref="G27:H27">
    <cfRule type="expression" dxfId="3" priority="48">
      <formula>$E27="Ongoing"</formula>
    </cfRule>
  </conditionalFormatting>
  <conditionalFormatting sqref="F27">
    <cfRule type="expression" dxfId="4" priority="49">
      <formula>$E27="Done"</formula>
    </cfRule>
  </conditionalFormatting>
  <conditionalFormatting sqref="F27">
    <cfRule type="expression" dxfId="3" priority="50">
      <formula>$E27="Ongoing"</formula>
    </cfRule>
  </conditionalFormatting>
  <conditionalFormatting sqref="M28">
    <cfRule type="expression" dxfId="4" priority="51">
      <formula>$E28="Done"</formula>
    </cfRule>
  </conditionalFormatting>
  <conditionalFormatting sqref="M28">
    <cfRule type="expression" dxfId="3" priority="52">
      <formula>$E28="Ongoing"</formula>
    </cfRule>
  </conditionalFormatting>
  <conditionalFormatting sqref="G27:H27">
    <cfRule type="expression" dxfId="4" priority="53">
      <formula>$E27="Done"</formula>
    </cfRule>
  </conditionalFormatting>
  <conditionalFormatting sqref="G27:H27">
    <cfRule type="expression" dxfId="3" priority="54">
      <formula>$E27="Ongoing"</formula>
    </cfRule>
  </conditionalFormatting>
  <conditionalFormatting sqref="F27">
    <cfRule type="expression" dxfId="4" priority="55">
      <formula>$E27="Done"</formula>
    </cfRule>
  </conditionalFormatting>
  <conditionalFormatting sqref="F27">
    <cfRule type="expression" dxfId="3" priority="56">
      <formula>$E27="Ongoing"</formula>
    </cfRule>
  </conditionalFormatting>
  <conditionalFormatting sqref="G27:H27">
    <cfRule type="expression" dxfId="4" priority="57">
      <formula>$E27="Done"</formula>
    </cfRule>
  </conditionalFormatting>
  <conditionalFormatting sqref="G27:H27">
    <cfRule type="expression" dxfId="3" priority="58">
      <formula>$E27="Ongoing"</formula>
    </cfRule>
  </conditionalFormatting>
  <conditionalFormatting sqref="I28">
    <cfRule type="expression" dxfId="4" priority="59">
      <formula>$E29="Done"</formula>
    </cfRule>
  </conditionalFormatting>
  <conditionalFormatting sqref="I28">
    <cfRule type="expression" dxfId="3" priority="60">
      <formula>$E29="Ongoing"</formula>
    </cfRule>
  </conditionalFormatting>
  <conditionalFormatting sqref="B25:B27">
    <cfRule type="expression" dxfId="4" priority="61">
      <formula>$E25="Done"</formula>
    </cfRule>
  </conditionalFormatting>
  <conditionalFormatting sqref="B25:B27">
    <cfRule type="expression" dxfId="3" priority="62">
      <formula>$E25="Ongoing"</formula>
    </cfRule>
  </conditionalFormatting>
  <conditionalFormatting sqref="G27:H27">
    <cfRule type="expression" dxfId="4" priority="63">
      <formula>$E27="Done"</formula>
    </cfRule>
  </conditionalFormatting>
  <conditionalFormatting sqref="G27:H27">
    <cfRule type="expression" dxfId="3" priority="64">
      <formula>$E27="Ongoing"</formula>
    </cfRule>
  </conditionalFormatting>
  <conditionalFormatting sqref="F27">
    <cfRule type="expression" dxfId="4" priority="65">
      <formula>$E27="Done"</formula>
    </cfRule>
  </conditionalFormatting>
  <conditionalFormatting sqref="F27">
    <cfRule type="expression" dxfId="3" priority="66">
      <formula>$E27="Ongoing"</formula>
    </cfRule>
  </conditionalFormatting>
  <conditionalFormatting sqref="F27">
    <cfRule type="expression" dxfId="4" priority="67">
      <formula>$E27="Done"</formula>
    </cfRule>
  </conditionalFormatting>
  <conditionalFormatting sqref="F27">
    <cfRule type="expression" dxfId="3" priority="68">
      <formula>$E27="Ongoing"</formula>
    </cfRule>
  </conditionalFormatting>
  <conditionalFormatting sqref="F27">
    <cfRule type="expression" dxfId="4" priority="69">
      <formula>$E27="Done"</formula>
    </cfRule>
  </conditionalFormatting>
  <conditionalFormatting sqref="F27">
    <cfRule type="expression" dxfId="3" priority="70">
      <formula>$E27="Ongoing"</formula>
    </cfRule>
  </conditionalFormatting>
  <conditionalFormatting sqref="F27:T27">
    <cfRule type="expression" dxfId="4" priority="71">
      <formula>#REF!="Done"</formula>
    </cfRule>
  </conditionalFormatting>
  <conditionalFormatting sqref="F27:T27">
    <cfRule type="expression" dxfId="3" priority="72">
      <formula>#REF!="Ongoing"</formula>
    </cfRule>
  </conditionalFormatting>
  <conditionalFormatting sqref="I27">
    <cfRule type="expression" dxfId="4" priority="73">
      <formula>$E27="Done"</formula>
    </cfRule>
  </conditionalFormatting>
  <conditionalFormatting sqref="I27">
    <cfRule type="expression" dxfId="3" priority="74">
      <formula>$E27="Ongoing"</formula>
    </cfRule>
  </conditionalFormatting>
  <conditionalFormatting sqref="I27">
    <cfRule type="expression" dxfId="4" priority="75">
      <formula>$E27="Done"</formula>
    </cfRule>
  </conditionalFormatting>
  <conditionalFormatting sqref="I27">
    <cfRule type="expression" dxfId="3" priority="76">
      <formula>$E27="Ongoing"</formula>
    </cfRule>
  </conditionalFormatting>
  <conditionalFormatting sqref="I27">
    <cfRule type="expression" dxfId="4" priority="77">
      <formula>$E27="Done"</formula>
    </cfRule>
  </conditionalFormatting>
  <conditionalFormatting sqref="I27">
    <cfRule type="expression" dxfId="3" priority="78">
      <formula>$E27="Ongoing"</formula>
    </cfRule>
  </conditionalFormatting>
  <conditionalFormatting sqref="I27">
    <cfRule type="expression" dxfId="4" priority="79">
      <formula>$E27="Done"</formula>
    </cfRule>
  </conditionalFormatting>
  <conditionalFormatting sqref="I27">
    <cfRule type="expression" dxfId="3" priority="80">
      <formula>$E27="Ongoing"</formula>
    </cfRule>
  </conditionalFormatting>
  <conditionalFormatting sqref="N28">
    <cfRule type="expression" dxfId="4" priority="81">
      <formula>$E28="Done"</formula>
    </cfRule>
  </conditionalFormatting>
  <conditionalFormatting sqref="N28">
    <cfRule type="expression" dxfId="3" priority="82">
      <formula>$E28="Ongoing"</formula>
    </cfRule>
  </conditionalFormatting>
  <conditionalFormatting sqref="H27">
    <cfRule type="expression" dxfId="4" priority="83">
      <formula>$E27="Done"</formula>
    </cfRule>
  </conditionalFormatting>
  <conditionalFormatting sqref="H27">
    <cfRule type="expression" dxfId="3" priority="84">
      <formula>$E27="Ongoing"</formula>
    </cfRule>
  </conditionalFormatting>
  <conditionalFormatting sqref="H27">
    <cfRule type="expression" dxfId="4" priority="85">
      <formula>$E27="Done"</formula>
    </cfRule>
  </conditionalFormatting>
  <conditionalFormatting sqref="H27">
    <cfRule type="expression" dxfId="3" priority="86">
      <formula>$E27="Ongoing"</formula>
    </cfRule>
  </conditionalFormatting>
  <conditionalFormatting sqref="H27">
    <cfRule type="expression" dxfId="4" priority="87">
      <formula>$E27="Done"</formula>
    </cfRule>
  </conditionalFormatting>
  <conditionalFormatting sqref="H27">
    <cfRule type="expression" dxfId="3" priority="88">
      <formula>$E27="Ongoing"</formula>
    </cfRule>
  </conditionalFormatting>
  <conditionalFormatting sqref="H27">
    <cfRule type="expression" dxfId="4" priority="89">
      <formula>$E27="Done"</formula>
    </cfRule>
  </conditionalFormatting>
  <conditionalFormatting sqref="H27">
    <cfRule type="expression" dxfId="3" priority="90">
      <formula>$E27="Ongoing"</formula>
    </cfRule>
  </conditionalFormatting>
  <conditionalFormatting sqref="B25:C27 D25:D29 F25 G25:H41 I25:U25 D38:D39 I39:I41 J40:S41">
    <cfRule type="expression" dxfId="4" priority="91">
      <formula>#REF!="Done"</formula>
    </cfRule>
  </conditionalFormatting>
  <conditionalFormatting sqref="B25:C27 D25:D29 F25 G25:H41 I25:U25 D38:D39 I39:I41 J40:S41">
    <cfRule type="expression" dxfId="3" priority="92">
      <formula>#REF!="Ongoing"</formula>
    </cfRule>
  </conditionalFormatting>
  <conditionalFormatting sqref="D25:D39 B26:C26 F26:K26 M26:U26">
    <cfRule type="expression" dxfId="4" priority="93">
      <formula>#REF!="Done"</formula>
    </cfRule>
  </conditionalFormatting>
  <conditionalFormatting sqref="D25:D39 B26:C26 F26:K26 M26:U26">
    <cfRule type="expression" dxfId="3" priority="94">
      <formula>#REF!="Ongoing"</formula>
    </cfRule>
  </conditionalFormatting>
  <conditionalFormatting sqref="F29:K29 M29:O29">
    <cfRule type="expression" dxfId="4" priority="95">
      <formula>$M30="Done"</formula>
    </cfRule>
  </conditionalFormatting>
  <conditionalFormatting sqref="F29:K29 M29:O29">
    <cfRule type="expression" dxfId="3" priority="96">
      <formula>$M30="Ongoing"</formula>
    </cfRule>
  </conditionalFormatting>
  <conditionalFormatting sqref="F28:T28">
    <cfRule type="expression" dxfId="4" priority="97">
      <formula>$M31="Done"</formula>
    </cfRule>
  </conditionalFormatting>
  <conditionalFormatting sqref="F28:T28">
    <cfRule type="expression" dxfId="3" priority="98">
      <formula>$M31="Ongoing"</formula>
    </cfRule>
  </conditionalFormatting>
  <conditionalFormatting sqref="L25">
    <cfRule type="expression" dxfId="4" priority="99">
      <formula>#REF!="Done"</formula>
    </cfRule>
  </conditionalFormatting>
  <conditionalFormatting sqref="L25">
    <cfRule type="expression" dxfId="3" priority="100">
      <formula>#REF!="Ongoing"</formula>
    </cfRule>
  </conditionalFormatting>
  <conditionalFormatting sqref="L26">
    <cfRule type="expression" dxfId="4" priority="101">
      <formula>#REF!="Done"</formula>
    </cfRule>
  </conditionalFormatting>
  <conditionalFormatting sqref="L26">
    <cfRule type="expression" dxfId="3" priority="102">
      <formula>#REF!="Ongoing"</formula>
    </cfRule>
  </conditionalFormatting>
  <conditionalFormatting sqref="L29">
    <cfRule type="expression" dxfId="4" priority="103">
      <formula>$M30="Done"</formula>
    </cfRule>
  </conditionalFormatting>
  <conditionalFormatting sqref="L29">
    <cfRule type="expression" dxfId="3" priority="104">
      <formula>$M30="Ongoing"</formula>
    </cfRule>
  </conditionalFormatting>
  <conditionalFormatting sqref="O28">
    <cfRule type="expression" dxfId="4" priority="105">
      <formula>$E28="Done"</formula>
    </cfRule>
  </conditionalFormatting>
  <conditionalFormatting sqref="O28">
    <cfRule type="expression" dxfId="3" priority="106">
      <formula>$E28="Ongoing"</formula>
    </cfRule>
  </conditionalFormatting>
  <conditionalFormatting sqref="P28">
    <cfRule type="expression" dxfId="4" priority="107">
      <formula>$E28="Done"</formula>
    </cfRule>
  </conditionalFormatting>
  <conditionalFormatting sqref="P28">
    <cfRule type="expression" dxfId="3" priority="108">
      <formula>$E28="Ongoing"</formula>
    </cfRule>
  </conditionalFormatting>
  <conditionalFormatting sqref="Q28">
    <cfRule type="expression" dxfId="4" priority="109">
      <formula>$E28="Done"</formula>
    </cfRule>
  </conditionalFormatting>
  <conditionalFormatting sqref="Q28">
    <cfRule type="expression" dxfId="3" priority="110">
      <formula>$E28="Ongoing"</formula>
    </cfRule>
  </conditionalFormatting>
  <conditionalFormatting sqref="R28:S28">
    <cfRule type="expression" dxfId="4" priority="111">
      <formula>$E28="Done"</formula>
    </cfRule>
  </conditionalFormatting>
  <conditionalFormatting sqref="R28:S28">
    <cfRule type="expression" dxfId="3" priority="112">
      <formula>$E28="Ongoing"</formula>
    </cfRule>
  </conditionalFormatting>
  <conditionalFormatting sqref="T28">
    <cfRule type="expression" dxfId="4" priority="113">
      <formula>$E28="Done"</formula>
    </cfRule>
  </conditionalFormatting>
  <conditionalFormatting sqref="T28">
    <cfRule type="expression" dxfId="3" priority="114">
      <formula>$E28="Ongoing"</formula>
    </cfRule>
  </conditionalFormatting>
  <conditionalFormatting sqref="B25:B27 C25:C30 F25:F30 G25:H41 I25:Q30 R25:T31 U25:U30 I39:I41 J40:S41">
    <cfRule type="expression" dxfId="4" priority="115">
      <formula>$E25="Done"</formula>
    </cfRule>
  </conditionalFormatting>
  <conditionalFormatting sqref="B25:B27 C25:C30 F25:F30 G25:H41 I25:Q30 R25:T31 U25:U30 I39:I41 J40:S41">
    <cfRule type="expression" dxfId="3" priority="116">
      <formula>$E25="Ongoing"</formula>
    </cfRule>
  </conditionalFormatting>
  <conditionalFormatting sqref="I28">
    <cfRule type="expression" dxfId="4" priority="117">
      <formula>$E27="Done"</formula>
    </cfRule>
  </conditionalFormatting>
  <conditionalFormatting sqref="I28">
    <cfRule type="expression" dxfId="3" priority="118">
      <formula>$E27="Ongoing"</formula>
    </cfRule>
  </conditionalFormatting>
  <conditionalFormatting sqref="M27:M28">
    <cfRule type="expression" dxfId="4" priority="119">
      <formula>$E27="Done"</formula>
    </cfRule>
  </conditionalFormatting>
  <conditionalFormatting sqref="M27:M28">
    <cfRule type="expression" dxfId="3" priority="120">
      <formula>$E27="Ongoing"</formula>
    </cfRule>
  </conditionalFormatting>
  <conditionalFormatting sqref="I28">
    <cfRule type="expression" dxfId="4" priority="121">
      <formula>$E27="Done"</formula>
    </cfRule>
  </conditionalFormatting>
  <conditionalFormatting sqref="I28">
    <cfRule type="expression" dxfId="3" priority="122">
      <formula>$E27="Ongoing"</formula>
    </cfRule>
  </conditionalFormatting>
  <conditionalFormatting sqref="I27">
    <cfRule type="expression" dxfId="4" priority="123">
      <formula>#REF!="Done"</formula>
    </cfRule>
  </conditionalFormatting>
  <conditionalFormatting sqref="I27">
    <cfRule type="expression" dxfId="3" priority="124">
      <formula>#REF!="Ongoing"</formula>
    </cfRule>
  </conditionalFormatting>
  <conditionalFormatting sqref="B25:B27">
    <cfRule type="expression" dxfId="4" priority="125">
      <formula>$E25="Done"</formula>
    </cfRule>
  </conditionalFormatting>
  <conditionalFormatting sqref="B25:B27">
    <cfRule type="expression" dxfId="3" priority="126">
      <formula>$E25="Ongoing"</formula>
    </cfRule>
  </conditionalFormatting>
  <conditionalFormatting sqref="N27:N28">
    <cfRule type="expression" dxfId="4" priority="127">
      <formula>$E27="Done"</formula>
    </cfRule>
  </conditionalFormatting>
  <conditionalFormatting sqref="N27:N28">
    <cfRule type="expression" dxfId="3" priority="128">
      <formula>$E27="Ongoing"</formula>
    </cfRule>
  </conditionalFormatting>
  <conditionalFormatting sqref="F26:K26 M26:U26">
    <cfRule type="expression" dxfId="4" priority="129">
      <formula>#REF!="Done"</formula>
    </cfRule>
  </conditionalFormatting>
  <conditionalFormatting sqref="F26:K26 M26:U26">
    <cfRule type="expression" dxfId="3" priority="130">
      <formula>#REF!="Ongoing"</formula>
    </cfRule>
  </conditionalFormatting>
  <conditionalFormatting sqref="D25:D39 B26:C26">
    <cfRule type="expression" dxfId="4" priority="131">
      <formula>#REF!="Done"</formula>
    </cfRule>
  </conditionalFormatting>
  <conditionalFormatting sqref="D25:D39 B26:C26">
    <cfRule type="expression" dxfId="3" priority="132">
      <formula>#REF!="Ongoing"</formula>
    </cfRule>
  </conditionalFormatting>
  <conditionalFormatting sqref="F27:T27">
    <cfRule type="expression" dxfId="4" priority="133">
      <formula>$M30="Done"</formula>
    </cfRule>
  </conditionalFormatting>
  <conditionalFormatting sqref="F27:T27">
    <cfRule type="expression" dxfId="3" priority="134">
      <formula>$M30="Ongoing"</formula>
    </cfRule>
  </conditionalFormatting>
  <conditionalFormatting sqref="B25:C27 D25:D29 F25 G25:H41 I25:U25 D38:D39 I39:I41 J40:S41">
    <cfRule type="expression" dxfId="4" priority="135">
      <formula>#REF!="Done"</formula>
    </cfRule>
  </conditionalFormatting>
  <conditionalFormatting sqref="B25:C27 D25:D29 F25 G25:H41 I25:U25 D38:D39 I39:I41 J40:S41">
    <cfRule type="expression" dxfId="3" priority="136">
      <formula>#REF!="Ongoing"</formula>
    </cfRule>
  </conditionalFormatting>
  <conditionalFormatting sqref="L26">
    <cfRule type="expression" dxfId="4" priority="137">
      <formula>#REF!="Done"</formula>
    </cfRule>
  </conditionalFormatting>
  <conditionalFormatting sqref="L26">
    <cfRule type="expression" dxfId="3" priority="138">
      <formula>#REF!="Ongoing"</formula>
    </cfRule>
  </conditionalFormatting>
  <conditionalFormatting sqref="O27:O28">
    <cfRule type="expression" dxfId="4" priority="139">
      <formula>$E27="Done"</formula>
    </cfRule>
  </conditionalFormatting>
  <conditionalFormatting sqref="O27:O28">
    <cfRule type="expression" dxfId="3" priority="140">
      <formula>$E27="Ongoing"</formula>
    </cfRule>
  </conditionalFormatting>
  <conditionalFormatting sqref="P27:P28">
    <cfRule type="expression" dxfId="4" priority="141">
      <formula>$E27="Done"</formula>
    </cfRule>
  </conditionalFormatting>
  <conditionalFormatting sqref="P27:P28">
    <cfRule type="expression" dxfId="3" priority="142">
      <formula>$E27="Ongoing"</formula>
    </cfRule>
  </conditionalFormatting>
  <conditionalFormatting sqref="Q27:Q28">
    <cfRule type="expression" dxfId="4" priority="143">
      <formula>$E27="Done"</formula>
    </cfRule>
  </conditionalFormatting>
  <conditionalFormatting sqref="Q27:Q28">
    <cfRule type="expression" dxfId="3" priority="144">
      <formula>$E27="Ongoing"</formula>
    </cfRule>
  </conditionalFormatting>
  <conditionalFormatting sqref="R27:S28">
    <cfRule type="expression" dxfId="4" priority="145">
      <formula>$E27="Done"</formula>
    </cfRule>
  </conditionalFormatting>
  <conditionalFormatting sqref="R27:S28">
    <cfRule type="expression" dxfId="3" priority="146">
      <formula>$E27="Ongoing"</formula>
    </cfRule>
  </conditionalFormatting>
  <conditionalFormatting sqref="T27:T28">
    <cfRule type="expression" dxfId="4" priority="147">
      <formula>$E27="Done"</formula>
    </cfRule>
  </conditionalFormatting>
  <conditionalFormatting sqref="T27:T28">
    <cfRule type="expression" dxfId="3" priority="148">
      <formula>$E27="Ongoing"</formula>
    </cfRule>
  </conditionalFormatting>
  <conditionalFormatting sqref="F28:T28">
    <cfRule type="expression" dxfId="4" priority="149">
      <formula>#REF!="Done"</formula>
    </cfRule>
  </conditionalFormatting>
  <conditionalFormatting sqref="F28:T28">
    <cfRule type="expression" dxfId="3" priority="150">
      <formula>#REF!="Ongoing"</formula>
    </cfRule>
  </conditionalFormatting>
  <conditionalFormatting sqref="D25:D29 D38:D39">
    <cfRule type="expression" dxfId="4" priority="151">
      <formula>#REF!="Done"</formula>
    </cfRule>
  </conditionalFormatting>
  <conditionalFormatting sqref="D25:D29 D38:D39">
    <cfRule type="expression" dxfId="3" priority="152">
      <formula>#REF!="Ongoing"</formula>
    </cfRule>
  </conditionalFormatting>
  <conditionalFormatting sqref="D25:D29 D38:D39">
    <cfRule type="expression" dxfId="4" priority="153">
      <formula>#REF!="Done"</formula>
    </cfRule>
  </conditionalFormatting>
  <conditionalFormatting sqref="D25:D29 D38:D39">
    <cfRule type="expression" dxfId="3" priority="154">
      <formula>#REF!="Ongoing"</formula>
    </cfRule>
  </conditionalFormatting>
  <conditionalFormatting sqref="G42:U42">
    <cfRule type="expression" dxfId="4" priority="155">
      <formula>$E31="Done"</formula>
    </cfRule>
  </conditionalFormatting>
  <conditionalFormatting sqref="G42:U42">
    <cfRule type="expression" dxfId="3" priority="156">
      <formula>$E31="Ongoing"</formula>
    </cfRule>
  </conditionalFormatting>
  <dataValidations>
    <dataValidation type="list" allowBlank="1" showInputMessage="1" prompt=" - " sqref="E4:E15 E25:E64">
      <formula1>"Planned,Ongoing,Done"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7.14"/>
    <col customWidth="1" min="2" max="2" width="11.71"/>
    <col customWidth="1" min="3" max="3" width="8.14"/>
    <col customWidth="1" min="4" max="4" width="12.0"/>
    <col customWidth="1" min="5" max="5" width="10.14"/>
    <col customWidth="1" min="6" max="6" width="10.43"/>
    <col customWidth="1" min="7" max="7" width="23.57"/>
    <col customWidth="1" min="8" max="8" width="36.71"/>
    <col customWidth="1" min="9" max="18" width="8.0"/>
  </cols>
  <sheetData>
    <row r="1" ht="12.75" customHeight="1">
      <c r="A1" s="1"/>
      <c r="B1" s="1"/>
      <c r="C1" s="1"/>
      <c r="D1" s="1"/>
      <c r="E1" s="1"/>
      <c r="F1" s="1"/>
      <c r="G1" s="59"/>
      <c r="H1" s="1"/>
    </row>
    <row r="2" ht="18.0" customHeight="1">
      <c r="A2" s="61" t="s">
        <v>72</v>
      </c>
    </row>
    <row r="3" ht="12.75" customHeight="1">
      <c r="A3" s="1"/>
      <c r="B3" s="1"/>
      <c r="C3" s="1"/>
      <c r="D3" s="1"/>
      <c r="E3" s="1"/>
      <c r="F3" s="1"/>
      <c r="G3" s="59"/>
      <c r="H3" s="1"/>
    </row>
    <row r="4" ht="12.75" customHeight="1">
      <c r="A4" s="63" t="s">
        <v>18</v>
      </c>
      <c r="B4" s="65" t="s">
        <v>74</v>
      </c>
      <c r="C4" s="65" t="s">
        <v>50</v>
      </c>
      <c r="D4" s="65" t="s">
        <v>76</v>
      </c>
      <c r="E4" s="65" t="s">
        <v>77</v>
      </c>
      <c r="F4" s="67" t="s">
        <v>11</v>
      </c>
      <c r="G4" s="65" t="s">
        <v>79</v>
      </c>
      <c r="H4" s="68" t="s">
        <v>80</v>
      </c>
      <c r="I4" s="69"/>
    </row>
    <row r="5" ht="38.25" customHeight="1">
      <c r="A5" s="71">
        <v>1.0</v>
      </c>
      <c r="B5" s="73">
        <v>40539.0</v>
      </c>
      <c r="C5" s="71">
        <v>27.0</v>
      </c>
      <c r="D5" s="73">
        <f t="shared" ref="D5:D6" si="1">IF(AND(B5&lt;&gt;"",C5&lt;&gt;""),B5+C5-1,"")</f>
        <v>40565</v>
      </c>
      <c r="E5" s="71">
        <v>26.0</v>
      </c>
      <c r="F5" s="71" t="s">
        <v>84</v>
      </c>
      <c r="G5" s="73">
        <v>40565.0</v>
      </c>
      <c r="H5" s="77" t="s">
        <v>85</v>
      </c>
      <c r="I5" s="1"/>
      <c r="J5" s="1"/>
      <c r="K5" s="1"/>
      <c r="L5" s="1"/>
      <c r="M5" s="1"/>
      <c r="N5" s="1"/>
      <c r="O5" s="1"/>
      <c r="P5" s="1"/>
      <c r="Q5" s="1"/>
      <c r="R5" s="1"/>
    </row>
    <row r="6" ht="63.75" customHeight="1">
      <c r="A6" s="47">
        <v>2.0</v>
      </c>
      <c r="B6" s="80">
        <f>IF(AND(B5&lt;&gt;"",C5&lt;&gt;"",C6&lt;&gt;""),B5+C5,"")</f>
        <v>40566</v>
      </c>
      <c r="C6" s="47">
        <v>14.0</v>
      </c>
      <c r="D6" s="80">
        <f t="shared" si="1"/>
        <v>40579</v>
      </c>
      <c r="E6" s="47">
        <v>24.0</v>
      </c>
      <c r="F6" s="2" t="s">
        <v>62</v>
      </c>
      <c r="G6" s="80">
        <v>40579.0</v>
      </c>
      <c r="H6" s="82" t="s">
        <v>88</v>
      </c>
      <c r="I6" s="1"/>
      <c r="J6" s="1"/>
      <c r="K6" s="1"/>
      <c r="L6" s="1"/>
      <c r="M6" s="1"/>
      <c r="N6" s="1"/>
      <c r="O6" s="1"/>
      <c r="P6" s="1"/>
      <c r="Q6" s="1"/>
      <c r="R6" s="1"/>
    </row>
    <row r="7" ht="12.75" customHeight="1">
      <c r="A7" s="84"/>
      <c r="B7" s="84"/>
      <c r="C7" s="84"/>
      <c r="D7" s="86" t="s">
        <v>92</v>
      </c>
      <c r="E7" s="87">
        <v>6.0</v>
      </c>
      <c r="F7" s="84"/>
      <c r="G7" s="87"/>
      <c r="H7" s="84"/>
    </row>
    <row r="8" ht="12.75" customHeight="1">
      <c r="A8" s="1"/>
      <c r="B8" s="1"/>
      <c r="C8" s="1"/>
      <c r="D8" s="88" t="s">
        <v>96</v>
      </c>
      <c r="E8" s="59">
        <f>E5+E6</f>
        <v>50</v>
      </c>
      <c r="F8" s="1"/>
      <c r="G8" s="59"/>
      <c r="H8" s="1"/>
    </row>
    <row r="9" ht="12.75" customHeight="1">
      <c r="A9" s="1"/>
      <c r="B9" s="1"/>
      <c r="C9" s="1"/>
      <c r="D9" s="1"/>
      <c r="E9" s="1"/>
      <c r="F9" s="1"/>
      <c r="G9" s="1"/>
      <c r="H9" s="1"/>
    </row>
    <row r="10" ht="12.75" customHeight="1">
      <c r="A10" s="1"/>
      <c r="B10" s="1"/>
      <c r="C10" s="1"/>
      <c r="D10" s="1"/>
      <c r="E10" s="1"/>
      <c r="F10" s="1"/>
      <c r="G10" s="1"/>
      <c r="H10" s="1"/>
    </row>
    <row r="11" ht="12.75" customHeight="1">
      <c r="A11" s="1"/>
      <c r="B11" s="1"/>
      <c r="C11" s="1"/>
      <c r="D11" s="1"/>
      <c r="E11" s="1"/>
      <c r="F11" s="1"/>
      <c r="G11" s="1"/>
      <c r="H11" s="1"/>
    </row>
    <row r="12" ht="12.75" customHeight="1">
      <c r="A12" s="1"/>
      <c r="B12" s="1"/>
      <c r="C12" s="1"/>
      <c r="D12" s="1"/>
      <c r="E12" s="1"/>
      <c r="F12" s="1"/>
      <c r="G12" s="1"/>
      <c r="H12" s="1"/>
    </row>
    <row r="13" ht="12.75" customHeight="1">
      <c r="A13" s="1"/>
      <c r="B13" s="1"/>
      <c r="C13" s="1"/>
      <c r="D13" s="1"/>
      <c r="E13" s="1"/>
      <c r="F13" s="1"/>
      <c r="G13" s="1"/>
      <c r="H13" s="1"/>
    </row>
    <row r="14" ht="12.75" customHeight="1">
      <c r="A14" s="1"/>
      <c r="B14" s="1"/>
      <c r="C14" s="1"/>
      <c r="D14" s="1"/>
      <c r="E14" s="1"/>
      <c r="F14" s="1"/>
      <c r="G14" s="1"/>
      <c r="H14" s="1"/>
    </row>
    <row r="15" ht="12.75" customHeight="1">
      <c r="A15" s="1"/>
      <c r="B15" s="1"/>
      <c r="C15" s="1"/>
      <c r="D15" s="1"/>
      <c r="E15" s="1"/>
      <c r="F15" s="1"/>
      <c r="G15" s="1"/>
      <c r="H15" s="1"/>
    </row>
    <row r="16" ht="12.75" customHeight="1">
      <c r="A16" s="1"/>
      <c r="B16" s="1"/>
      <c r="C16" s="1"/>
      <c r="D16" s="1"/>
      <c r="E16" s="1"/>
      <c r="F16" s="1"/>
      <c r="G16" s="1"/>
      <c r="H16" s="1"/>
    </row>
    <row r="17" ht="12.75" customHeight="1">
      <c r="A17" s="1"/>
      <c r="B17" s="1"/>
      <c r="C17" s="1"/>
      <c r="D17" s="1"/>
      <c r="E17" s="1"/>
      <c r="F17" s="1"/>
      <c r="G17" s="1"/>
      <c r="H17" s="1"/>
    </row>
    <row r="18" ht="12.75" customHeight="1">
      <c r="A18" s="1"/>
      <c r="B18" s="1"/>
      <c r="C18" s="1"/>
      <c r="D18" s="1"/>
      <c r="E18" s="1"/>
      <c r="F18" s="1"/>
      <c r="G18" s="1"/>
      <c r="H18" s="1"/>
    </row>
    <row r="19" ht="12.75" customHeight="1">
      <c r="A19" s="1"/>
      <c r="B19" s="1"/>
      <c r="C19" s="1"/>
      <c r="D19" s="1"/>
      <c r="E19" s="1"/>
      <c r="F19" s="1"/>
      <c r="G19" s="1"/>
      <c r="H19" s="1"/>
    </row>
    <row r="20" ht="12.75" customHeight="1">
      <c r="A20" s="1"/>
      <c r="B20" s="1"/>
      <c r="C20" s="1"/>
      <c r="D20" s="1"/>
      <c r="E20" s="1"/>
      <c r="F20" s="1"/>
      <c r="G20" s="1"/>
      <c r="H20" s="1"/>
    </row>
    <row r="21" ht="12.75" customHeight="1">
      <c r="A21" s="1"/>
      <c r="B21" s="1"/>
      <c r="C21" s="1"/>
      <c r="D21" s="1"/>
      <c r="E21" s="1"/>
      <c r="F21" s="1"/>
      <c r="G21" s="59"/>
      <c r="H21" s="1"/>
    </row>
  </sheetData>
  <mergeCells count="1">
    <mergeCell ref="A2:H2"/>
  </mergeCells>
  <conditionalFormatting sqref="E7">
    <cfRule type="expression" dxfId="0" priority="1">
      <formula>$F7="Planned"</formula>
    </cfRule>
  </conditionalFormatting>
  <conditionalFormatting sqref="E7">
    <cfRule type="expression" dxfId="1" priority="2">
      <formula>$F7="Ongoing"</formula>
    </cfRule>
  </conditionalFormatting>
  <conditionalFormatting sqref="H5 G5:G6 A5:E6">
    <cfRule type="expression" dxfId="0" priority="3">
      <formula>OR($F5="Planned",$F5="Unplanned")</formula>
    </cfRule>
  </conditionalFormatting>
  <conditionalFormatting sqref="H5 G5:G6 A5:E6">
    <cfRule type="expression" dxfId="1" priority="4">
      <formula>$F5="Ongoing"</formula>
    </cfRule>
  </conditionalFormatting>
  <conditionalFormatting sqref="H6">
    <cfRule type="expression" dxfId="0" priority="5">
      <formula>OR($F6="Planned",$F6="Unplanned")</formula>
    </cfRule>
  </conditionalFormatting>
  <conditionalFormatting sqref="H6">
    <cfRule type="expression" dxfId="1" priority="6">
      <formula>$F6="Ongoing"</formula>
    </cfRule>
  </conditionalFormatting>
  <conditionalFormatting sqref="E8">
    <cfRule type="expression" dxfId="0" priority="7">
      <formula>$F8="Planned"</formula>
    </cfRule>
  </conditionalFormatting>
  <conditionalFormatting sqref="E8">
    <cfRule type="expression" dxfId="1" priority="8">
      <formula>$F8="Ongoing"</formula>
    </cfRule>
  </conditionalFormatting>
  <conditionalFormatting sqref="F5">
    <cfRule type="expression" dxfId="0" priority="9">
      <formula>OR($F5="Planned",$F5="Unplanned")</formula>
    </cfRule>
  </conditionalFormatting>
  <conditionalFormatting sqref="F5">
    <cfRule type="expression" dxfId="1" priority="10">
      <formula>$F5="Ongoing"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1.86"/>
    <col customWidth="1" min="2" max="2" width="11.43"/>
    <col customWidth="1" min="3" max="3" width="9.71"/>
    <col customWidth="1" min="4" max="4" width="10.14"/>
    <col customWidth="1" min="5" max="5" width="14.43"/>
    <col customWidth="1" hidden="1" min="6" max="6" width="15.71"/>
    <col customWidth="1" hidden="1" min="7" max="8" width="5.57"/>
    <col customWidth="1" hidden="1" min="9" max="9" width="7.29"/>
    <col customWidth="1" hidden="1" min="10" max="10" width="4.29"/>
    <col customWidth="1" hidden="1" min="11" max="13" width="6.86"/>
    <col customWidth="1" hidden="1" min="14" max="16" width="9.14"/>
    <col customWidth="1" hidden="1" min="17" max="17" width="10.57"/>
    <col customWidth="1" min="18" max="26" width="8.0"/>
  </cols>
  <sheetData>
    <row r="1" ht="18.0" customHeight="1">
      <c r="A1" s="61" t="s">
        <v>123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ht="12.75" customHeight="1">
      <c r="A3" s="1" t="s">
        <v>124</v>
      </c>
      <c r="B3" s="1"/>
      <c r="C3" s="1"/>
      <c r="D3" s="1">
        <v>50.0</v>
      </c>
      <c r="E3" s="1"/>
      <c r="F3" s="1" t="s">
        <v>125</v>
      </c>
      <c r="G3" s="111">
        <f>IF(COUNT(B28:B37)=0,1,COUNT(B28:B37))</f>
        <v>2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 ht="12.75" customHeight="1">
      <c r="A4" s="1" t="s">
        <v>126</v>
      </c>
      <c r="B4" s="1"/>
      <c r="C4" s="1"/>
      <c r="D4" s="1">
        <v>2.0</v>
      </c>
      <c r="E4" s="1" t="s">
        <v>127</v>
      </c>
      <c r="F4" s="1" t="s">
        <v>128</v>
      </c>
      <c r="G4" s="111">
        <f>IF(COUNT(D28:D37)=0,1,COUNT(D28:D37)+1)</f>
        <v>2</v>
      </c>
      <c r="H4" s="1"/>
      <c r="I4" s="1"/>
      <c r="J4" s="1"/>
      <c r="K4" s="1"/>
      <c r="L4" s="1"/>
      <c r="M4" s="1"/>
      <c r="N4" s="1"/>
      <c r="O4" s="1"/>
      <c r="P4" s="1"/>
      <c r="Q4" s="1"/>
    </row>
    <row r="5" ht="12.75" customHeight="1">
      <c r="A5" s="1"/>
      <c r="B5" s="1"/>
      <c r="C5" s="1"/>
      <c r="D5" s="1"/>
      <c r="E5" s="1"/>
      <c r="F5" s="1" t="s">
        <v>131</v>
      </c>
      <c r="G5" s="111">
        <f>IF(G4&gt;D4,G4-D4,0)</f>
        <v>0</v>
      </c>
      <c r="H5" s="1"/>
      <c r="I5" s="1"/>
      <c r="J5" s="1"/>
      <c r="K5" s="1"/>
      <c r="L5" s="1"/>
      <c r="M5" s="1"/>
      <c r="N5" s="1"/>
      <c r="O5" s="1"/>
      <c r="P5" s="1"/>
      <c r="Q5" s="1"/>
      <c r="Z5" s="114"/>
    </row>
    <row r="6" ht="12.75" customHeight="1">
      <c r="A6" s="69" t="s">
        <v>134</v>
      </c>
      <c r="B6" s="1"/>
      <c r="C6" s="1"/>
      <c r="D6" s="1"/>
      <c r="E6" s="1"/>
      <c r="F6" s="1" t="s">
        <v>135</v>
      </c>
      <c r="G6" s="111">
        <f>'Release Burndown Chart'!TrendSprintCount-'Release Burndown Chart'!TrendOffset</f>
        <v>2</v>
      </c>
      <c r="H6" s="1"/>
      <c r="I6" s="1"/>
      <c r="J6" s="1"/>
      <c r="K6" s="1"/>
      <c r="L6" s="1"/>
      <c r="M6" s="1"/>
      <c r="N6" s="1"/>
      <c r="O6" s="1"/>
      <c r="P6" s="1"/>
      <c r="Q6" s="1"/>
      <c r="Z6" s="114"/>
    </row>
    <row r="7" ht="12.75" customHeight="1">
      <c r="A7" s="1" t="s">
        <v>136</v>
      </c>
      <c r="B7" s="1"/>
      <c r="C7" s="1"/>
      <c r="D7" s="1">
        <v>14.0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Z7" s="114"/>
    </row>
    <row r="8" ht="12.75" customHeight="1">
      <c r="A8" s="120">
        <f>D$4</f>
        <v>2</v>
      </c>
      <c r="C8" s="122"/>
      <c r="D8" s="125">
        <f>IF(D28="","",AVERAGE(OFFSET(D27,'Release Burndown Chart'!TrendOffset,0,'Release Burndown Chart'!SprintsInTrend,1)))</f>
        <v>26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Z8" s="114"/>
    </row>
    <row r="9" ht="12.75" customHeight="1">
      <c r="A9" s="1" t="s">
        <v>138</v>
      </c>
      <c r="B9" s="1"/>
      <c r="C9" s="1"/>
      <c r="D9" s="125">
        <f>IF(D28="","",AVERAGE(OFFSET(D27,1,0,'Release Burndown Chart'!SprintCount,1)))</f>
        <v>26</v>
      </c>
      <c r="E9" s="1"/>
      <c r="F9" s="1" t="s">
        <v>139</v>
      </c>
      <c r="G9" s="111">
        <f>IF(M28="",1,COUNT(M28:M96))</f>
        <v>3</v>
      </c>
      <c r="H9" s="1"/>
      <c r="I9" s="1"/>
      <c r="J9" s="1"/>
      <c r="K9" s="1"/>
      <c r="L9" s="1"/>
      <c r="M9" s="1"/>
      <c r="N9" s="1"/>
      <c r="O9" s="1"/>
      <c r="P9" s="1"/>
      <c r="Q9" s="1"/>
      <c r="Z9" s="114"/>
    </row>
    <row r="10" ht="12.75" customHeight="1">
      <c r="A10" s="1" t="s">
        <v>140</v>
      </c>
      <c r="B10" s="1"/>
      <c r="C10" s="1"/>
      <c r="D10" s="125" t="str">
        <f>IF(D28="","",AVERAGE(LastEight))</f>
        <v>#NAME?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Z10" s="114"/>
    </row>
    <row r="11" ht="12.75" customHeight="1">
      <c r="A11" s="1" t="s">
        <v>141</v>
      </c>
      <c r="B11" s="1"/>
      <c r="C11" s="1"/>
      <c r="D11" s="125" t="str">
        <f>IF(D28="","",IF('Release Burndown Chart'!TrendSprintCount&lt;4,D10,AVERAGE(SMALL(LastEight,1),SMALL(LastEight,2),SMALL(LastEight,3))))</f>
        <v>#NAME?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Z11" s="114"/>
    </row>
    <row r="12" ht="12.75" customHeight="1">
      <c r="A12" s="1" t="s">
        <v>142</v>
      </c>
      <c r="B12" s="1"/>
      <c r="C12" s="1"/>
      <c r="D12" s="125">
        <f>IF(M29="","",M28-M29)</f>
        <v>26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Z12" s="114"/>
    </row>
    <row r="13" ht="12.75" customHeight="1">
      <c r="A13" s="1"/>
      <c r="B13" s="1"/>
      <c r="C13" s="1"/>
      <c r="D13" s="1"/>
      <c r="E13" s="1"/>
      <c r="F13" s="96" t="s">
        <v>143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Z13" s="114"/>
    </row>
    <row r="14" ht="12.75" customHeight="1">
      <c r="A14" s="69" t="s">
        <v>144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ht="12.75" customHeight="1">
      <c r="A15" s="1" t="s">
        <v>145</v>
      </c>
      <c r="B15" s="1"/>
      <c r="C15" s="1"/>
      <c r="D15" s="129">
        <f>IF(D7="",0,ROUNDUP(D3/D7*0.6,0))</f>
        <v>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ht="12.75" customHeight="1">
      <c r="A16" s="1" t="s">
        <v>146</v>
      </c>
      <c r="B16" s="1"/>
      <c r="C16" s="1"/>
      <c r="D16" s="129">
        <f>IF(D7="",0,ROUNDUP(D3/D7,0))</f>
        <v>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ht="12.75" customHeight="1">
      <c r="A17" s="1" t="s">
        <v>147</v>
      </c>
      <c r="B17" s="1"/>
      <c r="C17" s="1"/>
      <c r="D17" s="129">
        <f>IF(D7="",0,ROUNDUP(D3/D7*1.6,0))</f>
        <v>6</v>
      </c>
      <c r="E17" s="1"/>
      <c r="F17" s="1" t="s">
        <v>148</v>
      </c>
      <c r="G17" s="1">
        <f>IF(OR(D28="",D29=""),1,STDEV(D28:D37))</f>
        <v>1</v>
      </c>
      <c r="H17" s="1"/>
      <c r="I17" s="1"/>
      <c r="J17" s="1"/>
      <c r="K17" s="1"/>
      <c r="L17" s="1"/>
      <c r="M17" s="1"/>
      <c r="N17" s="1"/>
      <c r="O17" s="1"/>
      <c r="P17" s="1"/>
      <c r="Q17" s="1"/>
    </row>
    <row r="18" ht="12.75" customHeight="1">
      <c r="A18" s="120">
        <f>D$4</f>
        <v>2</v>
      </c>
      <c r="C18" s="1"/>
      <c r="D18" s="129" t="str">
        <f>IF(D8="","",IF(LastRealized="",ROUNDUP(LastPlanned/D8,0)+'Release Burndown Chart'!SprintCount-1,ROUNDUP((LastPlanned-LastRealized)/D8+'Release Burndown Chart'!SprintCount,0)))</f>
        <v>#NAME?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ht="12.75" customHeight="1">
      <c r="A19" s="1" t="s">
        <v>149</v>
      </c>
      <c r="B19" s="1"/>
      <c r="C19" s="1"/>
      <c r="D19" s="129" t="str">
        <f>IF(D9="","",IF(LastRealized="",ROUNDUP(LastPlanned/D9+'Release Burndown Chart'!SprintCount-1,0),ROUNDUP((LastPlanned-LastRealized)/D9,0)+'Release Burndown Chart'!SprintCount))</f>
        <v>#NAME?</v>
      </c>
      <c r="E19" s="1"/>
      <c r="F19" s="1" t="s">
        <v>150</v>
      </c>
      <c r="G19" s="1" t="str">
        <f>LastPlanned</f>
        <v>#NAME?</v>
      </c>
      <c r="H19" s="1"/>
      <c r="I19" s="1"/>
      <c r="J19" s="1"/>
      <c r="K19" s="1"/>
      <c r="L19" s="1"/>
      <c r="M19" s="1"/>
      <c r="N19" s="1"/>
      <c r="O19" s="1"/>
      <c r="P19" s="1"/>
      <c r="Q19" s="1"/>
    </row>
    <row r="20" ht="12.75" customHeight="1">
      <c r="A20" s="1" t="s">
        <v>140</v>
      </c>
      <c r="B20" s="1"/>
      <c r="C20" s="1"/>
      <c r="D20" s="129" t="str">
        <f>IF(D10="","",IF(LastRealized="",ROUNDUP(LastPlanned/D10+'Release Burndown Chart'!SprintCount-1,0),ROUNDUP((LastPlanned-LastRealized)/D10,0)+'Release Burndown Chart'!SprintCount))</f>
        <v>#NAME?</v>
      </c>
      <c r="E20" s="1"/>
      <c r="F20" s="1" t="s">
        <v>151</v>
      </c>
      <c r="G20" s="1" t="str">
        <f>LastRealized</f>
        <v>#NAME?</v>
      </c>
      <c r="H20" s="1"/>
      <c r="I20" s="1"/>
      <c r="J20" s="1"/>
      <c r="K20" s="1"/>
      <c r="L20" s="1"/>
      <c r="M20" s="1"/>
      <c r="N20" s="1"/>
      <c r="O20" s="1"/>
      <c r="P20" s="1"/>
      <c r="Q20" s="1"/>
    </row>
    <row r="21" ht="12.75" customHeight="1">
      <c r="A21" s="1" t="s">
        <v>141</v>
      </c>
      <c r="B21" s="1"/>
      <c r="C21" s="1"/>
      <c r="D21" s="129" t="str">
        <f>IF(D11="","",IF(LastRealized="",ROUNDUP(LastPlanned/D11+'Release Burndown Chart'!SprintCount-1,0),ROUNDUP((LastPlanned-LastRealized)/D11,0)+'Release Burndown Chart'!SprintCount))</f>
        <v>#NAME?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ht="12.75" customHeight="1">
      <c r="A22" s="1" t="s">
        <v>142</v>
      </c>
      <c r="B22" s="1"/>
      <c r="C22" s="1"/>
      <c r="D22" s="129">
        <f>IF(COUNT(M28:M37)-1&gt;0,COUNT(M28:M37)-1,"")</f>
        <v>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ht="12.75" customHeight="1">
      <c r="A23" s="1" t="s">
        <v>152</v>
      </c>
      <c r="B23" s="1"/>
      <c r="C23" s="1"/>
      <c r="D23" s="129" t="str">
        <f>IF(D9="","",IF(LastRealized="",ROUNDUP(LastPlanned/(D9+G17)+'Release Burndown Chart'!SprintCount-1,0),ROUNDUP((LastPlanned-LastRealized)/(D9+G17)+'Release Burndown Chart'!SprintCount,0)))</f>
        <v>#NAME?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ht="12.75" customHeight="1">
      <c r="A24" s="1" t="s">
        <v>153</v>
      </c>
      <c r="B24" s="1"/>
      <c r="C24" s="1"/>
      <c r="D24" s="129" t="str">
        <f>IF(D9="","",IF(LastRealized="",ROUNDUP(LastPlanned/(D9-G17)+'Release Burndown Chart'!SprintCount-1,0),ROUNDUP((LastPlanned-LastRealized)/(D9-G17)+'Release Burndown Chart'!SprintCount,0)))</f>
        <v>#NAME?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ht="12.75" customHeight="1">
      <c r="A26" s="1"/>
      <c r="B26" s="1"/>
      <c r="C26" s="1"/>
      <c r="D26" s="1"/>
      <c r="E26" s="1"/>
      <c r="F26" s="134" t="s">
        <v>110</v>
      </c>
      <c r="G26" s="134"/>
      <c r="H26" s="134"/>
      <c r="I26" s="134"/>
      <c r="J26" s="134"/>
      <c r="K26" s="134"/>
      <c r="L26" s="134"/>
      <c r="M26" s="134"/>
      <c r="N26" s="134"/>
      <c r="O26" s="135" t="s">
        <v>154</v>
      </c>
      <c r="P26" s="137"/>
      <c r="Q26" s="137"/>
    </row>
    <row r="27" ht="26.25" customHeight="1">
      <c r="A27" s="138" t="s">
        <v>18</v>
      </c>
      <c r="B27" s="139" t="s">
        <v>155</v>
      </c>
      <c r="C27" s="139" t="s">
        <v>156</v>
      </c>
      <c r="D27" s="140" t="s">
        <v>157</v>
      </c>
      <c r="E27" s="140" t="s">
        <v>158</v>
      </c>
      <c r="F27" s="134" t="s">
        <v>159</v>
      </c>
      <c r="G27" s="141" t="s">
        <v>160</v>
      </c>
      <c r="H27" s="137"/>
      <c r="I27" s="134" t="s">
        <v>161</v>
      </c>
      <c r="J27" s="142"/>
      <c r="K27" s="134" t="s">
        <v>162</v>
      </c>
      <c r="L27" s="134" t="s">
        <v>163</v>
      </c>
      <c r="M27" s="134" t="s">
        <v>164</v>
      </c>
      <c r="N27" s="143" t="s">
        <v>165</v>
      </c>
      <c r="O27" s="134" t="s">
        <v>166</v>
      </c>
      <c r="P27" s="134" t="s">
        <v>167</v>
      </c>
      <c r="Q27" s="134" t="s">
        <v>168</v>
      </c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44">
        <v>1.0</v>
      </c>
      <c r="B28" s="59">
        <f>D3</f>
        <v>50</v>
      </c>
      <c r="C28" s="59">
        <f>('Release Plan'!E$5)</f>
        <v>26</v>
      </c>
      <c r="D28" s="59">
        <v>26.0</v>
      </c>
      <c r="E28" s="144">
        <f>B28</f>
        <v>50</v>
      </c>
      <c r="F28" s="111">
        <f>B28</f>
        <v>50</v>
      </c>
      <c r="G28" s="111">
        <f t="shared" ref="G28:G37" si="1">F28</f>
        <v>50</v>
      </c>
      <c r="H28" s="111">
        <f t="shared" ref="H28:H37" si="2">I28</f>
        <v>0</v>
      </c>
      <c r="I28" s="111">
        <v>0.0</v>
      </c>
      <c r="J28" s="1"/>
      <c r="K28" s="1">
        <f t="shared" ref="K28:K37" si="3">IF(F28&lt;I28,I28,F28)</f>
        <v>50</v>
      </c>
      <c r="L28" s="111">
        <f t="array" ref="L28">IF(TREND(OFFSET($K$27,'Release Burndown Chart'!TrendOffset+1,0,'Release Burndown Chart'!SprintsInTrend,1),OFFSET($A$27,'Release Burndown Chart'!TrendOffset+1,0,'Release Burndown Chart'!SprintsInTrend,1),A28)&lt;N28,N28,TREND(OFFSET($K$27,'Release Burndown Chart'!TrendOffset+1,0,'Release Burndown Chart'!SprintsInTrend,1),OFFSET($A$27,'Release Burndown Chart'!TrendOffset+1,0,'Release Burndown Chart'!SprintsInTrend,1),A28))</f>
        <v>50</v>
      </c>
      <c r="M28" s="111">
        <f>L28</f>
        <v>50</v>
      </c>
      <c r="N28" s="111">
        <f>OFFSET($I$27,'Release Burndown Chart'!TrendSprintCount,0,1,1)</f>
        <v>0</v>
      </c>
      <c r="O28" s="146">
        <f t="shared" ref="O28:O37" si="4">D$9</f>
        <v>26</v>
      </c>
      <c r="P28" s="146" t="str">
        <f t="shared" ref="P28:P37" si="5">D$10</f>
        <v>#NAME?</v>
      </c>
      <c r="Q28" s="146" t="str">
        <f t="shared" ref="Q28:Q37" si="6">D$11</f>
        <v>#NAME?</v>
      </c>
    </row>
    <row r="29" ht="12.75" customHeight="1">
      <c r="A29" s="144">
        <v>2.0</v>
      </c>
      <c r="B29" s="59">
        <f t="shared" ref="B29:B32" si="7">IF(OR(B28="",C28=""),"",IF(D28="",IF(B28-C28&lt;=0,"",B28-C28),IF(B28-D28&lt;=0,"",B28-D28)))</f>
        <v>24</v>
      </c>
      <c r="C29" s="59">
        <f>('Release Plan'!E$6)</f>
        <v>24</v>
      </c>
      <c r="D29" s="59"/>
      <c r="E29" s="144">
        <f t="shared" ref="E29:E37" si="8">IF(B29="","",IF(D28="",E28,B29+SUM(D$28:D28)))</f>
        <v>50</v>
      </c>
      <c r="F29" s="111">
        <f t="shared" ref="F29:F37" si="9">IF(B29="",IF(B28="","",IF(D28="","",I28)),IF(AND(D28="",C28=""),"",IF(AND(D28="",C28&lt;&gt;""),IF(I28&gt;F28,F28,I28),F28-D28)))</f>
        <v>24</v>
      </c>
      <c r="G29" s="111">
        <f t="shared" si="1"/>
        <v>24</v>
      </c>
      <c r="H29" s="111">
        <f t="shared" si="2"/>
        <v>0</v>
      </c>
      <c r="I29" s="111">
        <f t="shared" ref="I29:I37" si="10">IF(B29="",IF(B28="","",IF(D28="","",F28-D28)),IF(AND(C28="",D28=""),"",IF(AND(D28="",C28&lt;&gt;""),IF(I28&gt;F28,I28-C28,F28-C28),B$28-B29-SUM(D$28:D28))))</f>
        <v>0</v>
      </c>
      <c r="J29" s="1"/>
      <c r="K29" s="1">
        <f t="shared" si="3"/>
        <v>24</v>
      </c>
      <c r="L29" s="111">
        <f t="array" ref="L29">IF(TREND(OFFSET($K$27,'Release Burndown Chart'!TrendOffset+1,0,'Release Burndown Chart'!SprintsInTrend,1),OFFSET($A$27,'Release Burndown Chart'!TrendOffset+1,0,'Release Burndown Chart'!SprintsInTrend,1),A29)&lt;N29,N29,TREND(OFFSET($K$27,'Release Burndown Chart'!TrendOffset+1,0,'Release Burndown Chart'!SprintsInTrend,1),OFFSET($A$27,'Release Burndown Chart'!TrendOffset+1,0,'Release Burndown Chart'!SprintsInTrend,1),A29))</f>
        <v>24</v>
      </c>
      <c r="M29" s="111">
        <f t="shared" ref="M29:M37" si="11">IF(L29=L28,"",L29)</f>
        <v>24</v>
      </c>
      <c r="N29" s="111">
        <f>OFFSET($I$27,'Release Burndown Chart'!TrendSprintCount,0,1,1)</f>
        <v>0</v>
      </c>
      <c r="O29" s="146">
        <f t="shared" si="4"/>
        <v>26</v>
      </c>
      <c r="P29" s="146" t="str">
        <f t="shared" si="5"/>
        <v>#NAME?</v>
      </c>
      <c r="Q29" s="146" t="str">
        <f t="shared" si="6"/>
        <v>#NAME?</v>
      </c>
    </row>
    <row r="30" ht="12.75" customHeight="1">
      <c r="A30" s="144">
        <v>3.0</v>
      </c>
      <c r="B30" s="59" t="str">
        <f t="shared" si="7"/>
        <v/>
      </c>
      <c r="C30" s="59"/>
      <c r="D30" s="59"/>
      <c r="E30" s="144" t="str">
        <f t="shared" si="8"/>
        <v/>
      </c>
      <c r="F30" s="111" t="str">
        <f t="shared" si="9"/>
        <v/>
      </c>
      <c r="G30" s="111" t="str">
        <f t="shared" si="1"/>
        <v/>
      </c>
      <c r="H30" s="111" t="str">
        <f t="shared" si="2"/>
        <v/>
      </c>
      <c r="I30" s="111" t="str">
        <f t="shared" si="10"/>
        <v/>
      </c>
      <c r="J30" s="1"/>
      <c r="K30" s="1" t="str">
        <f t="shared" si="3"/>
        <v/>
      </c>
      <c r="L30" s="111">
        <f t="array" ref="L30">IF(TREND(OFFSET($K$27,'Release Burndown Chart'!TrendOffset+1,0,'Release Burndown Chart'!SprintsInTrend,1),OFFSET($A$27,'Release Burndown Chart'!TrendOffset+1,0,'Release Burndown Chart'!SprintsInTrend,1),A30)&lt;N30,N30,TREND(OFFSET($K$27,'Release Burndown Chart'!TrendOffset+1,0,'Release Burndown Chart'!SprintsInTrend,1),OFFSET($A$27,'Release Burndown Chart'!TrendOffset+1,0,'Release Burndown Chart'!SprintsInTrend,1),A30))</f>
        <v>0</v>
      </c>
      <c r="M30" s="111">
        <f t="shared" si="11"/>
        <v>0</v>
      </c>
      <c r="N30" s="111">
        <f>OFFSET($I$27,'Release Burndown Chart'!TrendSprintCount,0,1,1)</f>
        <v>0</v>
      </c>
      <c r="O30" s="146">
        <f t="shared" si="4"/>
        <v>26</v>
      </c>
      <c r="P30" s="146" t="str">
        <f t="shared" si="5"/>
        <v>#NAME?</v>
      </c>
      <c r="Q30" s="146" t="str">
        <f t="shared" si="6"/>
        <v>#NAME?</v>
      </c>
    </row>
    <row r="31" ht="12.75" customHeight="1">
      <c r="A31" s="144">
        <v>4.0</v>
      </c>
      <c r="B31" s="59" t="str">
        <f t="shared" si="7"/>
        <v/>
      </c>
      <c r="C31" s="59"/>
      <c r="D31" s="59"/>
      <c r="E31" s="144" t="str">
        <f t="shared" si="8"/>
        <v/>
      </c>
      <c r="F31" s="111" t="str">
        <f t="shared" si="9"/>
        <v/>
      </c>
      <c r="G31" s="111" t="str">
        <f t="shared" si="1"/>
        <v/>
      </c>
      <c r="H31" s="111" t="str">
        <f t="shared" si="2"/>
        <v/>
      </c>
      <c r="I31" s="111" t="str">
        <f t="shared" si="10"/>
        <v/>
      </c>
      <c r="J31" s="1"/>
      <c r="K31" s="1" t="str">
        <f t="shared" si="3"/>
        <v/>
      </c>
      <c r="L31" s="111">
        <f t="array" ref="L31">IF(TREND(OFFSET($K$27,'Release Burndown Chart'!TrendOffset+1,0,'Release Burndown Chart'!SprintsInTrend,1),OFFSET($A$27,'Release Burndown Chart'!TrendOffset+1,0,'Release Burndown Chart'!SprintsInTrend,1),A31)&lt;N31,N31,TREND(OFFSET($K$27,'Release Burndown Chart'!TrendOffset+1,0,'Release Burndown Chart'!SprintsInTrend,1),OFFSET($A$27,'Release Burndown Chart'!TrendOffset+1,0,'Release Burndown Chart'!SprintsInTrend,1),A31))</f>
        <v>0</v>
      </c>
      <c r="M31" s="111" t="str">
        <f t="shared" si="11"/>
        <v/>
      </c>
      <c r="N31" s="111">
        <f>OFFSET($I$27,'Release Burndown Chart'!TrendSprintCount,0,1,1)</f>
        <v>0</v>
      </c>
      <c r="O31" s="146">
        <f t="shared" si="4"/>
        <v>26</v>
      </c>
      <c r="P31" s="146" t="str">
        <f t="shared" si="5"/>
        <v>#NAME?</v>
      </c>
      <c r="Q31" s="146" t="str">
        <f t="shared" si="6"/>
        <v>#NAME?</v>
      </c>
    </row>
    <row r="32" ht="12.75" customHeight="1">
      <c r="A32" s="144">
        <v>5.0</v>
      </c>
      <c r="B32" s="59" t="str">
        <f t="shared" si="7"/>
        <v/>
      </c>
      <c r="C32" s="59"/>
      <c r="D32" s="59"/>
      <c r="E32" s="144" t="str">
        <f t="shared" si="8"/>
        <v/>
      </c>
      <c r="F32" s="111" t="str">
        <f t="shared" si="9"/>
        <v/>
      </c>
      <c r="G32" s="111" t="str">
        <f t="shared" si="1"/>
        <v/>
      </c>
      <c r="H32" s="111" t="str">
        <f t="shared" si="2"/>
        <v/>
      </c>
      <c r="I32" s="111" t="str">
        <f t="shared" si="10"/>
        <v/>
      </c>
      <c r="J32" s="1"/>
      <c r="K32" s="1" t="str">
        <f t="shared" si="3"/>
        <v/>
      </c>
      <c r="L32" s="111">
        <f t="array" ref="L32">IF(TREND(OFFSET($K$27,'Release Burndown Chart'!TrendOffset+1,0,'Release Burndown Chart'!SprintsInTrend,1),OFFSET($A$27,'Release Burndown Chart'!TrendOffset+1,0,'Release Burndown Chart'!SprintsInTrend,1),A32)&lt;N32,N32,TREND(OFFSET($K$27,'Release Burndown Chart'!TrendOffset+1,0,'Release Burndown Chart'!SprintsInTrend,1),OFFSET($A$27,'Release Burndown Chart'!TrendOffset+1,0,'Release Burndown Chart'!SprintsInTrend,1),A32))</f>
        <v>0</v>
      </c>
      <c r="M32" s="111" t="str">
        <f t="shared" si="11"/>
        <v/>
      </c>
      <c r="N32" s="111">
        <f>OFFSET($I$27,'Release Burndown Chart'!TrendSprintCount,0,1,1)</f>
        <v>0</v>
      </c>
      <c r="O32" s="146">
        <f t="shared" si="4"/>
        <v>26</v>
      </c>
      <c r="P32" s="146" t="str">
        <f t="shared" si="5"/>
        <v>#NAME?</v>
      </c>
      <c r="Q32" s="146" t="str">
        <f t="shared" si="6"/>
        <v>#NAME?</v>
      </c>
    </row>
    <row r="33" ht="12.75" customHeight="1">
      <c r="A33" s="144">
        <v>6.0</v>
      </c>
      <c r="B33" s="59"/>
      <c r="C33" s="59"/>
      <c r="D33" s="59"/>
      <c r="E33" s="144" t="str">
        <f t="shared" si="8"/>
        <v/>
      </c>
      <c r="F33" s="111" t="str">
        <f t="shared" si="9"/>
        <v/>
      </c>
      <c r="G33" s="111" t="str">
        <f t="shared" si="1"/>
        <v/>
      </c>
      <c r="H33" s="111" t="str">
        <f t="shared" si="2"/>
        <v/>
      </c>
      <c r="I33" s="111" t="str">
        <f t="shared" si="10"/>
        <v/>
      </c>
      <c r="J33" s="1"/>
      <c r="K33" s="1" t="str">
        <f t="shared" si="3"/>
        <v/>
      </c>
      <c r="L33" s="111">
        <f t="array" ref="L33">IF(TREND(OFFSET($K$27,'Release Burndown Chart'!TrendOffset+1,0,'Release Burndown Chart'!SprintsInTrend,1),OFFSET($A$27,'Release Burndown Chart'!TrendOffset+1,0,'Release Burndown Chart'!SprintsInTrend,1),A33)&lt;N33,N33,TREND(OFFSET($K$27,'Release Burndown Chart'!TrendOffset+1,0,'Release Burndown Chart'!SprintsInTrend,1),OFFSET($A$27,'Release Burndown Chart'!TrendOffset+1,0,'Release Burndown Chart'!SprintsInTrend,1),A33))</f>
        <v>0</v>
      </c>
      <c r="M33" s="111" t="str">
        <f t="shared" si="11"/>
        <v/>
      </c>
      <c r="N33" s="111">
        <f>OFFSET($I$27,'Release Burndown Chart'!TrendSprintCount,0,1,1)</f>
        <v>0</v>
      </c>
      <c r="O33" s="146">
        <f t="shared" si="4"/>
        <v>26</v>
      </c>
      <c r="P33" s="146" t="str">
        <f t="shared" si="5"/>
        <v>#NAME?</v>
      </c>
      <c r="Q33" s="146" t="str">
        <f t="shared" si="6"/>
        <v>#NAME?</v>
      </c>
    </row>
    <row r="34" ht="12.75" customHeight="1">
      <c r="A34" s="144">
        <v>7.0</v>
      </c>
      <c r="B34" s="59" t="str">
        <f t="shared" ref="B34:B37" si="12">IF(OR(B33="",C33=""),"",IF(D33="",IF(B33-C33&lt;=0,"",B33-C33),IF(B33-D33&lt;=0,"",B33-D33)))</f>
        <v/>
      </c>
      <c r="C34" s="59"/>
      <c r="D34" s="59"/>
      <c r="E34" s="144" t="str">
        <f t="shared" si="8"/>
        <v/>
      </c>
      <c r="F34" s="111" t="str">
        <f t="shared" si="9"/>
        <v/>
      </c>
      <c r="G34" s="111" t="str">
        <f t="shared" si="1"/>
        <v/>
      </c>
      <c r="H34" s="111" t="str">
        <f t="shared" si="2"/>
        <v/>
      </c>
      <c r="I34" s="111" t="str">
        <f t="shared" si="10"/>
        <v/>
      </c>
      <c r="J34" s="1"/>
      <c r="K34" s="1" t="str">
        <f t="shared" si="3"/>
        <v/>
      </c>
      <c r="L34" s="111">
        <f t="array" ref="L34">IF(TREND(OFFSET($K$27,'Release Burndown Chart'!TrendOffset+1,0,'Release Burndown Chart'!SprintsInTrend,1),OFFSET($A$27,'Release Burndown Chart'!TrendOffset+1,0,'Release Burndown Chart'!SprintsInTrend,1),A34)&lt;N34,N34,TREND(OFFSET($K$27,'Release Burndown Chart'!TrendOffset+1,0,'Release Burndown Chart'!SprintsInTrend,1),OFFSET($A$27,'Release Burndown Chart'!TrendOffset+1,0,'Release Burndown Chart'!SprintsInTrend,1),A34))</f>
        <v>0</v>
      </c>
      <c r="M34" s="111" t="str">
        <f t="shared" si="11"/>
        <v/>
      </c>
      <c r="N34" s="111">
        <f>OFFSET($I$27,'Release Burndown Chart'!TrendSprintCount,0,1,1)</f>
        <v>0</v>
      </c>
      <c r="O34" s="146">
        <f t="shared" si="4"/>
        <v>26</v>
      </c>
      <c r="P34" s="146" t="str">
        <f t="shared" si="5"/>
        <v>#NAME?</v>
      </c>
      <c r="Q34" s="146" t="str">
        <f t="shared" si="6"/>
        <v>#NAME?</v>
      </c>
    </row>
    <row r="35" ht="12.75" customHeight="1">
      <c r="A35" s="144">
        <v>8.0</v>
      </c>
      <c r="B35" s="59" t="str">
        <f t="shared" si="12"/>
        <v/>
      </c>
      <c r="C35" s="59"/>
      <c r="D35" s="59"/>
      <c r="E35" s="144" t="str">
        <f t="shared" si="8"/>
        <v/>
      </c>
      <c r="F35" s="111" t="str">
        <f t="shared" si="9"/>
        <v/>
      </c>
      <c r="G35" s="111" t="str">
        <f t="shared" si="1"/>
        <v/>
      </c>
      <c r="H35" s="111" t="str">
        <f t="shared" si="2"/>
        <v/>
      </c>
      <c r="I35" s="111" t="str">
        <f t="shared" si="10"/>
        <v/>
      </c>
      <c r="J35" s="1"/>
      <c r="K35" s="1" t="str">
        <f t="shared" si="3"/>
        <v/>
      </c>
      <c r="L35" s="111">
        <f t="array" ref="L35">IF(TREND(OFFSET($K$27,'Release Burndown Chart'!TrendOffset+1,0,'Release Burndown Chart'!SprintsInTrend,1),OFFSET($A$27,'Release Burndown Chart'!TrendOffset+1,0,'Release Burndown Chart'!SprintsInTrend,1),A35)&lt;N35,N35,TREND(OFFSET($K$27,'Release Burndown Chart'!TrendOffset+1,0,'Release Burndown Chart'!SprintsInTrend,1),OFFSET($A$27,'Release Burndown Chart'!TrendOffset+1,0,'Release Burndown Chart'!SprintsInTrend,1),A35))</f>
        <v>0</v>
      </c>
      <c r="M35" s="111" t="str">
        <f t="shared" si="11"/>
        <v/>
      </c>
      <c r="N35" s="111">
        <f>OFFSET($I$27,'Release Burndown Chart'!TrendSprintCount,0,1,1)</f>
        <v>0</v>
      </c>
      <c r="O35" s="146">
        <f t="shared" si="4"/>
        <v>26</v>
      </c>
      <c r="P35" s="146" t="str">
        <f t="shared" si="5"/>
        <v>#NAME?</v>
      </c>
      <c r="Q35" s="146" t="str">
        <f t="shared" si="6"/>
        <v>#NAME?</v>
      </c>
    </row>
    <row r="36" ht="12.75" customHeight="1">
      <c r="A36" s="144">
        <v>9.0</v>
      </c>
      <c r="B36" s="59" t="str">
        <f t="shared" si="12"/>
        <v/>
      </c>
      <c r="C36" s="59"/>
      <c r="D36" s="59"/>
      <c r="E36" s="144" t="str">
        <f t="shared" si="8"/>
        <v/>
      </c>
      <c r="F36" s="111" t="str">
        <f t="shared" si="9"/>
        <v/>
      </c>
      <c r="G36" s="111" t="str">
        <f t="shared" si="1"/>
        <v/>
      </c>
      <c r="H36" s="111" t="str">
        <f t="shared" si="2"/>
        <v/>
      </c>
      <c r="I36" s="111" t="str">
        <f t="shared" si="10"/>
        <v/>
      </c>
      <c r="J36" s="1"/>
      <c r="K36" s="1" t="str">
        <f t="shared" si="3"/>
        <v/>
      </c>
      <c r="L36" s="111">
        <f t="array" ref="L36">IF(TREND(OFFSET($K$27,'Release Burndown Chart'!TrendOffset+1,0,'Release Burndown Chart'!SprintsInTrend,1),OFFSET($A$27,'Release Burndown Chart'!TrendOffset+1,0,'Release Burndown Chart'!SprintsInTrend,1),A36)&lt;N36,N36,TREND(OFFSET($K$27,'Release Burndown Chart'!TrendOffset+1,0,'Release Burndown Chart'!SprintsInTrend,1),OFFSET($A$27,'Release Burndown Chart'!TrendOffset+1,0,'Release Burndown Chart'!SprintsInTrend,1),A36))</f>
        <v>0</v>
      </c>
      <c r="M36" s="111" t="str">
        <f t="shared" si="11"/>
        <v/>
      </c>
      <c r="N36" s="111">
        <f>OFFSET($I$27,'Release Burndown Chart'!TrendSprintCount,0,1,1)</f>
        <v>0</v>
      </c>
      <c r="O36" s="146">
        <f t="shared" si="4"/>
        <v>26</v>
      </c>
      <c r="P36" s="146" t="str">
        <f t="shared" si="5"/>
        <v>#NAME?</v>
      </c>
      <c r="Q36" s="146" t="str">
        <f t="shared" si="6"/>
        <v>#NAME?</v>
      </c>
    </row>
    <row r="37" ht="12.75" customHeight="1">
      <c r="A37" s="144">
        <v>10.0</v>
      </c>
      <c r="B37" s="59" t="str">
        <f t="shared" si="12"/>
        <v/>
      </c>
      <c r="C37" s="59"/>
      <c r="D37" s="59"/>
      <c r="E37" s="144" t="str">
        <f t="shared" si="8"/>
        <v/>
      </c>
      <c r="F37" s="111" t="str">
        <f t="shared" si="9"/>
        <v/>
      </c>
      <c r="G37" s="111" t="str">
        <f t="shared" si="1"/>
        <v/>
      </c>
      <c r="H37" s="111" t="str">
        <f t="shared" si="2"/>
        <v/>
      </c>
      <c r="I37" s="111" t="str">
        <f t="shared" si="10"/>
        <v/>
      </c>
      <c r="J37" s="1"/>
      <c r="K37" s="1" t="str">
        <f t="shared" si="3"/>
        <v/>
      </c>
      <c r="L37" s="111">
        <f t="array" ref="L37">IF(TREND(OFFSET($K$27,'Release Burndown Chart'!TrendOffset+1,0,'Release Burndown Chart'!SprintsInTrend,1),OFFSET($A$27,'Release Burndown Chart'!TrendOffset+1,0,'Release Burndown Chart'!SprintsInTrend,1),A37)&lt;N37,N37,TREND(OFFSET($K$27,'Release Burndown Chart'!TrendOffset+1,0,'Release Burndown Chart'!SprintsInTrend,1),OFFSET($A$27,'Release Burndown Chart'!TrendOffset+1,0,'Release Burndown Chart'!SprintsInTrend,1),A37))</f>
        <v>0</v>
      </c>
      <c r="M37" s="111" t="str">
        <f t="shared" si="11"/>
        <v/>
      </c>
      <c r="N37" s="111">
        <f>OFFSET($I$27,'Release Burndown Chart'!TrendSprintCount,0,1,1)</f>
        <v>0</v>
      </c>
      <c r="O37" s="146">
        <f t="shared" si="4"/>
        <v>26</v>
      </c>
      <c r="P37" s="146" t="str">
        <f t="shared" si="5"/>
        <v>#NAME?</v>
      </c>
      <c r="Q37" s="146" t="str">
        <f t="shared" si="6"/>
        <v>#NAME?</v>
      </c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</sheetData>
  <mergeCells count="5">
    <mergeCell ref="A8:B8"/>
    <mergeCell ref="A18:B18"/>
    <mergeCell ref="G27:H27"/>
    <mergeCell ref="O26:Q26"/>
    <mergeCell ref="A1:D1"/>
  </mergeCells>
  <conditionalFormatting sqref="K27:N27 A27:G27 F26 I27 O26:O27 P27:Q27">
    <cfRule type="expression" dxfId="4" priority="1">
      <formula>$D27="Done"</formula>
    </cfRule>
  </conditionalFormatting>
  <conditionalFormatting sqref="K27:N27 A27:G27 F26 I27 O26:O27 P27:Q27">
    <cfRule type="expression" dxfId="3" priority="2">
      <formula>$D27="Ongoing"</formula>
    </cfRule>
  </conditionalFormatting>
  <conditionalFormatting sqref="K27:N27 A27:G27 F26 I27 O26:O27 P27:Q27">
    <cfRule type="expression" dxfId="2" priority="3">
      <formula>$D27="Removed"</formula>
    </cfRule>
  </conditionalFormatting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0.29"/>
    <col customWidth="1" min="2" max="2" width="10.29"/>
    <col customWidth="1" min="3" max="3" width="12.14"/>
    <col customWidth="1" min="4" max="4" width="8.71"/>
    <col customWidth="1" min="5" max="5" width="11.43"/>
    <col customWidth="1" min="6" max="6" width="3.43"/>
    <col customWidth="1" min="7" max="19" width="3.0"/>
    <col customWidth="1" min="20" max="38" width="9.14"/>
  </cols>
  <sheetData>
    <row r="1" ht="12.75" customHeight="1">
      <c r="A1" s="147"/>
      <c r="B1" s="18"/>
      <c r="C1" s="17"/>
      <c r="D1" s="17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</row>
    <row r="2" ht="18.0" customHeight="1">
      <c r="A2" s="148">
        <v>1.0</v>
      </c>
      <c r="B2" s="20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</row>
    <row r="3" ht="12.75" customHeight="1">
      <c r="A3" s="147"/>
      <c r="B3" s="18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</row>
    <row r="4" ht="12.75" customHeight="1">
      <c r="A4" s="147"/>
      <c r="B4" s="18"/>
      <c r="C4" s="17"/>
      <c r="D4" s="17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</row>
    <row r="5" ht="12.75" customHeight="1">
      <c r="A5" s="147"/>
      <c r="B5" s="18"/>
      <c r="C5" s="17"/>
      <c r="D5" s="17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ht="12.75" customHeight="1">
      <c r="A6" s="147"/>
      <c r="B6" s="18"/>
      <c r="C6" s="17"/>
      <c r="D6" s="17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ht="12.75" customHeight="1">
      <c r="A7" s="147"/>
      <c r="B7" s="18"/>
      <c r="C7" s="17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ht="12.75" customHeight="1">
      <c r="A8" s="147"/>
      <c r="B8" s="18"/>
      <c r="C8" s="17"/>
      <c r="D8" s="17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ht="12.75" customHeight="1">
      <c r="A9" s="147"/>
      <c r="B9" s="18"/>
      <c r="C9" s="17"/>
      <c r="D9" s="17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ht="12.75" customHeight="1">
      <c r="A10" s="147"/>
      <c r="B10" s="18"/>
      <c r="C10" s="17"/>
      <c r="D10" s="17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ht="12.75" customHeight="1">
      <c r="A11" s="147"/>
      <c r="B11" s="18"/>
      <c r="C11" s="17"/>
      <c r="D11" s="17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ht="12.75" customHeight="1">
      <c r="A12" s="147"/>
      <c r="B12" s="18"/>
      <c r="C12" s="17"/>
      <c r="D12" s="17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ht="12.75" customHeight="1">
      <c r="A13" s="149" t="s">
        <v>43</v>
      </c>
      <c r="B13" s="150">
        <v>14.0</v>
      </c>
      <c r="C13" s="151"/>
      <c r="D13" s="152"/>
      <c r="E13" s="151" t="s">
        <v>47</v>
      </c>
      <c r="F13" s="151" t="s">
        <v>169</v>
      </c>
      <c r="G13" s="151"/>
      <c r="H13" s="151"/>
      <c r="I13" s="151"/>
      <c r="J13" s="151"/>
      <c r="K13" s="151"/>
      <c r="L13" s="151"/>
      <c r="M13" s="152"/>
      <c r="N13" s="152"/>
      <c r="O13" s="152"/>
      <c r="P13" s="152"/>
      <c r="Q13" s="152"/>
      <c r="R13" s="152"/>
      <c r="S13" s="152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ht="25.5" customHeight="1">
      <c r="A14" s="149" t="s">
        <v>49</v>
      </c>
      <c r="B14" s="150">
        <v>14.0</v>
      </c>
      <c r="C14" s="151" t="s">
        <v>50</v>
      </c>
      <c r="D14" s="151" t="s">
        <v>51</v>
      </c>
      <c r="E14" s="153">
        <f>SUM(OFFSET(E18,1,0,B15,1))</f>
        <v>63</v>
      </c>
      <c r="F14" s="153">
        <f>IF(AND(SUM(OFFSET(F18,1,0,TaskRows,1))=0),0,SUM(OFFSET(F18,1,0,TaskRows,1)))</f>
        <v>63</v>
      </c>
      <c r="G14" s="153" t="str">
        <f>IF(AND(SUM(OFFSET(G18,1,0,TaskRows,1))=0),"",SUM(OFFSET(G18,1,0,TaskRows,1)))</f>
        <v/>
      </c>
      <c r="H14" s="153" t="str">
        <f>IF(AND(SUM(OFFSET(H18,1,0,TaskRows,1))=0),"",SUM(OFFSET(H18,1,0,TaskRows,1)))</f>
        <v/>
      </c>
      <c r="I14" s="153" t="str">
        <f>IF(AND(SUM(OFFSET(I18,1,0,TaskRows,1))=0),"",SUM(OFFSET(I18,1,0,TaskRows,1)))</f>
        <v/>
      </c>
      <c r="J14" s="153" t="str">
        <f>IF(AND(SUM(OFFSET(J18,1,0,TaskRows,1))=0),"",SUM(OFFSET(J18,1,0,TaskRows,1)))</f>
        <v/>
      </c>
      <c r="K14" s="153" t="str">
        <f>IF(AND(SUM(OFFSET(K18,1,0,TaskRows,1))=0),"",SUM(OFFSET(K18,1,0,TaskRows,1)))</f>
        <v/>
      </c>
      <c r="L14" s="153" t="str">
        <f>IF(AND(SUM(OFFSET(L18,1,0,TaskRows,1))=0),"",SUM(OFFSET(L18,1,0,TaskRows,1)))</f>
        <v/>
      </c>
      <c r="M14" s="153" t="str">
        <f>IF(AND(SUM(OFFSET(M18,1,0,TaskRows,1))=0),"",SUM(OFFSET(M18,1,0,TaskRows,1)))</f>
        <v/>
      </c>
      <c r="N14" s="153" t="str">
        <f>IF(AND(SUM(OFFSET(N18,1,0,TaskRows,1))=0),"",SUM(OFFSET(N18,1,0,TaskRows,1)))</f>
        <v/>
      </c>
      <c r="O14" s="153" t="str">
        <f>IF(AND(SUM(OFFSET(O18,1,0,TaskRows,1))=0),"",SUM(OFFSET(O18,1,0,TaskRows,1)))</f>
        <v/>
      </c>
      <c r="P14" s="153" t="str">
        <f>IF(AND(SUM(OFFSET(P18,1,0,TaskRows,1))=0),"",SUM(OFFSET(P18,1,0,TaskRows,1)))</f>
        <v/>
      </c>
      <c r="Q14" s="153" t="str">
        <f>IF(AND(SUM(OFFSET(Q18,1,0,TaskRows,1))=0),"",SUM(OFFSET(Q18,1,0,TaskRows,1)))</f>
        <v/>
      </c>
      <c r="R14" s="153" t="str">
        <f>IF(AND(SUM(OFFSET(R18,1,0,TaskRows,1))=0),"",SUM(OFFSET(R18,1,0,TaskRows,1)))</f>
        <v/>
      </c>
      <c r="S14" s="153" t="str">
        <f>IF(AND(SUM(OFFSET(S18,1,0,TaskRows,1))=0),"",SUM(OFFSET(S18,1,0,TaskRows,1)))</f>
        <v/>
      </c>
      <c r="T14" s="153" t="str">
        <f>IF(AND(SUM(OFFSET(T18,1,0,TaskRows,1))=0),"",SUM(OFFSET(T18,1,0,TaskRows,1)))</f>
        <v/>
      </c>
      <c r="U14" s="153" t="str">
        <f>IF(AND(SUM(OFFSET(U18,1,0,TaskRows,1))=0),"",SUM(OFFSET(U18,1,0,TaskRows,1)))</f>
        <v/>
      </c>
      <c r="V14" s="153" t="str">
        <f>IF(AND(SUM(OFFSET(V18,1,0,TaskRows,1))=0),"",SUM(OFFSET(V18,1,0,TaskRows,1)))</f>
        <v/>
      </c>
      <c r="W14" s="153" t="str">
        <f>IF(AND(SUM(OFFSET(W18,1,0,TaskRows,1))=0),"",SUM(OFFSET(W18,1,0,TaskRows,1)))</f>
        <v/>
      </c>
      <c r="X14" s="153" t="str">
        <f>IF(AND(SUM(OFFSET(X18,1,0,TaskRows,1))=0),"",SUM(OFFSET(X18,1,0,TaskRows,1)))</f>
        <v/>
      </c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ht="12.75" customHeight="1">
      <c r="A15" s="154" t="s">
        <v>81</v>
      </c>
      <c r="B15" s="155">
        <f>IF(COUNTA(A19:A249)=0,1,COUNTA(A19:A249))</f>
        <v>11</v>
      </c>
      <c r="C15" s="156" t="s">
        <v>86</v>
      </c>
      <c r="D15" s="155">
        <f>IF(COUNTIF(F14:S14,"&gt;0")=0,1,COUNTIF(F14:S14,"&gt;0"))</f>
        <v>1</v>
      </c>
      <c r="E15" s="155"/>
      <c r="F15" s="155">
        <f>IF(F18="","",$E14-$E14/($B13-1)*(F18-1))</f>
        <v>63</v>
      </c>
      <c r="G15" s="155">
        <f>IF(G18="","",TotalEffort-TotalEffort/(ImplementationDays)*(G18-1))</f>
        <v>58.5</v>
      </c>
      <c r="H15" s="155">
        <f>IF(H18="","",TotalEffort-TotalEffort/(ImplementationDays)*(H18-1))</f>
        <v>54</v>
      </c>
      <c r="I15" s="155">
        <f>IF(I18="","",TotalEffort-TotalEffort/(ImplementationDays)*(I18-1))</f>
        <v>49.5</v>
      </c>
      <c r="J15" s="155">
        <f>IF(J18="","",TotalEffort-TotalEffort/(ImplementationDays)*(J18-1))</f>
        <v>45</v>
      </c>
      <c r="K15" s="155">
        <f>IF(K18="","",TotalEffort-TotalEffort/(ImplementationDays)*(K18-1))</f>
        <v>40.5</v>
      </c>
      <c r="L15" s="155">
        <f>IF(L18="","",TotalEffort-TotalEffort/(ImplementationDays)*(L18-1))</f>
        <v>36</v>
      </c>
      <c r="M15" s="155">
        <f>IF(M18="","",TotalEffort-TotalEffort/(ImplementationDays)*(M18-1))</f>
        <v>31.5</v>
      </c>
      <c r="N15" s="155">
        <f>IF(N18="","",TotalEffort-TotalEffort/(ImplementationDays)*(N18-1))</f>
        <v>27</v>
      </c>
      <c r="O15" s="155">
        <f>IF(O18="","",TotalEffort-TotalEffort/(ImplementationDays)*(O18-1))</f>
        <v>22.5</v>
      </c>
      <c r="P15" s="155">
        <f>IF(P18="","",TotalEffort-TotalEffort/(ImplementationDays)*(P18-1))</f>
        <v>18</v>
      </c>
      <c r="Q15" s="155">
        <f>IF(Q18="","",TotalEffort-TotalEffort/(ImplementationDays)*(Q18-1))</f>
        <v>13.5</v>
      </c>
      <c r="R15" s="155">
        <f>IF(R18="","",TotalEffort-TotalEffort/(ImplementationDays)*(R18-1))</f>
        <v>9</v>
      </c>
      <c r="S15" s="155">
        <f>IF(S18="","",TotalEffort-TotalEffort/(ImplementationDays)*(S18-1))</f>
        <v>4.5</v>
      </c>
      <c r="T15" s="155" t="str">
        <f>IF(T18="","",TotalEffort-TotalEffort/(ImplementationDays)*(T18-1))</f>
        <v/>
      </c>
      <c r="U15" s="155" t="str">
        <f>IF(U18="","",TotalEffort-TotalEffort/(ImplementationDays)*(U18-1))</f>
        <v/>
      </c>
      <c r="V15" s="155" t="str">
        <f>IF(V18="","",TotalEffort-TotalEffort/(ImplementationDays)*(V18-1))</f>
        <v/>
      </c>
      <c r="W15" s="155" t="str">
        <f>IF(W18="","",TotalEffort-TotalEffort/(ImplementationDays)*(W18-1))</f>
        <v/>
      </c>
      <c r="X15" s="155" t="str">
        <f>IF(X18="","",TotalEffort-TotalEffort/(ImplementationDays)*(X18-1))</f>
        <v/>
      </c>
      <c r="Y15" s="59" t="str">
        <f>IF(Y18="","",TotalEffort-TotalEffort/(ImplementationDays)*(Y18-1))</f>
        <v/>
      </c>
      <c r="Z15" s="59" t="str">
        <f>IF(Z18="","",TotalEffort-TotalEffort/(ImplementationDays)*(Z18-1))</f>
        <v/>
      </c>
      <c r="AA15" s="59" t="str">
        <f>IF(AA18="","",TotalEffort-TotalEffort/(ImplementationDays)*(AA18-1))</f>
        <v/>
      </c>
      <c r="AB15" s="59" t="str">
        <f>IF(AB18="","",TotalEffort-TotalEffort/(ImplementationDays)*(AB18-1))</f>
        <v/>
      </c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ht="12.75" customHeight="1">
      <c r="A16" s="157" t="s">
        <v>170</v>
      </c>
      <c r="B16" s="156"/>
      <c r="C16" s="156" t="s">
        <v>110</v>
      </c>
      <c r="D16" s="155"/>
      <c r="E16" s="155"/>
      <c r="F16" s="155" t="str">
        <f t="array" ref="F16">IF(TREND(OFFSET($F14,0,DoneDays-TrendDays,1,TrendDays),OFFSET($F17,0,DoneDays-TrendDays,1,TrendDays),F17)&lt;0,"",TREND(OFFSET($F14,0,DoneDays-TrendDays,1,TrendDays),OFFSET($F17,0,DoneDays-TrendDays,1,TrendDays),F17))</f>
        <v>#N/A</v>
      </c>
      <c r="G16" s="155" t="str">
        <f t="array" ref="G16">IF(TREND(OFFSET($F14,0,DoneDays-TrendDays,1,TrendDays),OFFSET($F17,0,DoneDays-TrendDays,1,TrendDays),G17)&lt;0,"",TREND(OFFSET($F14,0,DoneDays-TrendDays,1,TrendDays),OFFSET($F17,0,DoneDays-TrendDays,1,TrendDays),G17))</f>
        <v>#N/A</v>
      </c>
      <c r="H16" s="155" t="str">
        <f t="array" ref="H16">IF(TREND(OFFSET($F14,0,DoneDays-TrendDays,1,TrendDays),OFFSET($F17,0,DoneDays-TrendDays,1,TrendDays),H17)&lt;0,"",TREND(OFFSET($F14,0,DoneDays-TrendDays,1,TrendDays),OFFSET($F17,0,DoneDays-TrendDays,1,TrendDays),H17))</f>
        <v>#N/A</v>
      </c>
      <c r="I16" s="155" t="str">
        <f t="array" ref="I16">IF(TREND(OFFSET($F14,0,DoneDays-TrendDays,1,TrendDays),OFFSET($F17,0,DoneDays-TrendDays,1,TrendDays),I17)&lt;0,"",TREND(OFFSET($F14,0,DoneDays-TrendDays,1,TrendDays),OFFSET($F17,0,DoneDays-TrendDays,1,TrendDays),I17))</f>
        <v>#N/A</v>
      </c>
      <c r="J16" s="155" t="str">
        <f t="array" ref="J16">IF(TREND(OFFSET($F14,0,DoneDays-TrendDays,1,TrendDays),OFFSET($F17,0,DoneDays-TrendDays,1,TrendDays),J17)&lt;0,"",TREND(OFFSET($F14,0,DoneDays-TrendDays,1,TrendDays),OFFSET($F17,0,DoneDays-TrendDays,1,TrendDays),J17))</f>
        <v>#N/A</v>
      </c>
      <c r="K16" s="155" t="str">
        <f t="array" ref="K16">IF(TREND(OFFSET($F14,0,DoneDays-TrendDays,1,TrendDays),OFFSET($F17,0,DoneDays-TrendDays,1,TrendDays),K17)&lt;0,"",TREND(OFFSET($F14,0,DoneDays-TrendDays,1,TrendDays),OFFSET($F17,0,DoneDays-TrendDays,1,TrendDays),K17))</f>
        <v>#N/A</v>
      </c>
      <c r="L16" s="155" t="str">
        <f t="array" ref="L16">IF(TREND(OFFSET($F14,0,DoneDays-TrendDays,1,TrendDays),OFFSET($F17,0,DoneDays-TrendDays,1,TrendDays),L17)&lt;0,"",TREND(OFFSET($F14,0,DoneDays-TrendDays,1,TrendDays),OFFSET($F17,0,DoneDays-TrendDays,1,TrendDays),L17))</f>
        <v>#N/A</v>
      </c>
      <c r="M16" s="155" t="str">
        <f t="array" ref="M16">IF(TREND(OFFSET($F14,0,DoneDays-TrendDays,1,TrendDays),OFFSET($F17,0,DoneDays-TrendDays,1,TrendDays),M17)&lt;0,"",TREND(OFFSET($F14,0,DoneDays-TrendDays,1,TrendDays),OFFSET($F17,0,DoneDays-TrendDays,1,TrendDays),M17))</f>
        <v>#N/A</v>
      </c>
      <c r="N16" s="155" t="str">
        <f t="array" ref="N16">IF(TREND(OFFSET($F14,0,DoneDays-TrendDays,1,TrendDays),OFFSET($F17,0,DoneDays-TrendDays,1,TrendDays),N17)&lt;0,"",TREND(OFFSET($F14,0,DoneDays-TrendDays,1,TrendDays),OFFSET($F17,0,DoneDays-TrendDays,1,TrendDays),N17))</f>
        <v>#N/A</v>
      </c>
      <c r="O16" s="155" t="str">
        <f t="array" ref="O16">IF(TREND(OFFSET($F14,0,DoneDays-TrendDays,1,TrendDays),OFFSET($F17,0,DoneDays-TrendDays,1,TrendDays),O17)&lt;0,"",TREND(OFFSET($F14,0,DoneDays-TrendDays,1,TrendDays),OFFSET($F17,0,DoneDays-TrendDays,1,TrendDays),O17))</f>
        <v>#N/A</v>
      </c>
      <c r="P16" s="155" t="str">
        <f t="array" ref="P16">IF(TREND(OFFSET($F14,0,DoneDays-TrendDays,1,TrendDays),OFFSET($F17,0,DoneDays-TrendDays,1,TrendDays),P17)&lt;0,"",TREND(OFFSET($F14,0,DoneDays-TrendDays,1,TrendDays),OFFSET($F17,0,DoneDays-TrendDays,1,TrendDays),P17))</f>
        <v>#N/A</v>
      </c>
      <c r="Q16" s="155" t="str">
        <f t="array" ref="Q16">IF(TREND(OFFSET($F14,0,DoneDays-TrendDays,1,TrendDays),OFFSET($F17,0,DoneDays-TrendDays,1,TrendDays),Q17)&lt;0,"",TREND(OFFSET($F14,0,DoneDays-TrendDays,1,TrendDays),OFFSET($F17,0,DoneDays-TrendDays,1,TrendDays),Q17))</f>
        <v>#N/A</v>
      </c>
      <c r="R16" s="155" t="str">
        <f t="array" ref="R16">IF(TREND(OFFSET($F14,0,DoneDays-TrendDays,1,TrendDays),OFFSET($F17,0,DoneDays-TrendDays,1,TrendDays),R17)&lt;0,"",TREND(OFFSET($F14,0,DoneDays-TrendDays,1,TrendDays),OFFSET($F17,0,DoneDays-TrendDays,1,TrendDays),R17))</f>
        <v>#N/A</v>
      </c>
      <c r="S16" s="155" t="str">
        <f t="array" ref="S16">IF(TREND(OFFSET($F14,0,DoneDays-TrendDays,1,TrendDays),OFFSET($F17,0,DoneDays-TrendDays,1,TrendDays),S17)&lt;0,"",TREND(OFFSET($F14,0,DoneDays-TrendDays,1,TrendDays),OFFSET($F17,0,DoneDays-TrendDays,1,TrendDays),S17))</f>
        <v>#N/A</v>
      </c>
      <c r="T16" s="155" t="str">
        <f t="array" ref="T16">IF(TREND(OFFSET($F14,0,DoneDays-TrendDays,1,TrendDays),OFFSET($F17,0,DoneDays-TrendDays,1,TrendDays),T17)&lt;0,"",TREND(OFFSET($F14,0,DoneDays-TrendDays,1,TrendDays),OFFSET($F17,0,DoneDays-TrendDays,1,TrendDays),T17))</f>
        <v>#N/A</v>
      </c>
      <c r="U16" s="155" t="str">
        <f t="array" ref="U16">IF(TREND(OFFSET($F14,0,DoneDays-TrendDays,1,TrendDays),OFFSET($F17,0,DoneDays-TrendDays,1,TrendDays),U17)&lt;0,"",TREND(OFFSET($F14,0,DoneDays-TrendDays,1,TrendDays),OFFSET($F17,0,DoneDays-TrendDays,1,TrendDays),U17))</f>
        <v>#N/A</v>
      </c>
      <c r="V16" s="155" t="str">
        <f t="array" ref="V16">IF(TREND(OFFSET($F14,0,DoneDays-TrendDays,1,TrendDays),OFFSET($F17,0,DoneDays-TrendDays,1,TrendDays),V17)&lt;0,"",TREND(OFFSET($F14,0,DoneDays-TrendDays,1,TrendDays),OFFSET($F17,0,DoneDays-TrendDays,1,TrendDays),V17))</f>
        <v>#N/A</v>
      </c>
      <c r="W16" s="155" t="str">
        <f t="array" ref="W16">IF(TREND(OFFSET($F14,0,DoneDays-TrendDays,1,TrendDays),OFFSET($F17,0,DoneDays-TrendDays,1,TrendDays),W17)&lt;0,"",TREND(OFFSET($F14,0,DoneDays-TrendDays,1,TrendDays),OFFSET($F17,0,DoneDays-TrendDays,1,TrendDays),W17))</f>
        <v>#N/A</v>
      </c>
      <c r="X16" s="155" t="str">
        <f t="array" ref="X16">IF(TREND(OFFSET($F14,0,DoneDays-TrendDays,1,TrendDays),OFFSET($F17,0,DoneDays-TrendDays,1,TrendDays),X17)&lt;0,"",TREND(OFFSET($F14,0,DoneDays-TrendDays,1,TrendDays),OFFSET($F17,0,DoneDays-TrendDays,1,TrendDays),X17))</f>
        <v>#N/A</v>
      </c>
      <c r="Y16" s="59"/>
      <c r="Z16" s="59"/>
      <c r="AA16" s="59"/>
      <c r="AB16" s="59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ht="12.75" customHeight="1">
      <c r="A17" s="157" t="s">
        <v>196</v>
      </c>
      <c r="B17" s="156"/>
      <c r="C17" s="156" t="s">
        <v>171</v>
      </c>
      <c r="D17" s="155">
        <f>IF(DoneDays&gt;B14,B14,DoneDays)</f>
        <v>1</v>
      </c>
      <c r="E17" s="155"/>
      <c r="F17" s="155">
        <f>IF(D15&gt;E17,E17+1,"")</f>
        <v>1</v>
      </c>
      <c r="G17" s="155">
        <v>2.0</v>
      </c>
      <c r="H17" s="155">
        <v>3.0</v>
      </c>
      <c r="I17" s="155">
        <v>4.0</v>
      </c>
      <c r="J17" s="155">
        <v>5.0</v>
      </c>
      <c r="K17" s="155">
        <v>6.0</v>
      </c>
      <c r="L17" s="155">
        <v>7.0</v>
      </c>
      <c r="M17" s="155">
        <v>8.0</v>
      </c>
      <c r="N17" s="155">
        <v>9.0</v>
      </c>
      <c r="O17" s="155">
        <v>10.0</v>
      </c>
      <c r="P17" s="155">
        <v>11.0</v>
      </c>
      <c r="Q17" s="155">
        <v>12.0</v>
      </c>
      <c r="R17" s="155">
        <v>13.0</v>
      </c>
      <c r="S17" s="155">
        <v>14.0</v>
      </c>
      <c r="T17" s="155">
        <v>15.0</v>
      </c>
      <c r="U17" s="155">
        <v>16.0</v>
      </c>
      <c r="V17" s="155">
        <v>17.0</v>
      </c>
      <c r="W17" s="155">
        <v>18.0</v>
      </c>
      <c r="X17" s="155">
        <v>19.0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ht="12.75" customHeight="1">
      <c r="A18" s="149" t="s">
        <v>173</v>
      </c>
      <c r="B18" s="176" t="s">
        <v>174</v>
      </c>
      <c r="C18" s="151" t="s">
        <v>175</v>
      </c>
      <c r="D18" s="151" t="s">
        <v>11</v>
      </c>
      <c r="E18" s="176" t="s">
        <v>197</v>
      </c>
      <c r="F18" s="176">
        <v>1.0</v>
      </c>
      <c r="G18" s="176">
        <f t="shared" ref="G18:X18" si="1">IF($B$13&gt;F18,F18+1,"")</f>
        <v>2</v>
      </c>
      <c r="H18" s="176">
        <f t="shared" si="1"/>
        <v>3</v>
      </c>
      <c r="I18" s="176">
        <f t="shared" si="1"/>
        <v>4</v>
      </c>
      <c r="J18" s="176">
        <f t="shared" si="1"/>
        <v>5</v>
      </c>
      <c r="K18" s="176">
        <f t="shared" si="1"/>
        <v>6</v>
      </c>
      <c r="L18" s="176">
        <f t="shared" si="1"/>
        <v>7</v>
      </c>
      <c r="M18" s="176">
        <f t="shared" si="1"/>
        <v>8</v>
      </c>
      <c r="N18" s="176">
        <f t="shared" si="1"/>
        <v>9</v>
      </c>
      <c r="O18" s="176">
        <f t="shared" si="1"/>
        <v>10</v>
      </c>
      <c r="P18" s="176">
        <f t="shared" si="1"/>
        <v>11</v>
      </c>
      <c r="Q18" s="176">
        <f t="shared" si="1"/>
        <v>12</v>
      </c>
      <c r="R18" s="176">
        <f t="shared" si="1"/>
        <v>13</v>
      </c>
      <c r="S18" s="176">
        <f t="shared" si="1"/>
        <v>14</v>
      </c>
      <c r="T18" s="176" t="str">
        <f t="shared" si="1"/>
        <v/>
      </c>
      <c r="U18" s="176" t="str">
        <f t="shared" si="1"/>
        <v/>
      </c>
      <c r="V18" s="176" t="str">
        <f t="shared" si="1"/>
        <v/>
      </c>
      <c r="W18" s="176" t="str">
        <f t="shared" si="1"/>
        <v/>
      </c>
      <c r="X18" s="176" t="str">
        <f t="shared" si="1"/>
        <v/>
      </c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</row>
    <row r="19" ht="12.75" customHeight="1">
      <c r="A19" s="107" t="s">
        <v>198</v>
      </c>
      <c r="B19" s="47">
        <v>1.0</v>
      </c>
      <c r="C19" s="32" t="s">
        <v>199</v>
      </c>
      <c r="D19" s="32" t="s">
        <v>62</v>
      </c>
      <c r="E19" s="47">
        <v>7.0</v>
      </c>
      <c r="F19" s="47">
        <v>7.0</v>
      </c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 ht="12.75" customHeight="1">
      <c r="A20" s="107" t="s">
        <v>200</v>
      </c>
      <c r="B20" s="47">
        <v>1.0</v>
      </c>
      <c r="C20" s="32" t="s">
        <v>201</v>
      </c>
      <c r="D20" s="32" t="s">
        <v>62</v>
      </c>
      <c r="E20" s="47">
        <v>4.0</v>
      </c>
      <c r="F20" s="47">
        <v>4.0</v>
      </c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ht="12.75" customHeight="1">
      <c r="A21" s="107" t="s">
        <v>202</v>
      </c>
      <c r="B21" s="47">
        <v>1.0</v>
      </c>
      <c r="C21" s="32" t="s">
        <v>203</v>
      </c>
      <c r="D21" s="32" t="s">
        <v>62</v>
      </c>
      <c r="E21" s="47">
        <v>6.0</v>
      </c>
      <c r="F21" s="47">
        <v>6.0</v>
      </c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ht="12.75" customHeight="1">
      <c r="A22" s="107" t="s">
        <v>204</v>
      </c>
      <c r="B22" s="47">
        <v>1.0</v>
      </c>
      <c r="C22" s="32" t="s">
        <v>205</v>
      </c>
      <c r="D22" s="32" t="s">
        <v>62</v>
      </c>
      <c r="E22" s="47">
        <v>5.0</v>
      </c>
      <c r="F22" s="47">
        <v>5.0</v>
      </c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ht="12.75" customHeight="1">
      <c r="A23" s="107" t="s">
        <v>206</v>
      </c>
      <c r="B23" s="47">
        <v>1.0</v>
      </c>
      <c r="C23" s="32" t="s">
        <v>207</v>
      </c>
      <c r="D23" s="32" t="s">
        <v>62</v>
      </c>
      <c r="E23" s="47">
        <v>6.0</v>
      </c>
      <c r="F23" s="47">
        <v>6.0</v>
      </c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ht="25.5" customHeight="1">
      <c r="A24" s="107" t="s">
        <v>208</v>
      </c>
      <c r="B24" s="47">
        <v>5.0</v>
      </c>
      <c r="C24" s="32" t="s">
        <v>209</v>
      </c>
      <c r="D24" s="32" t="s">
        <v>62</v>
      </c>
      <c r="E24" s="47">
        <v>9.0</v>
      </c>
      <c r="F24" s="47">
        <v>9.0</v>
      </c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ht="25.5" customHeight="1">
      <c r="A25" s="107" t="s">
        <v>210</v>
      </c>
      <c r="B25" s="47">
        <v>5.0</v>
      </c>
      <c r="C25" s="32" t="s">
        <v>199</v>
      </c>
      <c r="D25" s="32" t="s">
        <v>62</v>
      </c>
      <c r="E25" s="47">
        <v>8.0</v>
      </c>
      <c r="F25" s="47">
        <v>8.0</v>
      </c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ht="12.75" customHeight="1">
      <c r="A26" s="107" t="s">
        <v>211</v>
      </c>
      <c r="B26" s="47">
        <v>5.0</v>
      </c>
      <c r="C26" s="32" t="s">
        <v>205</v>
      </c>
      <c r="D26" s="32" t="s">
        <v>62</v>
      </c>
      <c r="E26" s="47">
        <v>4.0</v>
      </c>
      <c r="F26" s="47">
        <v>4.0</v>
      </c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ht="25.5" customHeight="1">
      <c r="A27" s="107" t="s">
        <v>212</v>
      </c>
      <c r="B27" s="47">
        <v>5.0</v>
      </c>
      <c r="C27" s="32" t="s">
        <v>203</v>
      </c>
      <c r="D27" s="32" t="s">
        <v>62</v>
      </c>
      <c r="E27" s="47">
        <v>6.0</v>
      </c>
      <c r="F27" s="47">
        <v>6.0</v>
      </c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ht="12.75" customHeight="1">
      <c r="A28" s="107" t="s">
        <v>213</v>
      </c>
      <c r="B28" s="47">
        <v>5.0</v>
      </c>
      <c r="C28" s="32" t="s">
        <v>207</v>
      </c>
      <c r="D28" s="32" t="s">
        <v>62</v>
      </c>
      <c r="E28" s="47">
        <v>4.0</v>
      </c>
      <c r="F28" s="47">
        <v>4.0</v>
      </c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ht="12.75" customHeight="1">
      <c r="A29" s="107" t="s">
        <v>214</v>
      </c>
      <c r="B29" s="47">
        <v>5.0</v>
      </c>
      <c r="C29" s="32" t="s">
        <v>209</v>
      </c>
      <c r="D29" s="32" t="s">
        <v>62</v>
      </c>
      <c r="E29" s="47">
        <v>4.0</v>
      </c>
      <c r="F29" s="47">
        <v>4.0</v>
      </c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ht="15.0" customHeight="1">
      <c r="A30" s="147"/>
      <c r="B30" s="18"/>
      <c r="C30" s="1"/>
      <c r="D30" s="17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</row>
    <row r="31" ht="12.75" customHeight="1">
      <c r="A31" s="147"/>
      <c r="B31" s="18"/>
      <c r="C31" s="1"/>
      <c r="D31" s="17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</row>
    <row r="32" ht="12.75" customHeight="1">
      <c r="A32" s="147"/>
      <c r="B32" s="18"/>
      <c r="C32" s="1"/>
      <c r="D32" s="17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</row>
    <row r="33" ht="12.75" customHeight="1">
      <c r="A33" s="147"/>
      <c r="B33" s="18"/>
      <c r="C33" s="1"/>
      <c r="D33" s="17"/>
      <c r="E33" s="18"/>
      <c r="F33" s="18" t="str">
        <f t="shared" ref="F33:F47" si="2">IF(OR(F$18="",$E33=""),"",E33)</f>
        <v/>
      </c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</row>
    <row r="34" ht="12.75" customHeight="1">
      <c r="A34" s="147"/>
      <c r="B34" s="18"/>
      <c r="C34" s="1"/>
      <c r="D34" s="17"/>
      <c r="E34" s="18"/>
      <c r="F34" s="18" t="str">
        <f t="shared" si="2"/>
        <v/>
      </c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</row>
    <row r="35" ht="12.75" customHeight="1">
      <c r="A35" s="147"/>
      <c r="B35" s="18"/>
      <c r="C35" s="1"/>
      <c r="D35" s="17"/>
      <c r="E35" s="18"/>
      <c r="F35" s="18" t="str">
        <f t="shared" si="2"/>
        <v/>
      </c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</row>
    <row r="36" ht="12.75" customHeight="1">
      <c r="A36" s="147"/>
      <c r="B36" s="18"/>
      <c r="C36" s="1"/>
      <c r="D36" s="17"/>
      <c r="E36" s="18"/>
      <c r="F36" s="18" t="str">
        <f t="shared" si="2"/>
        <v/>
      </c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</row>
    <row r="37" ht="12.75" customHeight="1">
      <c r="A37" s="147"/>
      <c r="B37" s="18"/>
      <c r="C37" s="1"/>
      <c r="D37" s="17"/>
      <c r="E37" s="18"/>
      <c r="F37" s="18" t="str">
        <f t="shared" si="2"/>
        <v/>
      </c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</row>
    <row r="38" ht="12.75" customHeight="1">
      <c r="A38" s="147"/>
      <c r="B38" s="18"/>
      <c r="C38" s="1"/>
      <c r="D38" s="17"/>
      <c r="E38" s="18"/>
      <c r="F38" s="18" t="str">
        <f t="shared" si="2"/>
        <v/>
      </c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</row>
    <row r="39" ht="12.75" customHeight="1">
      <c r="A39" s="147"/>
      <c r="B39" s="18"/>
      <c r="C39" s="1"/>
      <c r="D39" s="17"/>
      <c r="E39" s="18"/>
      <c r="F39" s="18" t="str">
        <f t="shared" si="2"/>
        <v/>
      </c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</row>
    <row r="40" ht="12.75" customHeight="1">
      <c r="A40" s="147"/>
      <c r="B40" s="18"/>
      <c r="C40" s="1"/>
      <c r="D40" s="17"/>
      <c r="E40" s="18"/>
      <c r="F40" s="18" t="str">
        <f t="shared" si="2"/>
        <v/>
      </c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</row>
    <row r="41" ht="12.75" customHeight="1">
      <c r="A41" s="147"/>
      <c r="B41" s="18"/>
      <c r="C41" s="1"/>
      <c r="D41" s="17"/>
      <c r="E41" s="18"/>
      <c r="F41" s="18" t="str">
        <f t="shared" si="2"/>
        <v/>
      </c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</row>
    <row r="42" ht="12.75" customHeight="1">
      <c r="A42" s="147"/>
      <c r="B42" s="18"/>
      <c r="C42" s="1"/>
      <c r="D42" s="17"/>
      <c r="E42" s="18"/>
      <c r="F42" s="18" t="str">
        <f t="shared" si="2"/>
        <v/>
      </c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</row>
    <row r="43" ht="12.75" customHeight="1">
      <c r="A43" s="147"/>
      <c r="B43" s="18"/>
      <c r="C43" s="1"/>
      <c r="D43" s="17"/>
      <c r="E43" s="18"/>
      <c r="F43" s="18" t="str">
        <f t="shared" si="2"/>
        <v/>
      </c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</row>
    <row r="44" ht="12.75" customHeight="1">
      <c r="A44" s="147"/>
      <c r="B44" s="18"/>
      <c r="C44" s="1"/>
      <c r="D44" s="17"/>
      <c r="E44" s="18"/>
      <c r="F44" s="18" t="str">
        <f t="shared" si="2"/>
        <v/>
      </c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</row>
    <row r="45" ht="12.75" customHeight="1">
      <c r="A45" s="147"/>
      <c r="B45" s="18"/>
      <c r="C45" s="1"/>
      <c r="D45" s="17"/>
      <c r="E45" s="18"/>
      <c r="F45" s="18" t="str">
        <f t="shared" si="2"/>
        <v/>
      </c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</row>
    <row r="46" ht="12.75" customHeight="1">
      <c r="A46" s="147"/>
      <c r="B46" s="18"/>
      <c r="C46" s="1"/>
      <c r="D46" s="17"/>
      <c r="E46" s="18"/>
      <c r="F46" s="18" t="str">
        <f t="shared" si="2"/>
        <v/>
      </c>
      <c r="G46" s="18" t="str">
        <f t="shared" ref="G46:S46" si="3">IF(OR(G$18="",$E46=""),"",F46)</f>
        <v/>
      </c>
      <c r="H46" s="18" t="str">
        <f t="shared" si="3"/>
        <v/>
      </c>
      <c r="I46" s="18" t="str">
        <f t="shared" si="3"/>
        <v/>
      </c>
      <c r="J46" s="18" t="str">
        <f t="shared" si="3"/>
        <v/>
      </c>
      <c r="K46" s="18" t="str">
        <f t="shared" si="3"/>
        <v/>
      </c>
      <c r="L46" s="18" t="str">
        <f t="shared" si="3"/>
        <v/>
      </c>
      <c r="M46" s="18" t="str">
        <f t="shared" si="3"/>
        <v/>
      </c>
      <c r="N46" s="18" t="str">
        <f t="shared" si="3"/>
        <v/>
      </c>
      <c r="O46" s="18" t="str">
        <f t="shared" si="3"/>
        <v/>
      </c>
      <c r="P46" s="18" t="str">
        <f t="shared" si="3"/>
        <v/>
      </c>
      <c r="Q46" s="18" t="str">
        <f t="shared" si="3"/>
        <v/>
      </c>
      <c r="R46" s="18" t="str">
        <f t="shared" si="3"/>
        <v/>
      </c>
      <c r="S46" s="18" t="str">
        <f t="shared" si="3"/>
        <v/>
      </c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</row>
    <row r="47" ht="12.75" customHeight="1">
      <c r="A47" s="147"/>
      <c r="B47" s="18"/>
      <c r="C47" s="1"/>
      <c r="D47" s="17"/>
      <c r="E47" s="18"/>
      <c r="F47" s="18" t="str">
        <f t="shared" si="2"/>
        <v/>
      </c>
      <c r="G47" s="18" t="str">
        <f t="shared" ref="G47:S47" si="4">IF(OR(G$18="",$E47=""),"",F47)</f>
        <v/>
      </c>
      <c r="H47" s="18" t="str">
        <f t="shared" si="4"/>
        <v/>
      </c>
      <c r="I47" s="18" t="str">
        <f t="shared" si="4"/>
        <v/>
      </c>
      <c r="J47" s="18" t="str">
        <f t="shared" si="4"/>
        <v/>
      </c>
      <c r="K47" s="18" t="str">
        <f t="shared" si="4"/>
        <v/>
      </c>
      <c r="L47" s="18" t="str">
        <f t="shared" si="4"/>
        <v/>
      </c>
      <c r="M47" s="18" t="str">
        <f t="shared" si="4"/>
        <v/>
      </c>
      <c r="N47" s="18" t="str">
        <f t="shared" si="4"/>
        <v/>
      </c>
      <c r="O47" s="18" t="str">
        <f t="shared" si="4"/>
        <v/>
      </c>
      <c r="P47" s="18" t="str">
        <f t="shared" si="4"/>
        <v/>
      </c>
      <c r="Q47" s="18" t="str">
        <f t="shared" si="4"/>
        <v/>
      </c>
      <c r="R47" s="18" t="str">
        <f t="shared" si="4"/>
        <v/>
      </c>
      <c r="S47" s="18" t="str">
        <f t="shared" si="4"/>
        <v/>
      </c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</row>
    <row r="48" ht="12.75" customHeight="1">
      <c r="A48" s="147"/>
      <c r="B48" s="18"/>
      <c r="C48" s="17"/>
      <c r="D48" s="17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</row>
    <row r="49" ht="12.75" customHeight="1">
      <c r="A49" s="147"/>
      <c r="B49" s="18"/>
      <c r="C49" s="1"/>
      <c r="D49" s="17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</row>
    <row r="50" ht="12.75" customHeight="1">
      <c r="A50" s="147"/>
      <c r="B50" s="18"/>
      <c r="C50" s="17"/>
      <c r="D50" s="17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</row>
  </sheetData>
  <conditionalFormatting sqref="E27:S1000 J21:J22 E21:G26 H21:I25 A20:C1000 E21:F29 T27:X29 K21:X25 H26:X26">
    <cfRule type="expression" dxfId="4" priority="1">
      <formula>$D27="Done"</formula>
    </cfRule>
  </conditionalFormatting>
  <conditionalFormatting sqref="E27:S1000 J21:J22 E21:G26 H21:I25 A20:C1000 E21:F29 T27:X29 K21:X25 H26:X26">
    <cfRule type="expression" dxfId="3" priority="2">
      <formula>$D27="Ongoing"</formula>
    </cfRule>
  </conditionalFormatting>
  <conditionalFormatting sqref="F20">
    <cfRule type="expression" dxfId="4" priority="3">
      <formula>$D20="Done"</formula>
    </cfRule>
  </conditionalFormatting>
  <conditionalFormatting sqref="F20">
    <cfRule type="expression" dxfId="3" priority="4">
      <formula>$D20="Ongoing"</formula>
    </cfRule>
  </conditionalFormatting>
  <conditionalFormatting sqref="E20">
    <cfRule type="expression" dxfId="4" priority="5">
      <formula>$D20="Done"</formula>
    </cfRule>
  </conditionalFormatting>
  <conditionalFormatting sqref="E20">
    <cfRule type="expression" dxfId="3" priority="6">
      <formula>$D20="Ongoing"</formula>
    </cfRule>
  </conditionalFormatting>
  <conditionalFormatting sqref="G20:X20">
    <cfRule type="expression" dxfId="4" priority="7">
      <formula>$D20="Done"</formula>
    </cfRule>
  </conditionalFormatting>
  <conditionalFormatting sqref="G20:X20">
    <cfRule type="expression" dxfId="3" priority="8">
      <formula>$D20="Ongoing"</formula>
    </cfRule>
  </conditionalFormatting>
  <conditionalFormatting sqref="G22">
    <cfRule type="expression" dxfId="4" priority="9">
      <formula>$D21="Done"</formula>
    </cfRule>
  </conditionalFormatting>
  <conditionalFormatting sqref="G22">
    <cfRule type="expression" dxfId="3" priority="10">
      <formula>$D21="Ongoing"</formula>
    </cfRule>
  </conditionalFormatting>
  <conditionalFormatting sqref="A19:C19 E19:X19">
    <cfRule type="expression" dxfId="4" priority="11">
      <formula>$J23="Done"</formula>
    </cfRule>
  </conditionalFormatting>
  <conditionalFormatting sqref="A19:C19 E19:X19">
    <cfRule type="expression" dxfId="3" priority="12">
      <formula>$J23="Ongoing"</formula>
    </cfRule>
  </conditionalFormatting>
  <conditionalFormatting sqref="E21:J25">
    <cfRule type="expression" dxfId="4" priority="13">
      <formula>$J29="Done"</formula>
    </cfRule>
  </conditionalFormatting>
  <conditionalFormatting sqref="E21:J25">
    <cfRule type="expression" dxfId="3" priority="14">
      <formula>$J29="Ongoing"</formula>
    </cfRule>
  </conditionalFormatting>
  <conditionalFormatting sqref="E20:M20">
    <cfRule type="expression" dxfId="4" priority="15">
      <formula>$J27="Done"</formula>
    </cfRule>
  </conditionalFormatting>
  <conditionalFormatting sqref="E20:M20">
    <cfRule type="expression" dxfId="3" priority="16">
      <formula>$J27="Ongoing"</formula>
    </cfRule>
  </conditionalFormatting>
  <conditionalFormatting sqref="E26:M26">
    <cfRule type="expression" dxfId="4" priority="17">
      <formula>$J28="Done"</formula>
    </cfRule>
  </conditionalFormatting>
  <conditionalFormatting sqref="E26:M26">
    <cfRule type="expression" dxfId="3" priority="18">
      <formula>$J28="Ongoing"</formula>
    </cfRule>
  </conditionalFormatting>
  <conditionalFormatting sqref="J21:M21">
    <cfRule type="expression" dxfId="4" priority="19">
      <formula>$J29="Done"</formula>
    </cfRule>
  </conditionalFormatting>
  <conditionalFormatting sqref="J21:M21">
    <cfRule type="expression" dxfId="3" priority="20">
      <formula>$J29="Ongoing"</formula>
    </cfRule>
  </conditionalFormatting>
  <conditionalFormatting sqref="J22:M22">
    <cfRule type="expression" dxfId="4" priority="21">
      <formula>$J30="Done"</formula>
    </cfRule>
  </conditionalFormatting>
  <conditionalFormatting sqref="J22:M22">
    <cfRule type="expression" dxfId="3" priority="22">
      <formula>$J30="Ongoing"</formula>
    </cfRule>
  </conditionalFormatting>
  <conditionalFormatting sqref="H23:M25">
    <cfRule type="expression" dxfId="4" priority="23">
      <formula>$J31="Done"</formula>
    </cfRule>
  </conditionalFormatting>
  <conditionalFormatting sqref="H23:M25">
    <cfRule type="expression" dxfId="3" priority="24">
      <formula>$J31="Ongoing"</formula>
    </cfRule>
  </conditionalFormatting>
  <conditionalFormatting sqref="F20">
    <cfRule type="expression" dxfId="4" priority="25">
      <formula>$D20="Done"</formula>
    </cfRule>
  </conditionalFormatting>
  <conditionalFormatting sqref="F20">
    <cfRule type="expression" dxfId="3" priority="26">
      <formula>$D20="Ongoing"</formula>
    </cfRule>
  </conditionalFormatting>
  <conditionalFormatting sqref="G21">
    <cfRule type="expression" dxfId="4" priority="27">
      <formula>$D26="Done"</formula>
    </cfRule>
  </conditionalFormatting>
  <conditionalFormatting sqref="G21">
    <cfRule type="expression" dxfId="3" priority="28">
      <formula>$D26="Ongoing"</formula>
    </cfRule>
  </conditionalFormatting>
  <conditionalFormatting sqref="A19">
    <cfRule type="expression" dxfId="4" priority="29">
      <formula>$D19="Done"</formula>
    </cfRule>
  </conditionalFormatting>
  <conditionalFormatting sqref="A19">
    <cfRule type="expression" dxfId="3" priority="30">
      <formula>$D19="Ongoing"</formula>
    </cfRule>
  </conditionalFormatting>
  <conditionalFormatting sqref="F20">
    <cfRule type="expression" dxfId="4" priority="31">
      <formula>$D20="Done"</formula>
    </cfRule>
  </conditionalFormatting>
  <conditionalFormatting sqref="F20">
    <cfRule type="expression" dxfId="3" priority="32">
      <formula>$D20="Ongoing"</formula>
    </cfRule>
  </conditionalFormatting>
  <conditionalFormatting sqref="E20">
    <cfRule type="expression" dxfId="4" priority="33">
      <formula>$D20="Done"</formula>
    </cfRule>
  </conditionalFormatting>
  <conditionalFormatting sqref="E20">
    <cfRule type="expression" dxfId="3" priority="34">
      <formula>$D20="Ongoing"</formula>
    </cfRule>
  </conditionalFormatting>
  <conditionalFormatting sqref="E20">
    <cfRule type="expression" dxfId="4" priority="35">
      <formula>$D20="Done"</formula>
    </cfRule>
  </conditionalFormatting>
  <conditionalFormatting sqref="E20">
    <cfRule type="expression" dxfId="3" priority="36">
      <formula>$D20="Ongoing"</formula>
    </cfRule>
  </conditionalFormatting>
  <conditionalFormatting sqref="E20">
    <cfRule type="expression" dxfId="4" priority="37">
      <formula>$D20="Done"</formula>
    </cfRule>
  </conditionalFormatting>
  <conditionalFormatting sqref="E20">
    <cfRule type="expression" dxfId="3" priority="38">
      <formula>$D20="Ongoing"</formula>
    </cfRule>
  </conditionalFormatting>
  <dataValidations>
    <dataValidation type="list" allowBlank="1" showInputMessage="1" prompt=" - " sqref="D4:D12">
      <formula1>"Planned,Ongoing,Done"</formula1>
    </dataValidation>
  </dataValidations>
  <drawing r:id="rId1"/>
</worksheet>
</file>